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11310"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H33" i="3"/>
  <c r="L14" l="1"/>
  <c r="J49" i="15" l="1"/>
  <c r="G101"/>
  <c r="G67"/>
  <c r="G115"/>
  <c r="L21" i="3" l="1"/>
  <c r="G52" i="15" l="1"/>
  <c r="G58"/>
  <c r="M15" i="29" l="1"/>
  <c r="L15"/>
  <c r="F143" i="36"/>
  <c r="F142"/>
  <c r="H61" i="7" l="1"/>
  <c r="B32" i="3"/>
  <c r="P2751" i="35"/>
  <c r="H2603"/>
  <c r="Q2135"/>
  <c r="R1726"/>
  <c r="R1727"/>
  <c r="R1728"/>
  <c r="Q14" i="36"/>
  <c r="Q1729" i="35" s="1"/>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H385" i="35" s="1"/>
  <c r="J32" i="3"/>
  <c r="M32"/>
  <c r="F128" i="8" s="1"/>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J1873" s="1"/>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S1617" s="1"/>
  <c r="P1616"/>
  <c r="P1615"/>
  <c r="P1617" s="1"/>
  <c r="M1616"/>
  <c r="M1615"/>
  <c r="J1616"/>
  <c r="J1615"/>
  <c r="J1617" s="1"/>
  <c r="G1616"/>
  <c r="G1615"/>
  <c r="P1612"/>
  <c r="P1611"/>
  <c r="M1612"/>
  <c r="M1611"/>
  <c r="M1613" s="1"/>
  <c r="J1612"/>
  <c r="S1612"/>
  <c r="S1611"/>
  <c r="S1610"/>
  <c r="S1609"/>
  <c r="S1608"/>
  <c r="S1607"/>
  <c r="G1608"/>
  <c r="G1610"/>
  <c r="G1611"/>
  <c r="G1612"/>
  <c r="S1604"/>
  <c r="S1603"/>
  <c r="S1602"/>
  <c r="S1605" s="1"/>
  <c r="P1604"/>
  <c r="P1603"/>
  <c r="P1602"/>
  <c r="M1604"/>
  <c r="M1603"/>
  <c r="M1602"/>
  <c r="J1604"/>
  <c r="J1603"/>
  <c r="J1602"/>
  <c r="G1603"/>
  <c r="F1603" s="1"/>
  <c r="G1604"/>
  <c r="S1599"/>
  <c r="S1598"/>
  <c r="S1597"/>
  <c r="S1596"/>
  <c r="G1597"/>
  <c r="G1598"/>
  <c r="G1599"/>
  <c r="A1599" s="1"/>
  <c r="S1593"/>
  <c r="S1592"/>
  <c r="S1591"/>
  <c r="S1590"/>
  <c r="S1589"/>
  <c r="S1588"/>
  <c r="S1587"/>
  <c r="S1586"/>
  <c r="S1585"/>
  <c r="G1586"/>
  <c r="G1587"/>
  <c r="G1588"/>
  <c r="G1589"/>
  <c r="G1590"/>
  <c r="G1591"/>
  <c r="G1592"/>
  <c r="U1592" s="1"/>
  <c r="G1593"/>
  <c r="J1611"/>
  <c r="G1607"/>
  <c r="G1602"/>
  <c r="G1605" s="1"/>
  <c r="C1605" s="1"/>
  <c r="G1596"/>
  <c r="G1585"/>
  <c r="G1594" s="1"/>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S1564" s="1"/>
  <c r="P1563"/>
  <c r="P1562"/>
  <c r="P1561"/>
  <c r="P1560"/>
  <c r="P1559"/>
  <c r="P1558"/>
  <c r="P1557"/>
  <c r="P1556"/>
  <c r="P1555"/>
  <c r="P1554"/>
  <c r="M1563"/>
  <c r="M1562"/>
  <c r="M1561"/>
  <c r="M1560"/>
  <c r="M1559"/>
  <c r="M1558"/>
  <c r="M1557"/>
  <c r="M1556"/>
  <c r="M1555"/>
  <c r="M1554"/>
  <c r="M1564" s="1"/>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U1551" s="1"/>
  <c r="J1574"/>
  <c r="G1572"/>
  <c r="G1566"/>
  <c r="S1538"/>
  <c r="P1538"/>
  <c r="M1538"/>
  <c r="J1538"/>
  <c r="S1531"/>
  <c r="S1530"/>
  <c r="P1531"/>
  <c r="P1530"/>
  <c r="M1531"/>
  <c r="M1530"/>
  <c r="J1531"/>
  <c r="J1530"/>
  <c r="G1531"/>
  <c r="G1530"/>
  <c r="S1527"/>
  <c r="S1526"/>
  <c r="S1525"/>
  <c r="S1528" s="1"/>
  <c r="P1527"/>
  <c r="P1526"/>
  <c r="P1525"/>
  <c r="M1527"/>
  <c r="M1526"/>
  <c r="M1525"/>
  <c r="M1528" s="1"/>
  <c r="J1527"/>
  <c r="J1526"/>
  <c r="J1525"/>
  <c r="G1526"/>
  <c r="G1527"/>
  <c r="G1554"/>
  <c r="G1544"/>
  <c r="G1538"/>
  <c r="G1525"/>
  <c r="S1522"/>
  <c r="S1521"/>
  <c r="J1522"/>
  <c r="J1521"/>
  <c r="G1522"/>
  <c r="M1518"/>
  <c r="S1516"/>
  <c r="S1517"/>
  <c r="S1518"/>
  <c r="G1516"/>
  <c r="G1517"/>
  <c r="G1518"/>
  <c r="S1512"/>
  <c r="S1511"/>
  <c r="S1510"/>
  <c r="S1509"/>
  <c r="S1508"/>
  <c r="S1507"/>
  <c r="S1506"/>
  <c r="S1505"/>
  <c r="S1504"/>
  <c r="S1513" s="1"/>
  <c r="G1521"/>
  <c r="M1521"/>
  <c r="M1523" s="1"/>
  <c r="P1521"/>
  <c r="S1515"/>
  <c r="M1517"/>
  <c r="G1515"/>
  <c r="G1519" s="1"/>
  <c r="P1512"/>
  <c r="P1511"/>
  <c r="P1510"/>
  <c r="P1509"/>
  <c r="P1508"/>
  <c r="P1507"/>
  <c r="P1506"/>
  <c r="P1505"/>
  <c r="P1504"/>
  <c r="M1512"/>
  <c r="M1511"/>
  <c r="M1510"/>
  <c r="M1509"/>
  <c r="M1508"/>
  <c r="M1507"/>
  <c r="M1506"/>
  <c r="M1505"/>
  <c r="M1504"/>
  <c r="M1513" s="1"/>
  <c r="J1512"/>
  <c r="J1511"/>
  <c r="J1510"/>
  <c r="J1509"/>
  <c r="J1508"/>
  <c r="J1507"/>
  <c r="J1506"/>
  <c r="J1505"/>
  <c r="J1504"/>
  <c r="G1505"/>
  <c r="G1506"/>
  <c r="G1507"/>
  <c r="G1508"/>
  <c r="G1509"/>
  <c r="G1510"/>
  <c r="G1511"/>
  <c r="U1511" s="1"/>
  <c r="G1512"/>
  <c r="G1504"/>
  <c r="J1570"/>
  <c r="J1613"/>
  <c r="J1633"/>
  <c r="J1637" s="1"/>
  <c r="M1519"/>
  <c r="M1552"/>
  <c r="M1570"/>
  <c r="M1605"/>
  <c r="M1617"/>
  <c r="P1523"/>
  <c r="P1564"/>
  <c r="P1579"/>
  <c r="P1613"/>
  <c r="P1633"/>
  <c r="P1637" s="1"/>
  <c r="H49" i="3"/>
  <c r="J1650" i="35" s="1"/>
  <c r="J1652"/>
  <c r="G1528"/>
  <c r="G1570"/>
  <c r="G1600"/>
  <c r="G1617"/>
  <c r="S1519"/>
  <c r="S1552"/>
  <c r="S1570"/>
  <c r="S1594"/>
  <c r="S1613"/>
  <c r="U1616"/>
  <c r="O1614"/>
  <c r="U1612"/>
  <c r="A1612"/>
  <c r="O1606"/>
  <c r="F1604"/>
  <c r="F1602"/>
  <c r="O1601"/>
  <c r="U1599"/>
  <c r="O1595"/>
  <c r="U1593"/>
  <c r="A1593"/>
  <c r="A1592"/>
  <c r="E1588"/>
  <c r="O1584"/>
  <c r="U1578"/>
  <c r="A1578"/>
  <c r="O1571"/>
  <c r="O1565"/>
  <c r="O1553"/>
  <c r="A1551"/>
  <c r="O1543"/>
  <c r="F1538"/>
  <c r="O1537"/>
  <c r="E1531"/>
  <c r="F1531" s="1"/>
  <c r="E1530"/>
  <c r="F1530" s="1"/>
  <c r="O1529"/>
  <c r="O1524"/>
  <c r="O1520"/>
  <c r="O1514"/>
  <c r="U1512"/>
  <c r="A1512"/>
  <c r="A1511"/>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s="1"/>
  <c r="K32" i="3"/>
  <c r="K385" i="35" s="1"/>
  <c r="J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s="1"/>
  <c r="P2762"/>
  <c r="P2771"/>
  <c r="O2500"/>
  <c r="O2547"/>
  <c r="O2631"/>
  <c r="O2624" s="1"/>
  <c r="O2658"/>
  <c r="O2683"/>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L2699"/>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G2504" s="1"/>
  <c r="K2509"/>
  <c r="F2509"/>
  <c r="G2502" s="1"/>
  <c r="G2503"/>
  <c r="A2493"/>
  <c r="O207" i="11"/>
  <c r="A2793" i="35"/>
  <c r="A2792"/>
  <c r="A2051"/>
  <c r="H2051" s="1"/>
  <c r="A2049"/>
  <c r="A2036"/>
  <c r="A2035"/>
  <c r="F2016"/>
  <c r="F2027" s="1"/>
  <c r="E2016"/>
  <c r="D2016"/>
  <c r="D2027" s="1"/>
  <c r="C2016"/>
  <c r="C2027" s="1"/>
  <c r="B2016"/>
  <c r="B2027" s="1"/>
  <c r="K1981"/>
  <c r="J1981"/>
  <c r="I1981"/>
  <c r="H1981"/>
  <c r="H1992" s="1"/>
  <c r="G1981"/>
  <c r="F1981"/>
  <c r="E1981"/>
  <c r="D1981"/>
  <c r="C1981"/>
  <c r="B1981"/>
  <c r="K1946"/>
  <c r="J1946"/>
  <c r="J1957" s="1"/>
  <c r="I1946"/>
  <c r="H1946"/>
  <c r="G1946"/>
  <c r="F1946"/>
  <c r="F1957" s="1"/>
  <c r="E1946"/>
  <c r="D1946"/>
  <c r="C1946"/>
  <c r="B1946"/>
  <c r="B1957" s="1"/>
  <c r="K1911"/>
  <c r="J1911"/>
  <c r="J1922" s="1"/>
  <c r="I1911"/>
  <c r="H1911"/>
  <c r="G1911"/>
  <c r="F1911"/>
  <c r="F1922" s="1"/>
  <c r="E1911"/>
  <c r="D1911"/>
  <c r="C1911"/>
  <c r="B1911"/>
  <c r="B1922" s="1"/>
  <c r="A2034"/>
  <c r="F2013"/>
  <c r="E2013"/>
  <c r="D2013"/>
  <c r="C2013"/>
  <c r="B2013"/>
  <c r="F2017"/>
  <c r="E2017"/>
  <c r="D2017"/>
  <c r="C2017"/>
  <c r="B2017"/>
  <c r="A1962"/>
  <c r="A1997"/>
  <c r="A2032"/>
  <c r="A1961"/>
  <c r="A1996"/>
  <c r="A2031"/>
  <c r="A1925"/>
  <c r="A1960" s="1"/>
  <c r="A1995" s="1"/>
  <c r="A2030" s="1"/>
  <c r="A1924"/>
  <c r="A1959" s="1"/>
  <c r="A1994" s="1"/>
  <c r="A2029" s="1"/>
  <c r="A1923"/>
  <c r="A1958" s="1"/>
  <c r="A1993" s="1"/>
  <c r="A2028" s="1"/>
  <c r="E2027"/>
  <c r="A1922"/>
  <c r="A1957" s="1"/>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s="1"/>
  <c r="E2007"/>
  <c r="E2015"/>
  <c r="E2026" s="1"/>
  <c r="D2007"/>
  <c r="D2015"/>
  <c r="D2026" s="1"/>
  <c r="C2007"/>
  <c r="C2015"/>
  <c r="C2026" s="1"/>
  <c r="B2007"/>
  <c r="B2015"/>
  <c r="B2026" s="1"/>
  <c r="A1951"/>
  <c r="A1986"/>
  <c r="A2021"/>
  <c r="A1950"/>
  <c r="A1985"/>
  <c r="A2020"/>
  <c r="A1914"/>
  <c r="A1949" s="1"/>
  <c r="A1984" s="1"/>
  <c r="A2019" s="1"/>
  <c r="A1913"/>
  <c r="A1948" s="1"/>
  <c r="A1983" s="1"/>
  <c r="A2018" s="1"/>
  <c r="A1912"/>
  <c r="A1947" s="1"/>
  <c r="A1982" s="1"/>
  <c r="A2017" s="1"/>
  <c r="A1911"/>
  <c r="A1946" s="1"/>
  <c r="A1981" s="1"/>
  <c r="A2016" s="1"/>
  <c r="F2014"/>
  <c r="E2014"/>
  <c r="D2014"/>
  <c r="C2014"/>
  <c r="B2014"/>
  <c r="F2012"/>
  <c r="E2012"/>
  <c r="D2012"/>
  <c r="C2012"/>
  <c r="B2012"/>
  <c r="F2008"/>
  <c r="F2009"/>
  <c r="E2008"/>
  <c r="E2009"/>
  <c r="D2008"/>
  <c r="D2009"/>
  <c r="C2008"/>
  <c r="C2009"/>
  <c r="B2008"/>
  <c r="B2009"/>
  <c r="A2001"/>
  <c r="A2000"/>
  <c r="A1999"/>
  <c r="K1978"/>
  <c r="J1978"/>
  <c r="I1978"/>
  <c r="H1978"/>
  <c r="G1978"/>
  <c r="F1978"/>
  <c r="E1978"/>
  <c r="D1978"/>
  <c r="C1978"/>
  <c r="B1978"/>
  <c r="K1982"/>
  <c r="J1982"/>
  <c r="I1982"/>
  <c r="H1982"/>
  <c r="G1982"/>
  <c r="F1982"/>
  <c r="E1982"/>
  <c r="D1982"/>
  <c r="C1982"/>
  <c r="B1982"/>
  <c r="H1993"/>
  <c r="J1992"/>
  <c r="F1992"/>
  <c r="B1992"/>
  <c r="K1972"/>
  <c r="K1980"/>
  <c r="K1991" s="1"/>
  <c r="J1972"/>
  <c r="J1980"/>
  <c r="J1991" s="1"/>
  <c r="I1972"/>
  <c r="I1980"/>
  <c r="I1991" s="1"/>
  <c r="H1972"/>
  <c r="H1980"/>
  <c r="H1991" s="1"/>
  <c r="G1972"/>
  <c r="G1980"/>
  <c r="G1991" s="1"/>
  <c r="F1972"/>
  <c r="F1980"/>
  <c r="F1991" s="1"/>
  <c r="E1972"/>
  <c r="E1980"/>
  <c r="E1991" s="1"/>
  <c r="D1972"/>
  <c r="D1980"/>
  <c r="D1991" s="1"/>
  <c r="C1972"/>
  <c r="C1980"/>
  <c r="C1991" s="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J1943"/>
  <c r="I1943"/>
  <c r="H1943"/>
  <c r="G1943"/>
  <c r="F1943"/>
  <c r="E1943"/>
  <c r="D1943"/>
  <c r="C1943"/>
  <c r="B1943"/>
  <c r="K1947"/>
  <c r="J1947"/>
  <c r="I1947"/>
  <c r="H1947"/>
  <c r="G1947"/>
  <c r="F1947"/>
  <c r="E1947"/>
  <c r="D1947"/>
  <c r="D1958" s="1"/>
  <c r="C1947"/>
  <c r="B1947"/>
  <c r="H1957"/>
  <c r="D1957"/>
  <c r="K1937"/>
  <c r="K1945"/>
  <c r="K1956" s="1"/>
  <c r="J1937"/>
  <c r="J1945"/>
  <c r="J1956" s="1"/>
  <c r="I1937"/>
  <c r="I1945"/>
  <c r="I1956" s="1"/>
  <c r="H1937"/>
  <c r="H1945"/>
  <c r="H1956" s="1"/>
  <c r="G1937"/>
  <c r="G1945"/>
  <c r="G1956" s="1"/>
  <c r="F1937"/>
  <c r="F1945"/>
  <c r="F1956" s="1"/>
  <c r="E1937"/>
  <c r="E1945"/>
  <c r="E1956" s="1"/>
  <c r="D1937"/>
  <c r="D1945"/>
  <c r="D1956" s="1"/>
  <c r="C1937"/>
  <c r="C1945"/>
  <c r="C1956" s="1"/>
  <c r="B1937"/>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J1908"/>
  <c r="I1908"/>
  <c r="H1908"/>
  <c r="G1908"/>
  <c r="F1908"/>
  <c r="E1908"/>
  <c r="D1908"/>
  <c r="C1908"/>
  <c r="B1908"/>
  <c r="K1912"/>
  <c r="J1912"/>
  <c r="J1923" s="1"/>
  <c r="I1912"/>
  <c r="H1912"/>
  <c r="H1923" s="1"/>
  <c r="G1912"/>
  <c r="F1912"/>
  <c r="F1923" s="1"/>
  <c r="E1912"/>
  <c r="D1912"/>
  <c r="D1923" s="1"/>
  <c r="C1912"/>
  <c r="B1912"/>
  <c r="B1923" s="1"/>
  <c r="H1922"/>
  <c r="D1922"/>
  <c r="K1902"/>
  <c r="K1910"/>
  <c r="K1921" s="1"/>
  <c r="J1902"/>
  <c r="J1910"/>
  <c r="J1921" s="1"/>
  <c r="I1902"/>
  <c r="I1910"/>
  <c r="I1921" s="1"/>
  <c r="H1902"/>
  <c r="H1910"/>
  <c r="H1921" s="1"/>
  <c r="G1902"/>
  <c r="G1910"/>
  <c r="G1921" s="1"/>
  <c r="F1902"/>
  <c r="F1910"/>
  <c r="F1921" s="1"/>
  <c r="E1902"/>
  <c r="E1910"/>
  <c r="E1921" s="1"/>
  <c r="D1902"/>
  <c r="D1910"/>
  <c r="D1921" s="1"/>
  <c r="C1902"/>
  <c r="C1910"/>
  <c r="C1921" s="1"/>
  <c r="B1902"/>
  <c r="B1903" s="1"/>
  <c r="B1904"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61"/>
  <c r="F1870"/>
  <c r="K1859"/>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s="1"/>
  <c r="M17" i="15"/>
  <c r="B387" i="35"/>
  <c r="B386"/>
  <c r="B385"/>
  <c r="R345"/>
  <c r="A205"/>
  <c r="I183"/>
  <c r="H88"/>
  <c r="L53"/>
  <c r="J36"/>
  <c r="J35"/>
  <c r="A30"/>
  <c r="A2"/>
  <c r="M85" i="11"/>
  <c r="M84"/>
  <c r="A105"/>
  <c r="A2597" i="35" s="1"/>
  <c r="O93" i="11"/>
  <c r="O2585" i="35" s="1"/>
  <c r="A179" i="11"/>
  <c r="A178"/>
  <c r="P40"/>
  <c r="O40"/>
  <c r="O82"/>
  <c r="O2574" i="35" s="1"/>
  <c r="R2574" s="1"/>
  <c r="O8" i="11"/>
  <c r="O55"/>
  <c r="O139"/>
  <c r="O132" s="1"/>
  <c r="O166"/>
  <c r="O180"/>
  <c r="O2672" i="35"/>
  <c r="O2667" s="1"/>
  <c r="O175" i="11"/>
  <c r="O191"/>
  <c r="O199"/>
  <c r="O235"/>
  <c r="O227"/>
  <c r="O270"/>
  <c r="O279"/>
  <c r="G109" i="15"/>
  <c r="D37" i="3"/>
  <c r="D390" i="35" s="1"/>
  <c r="C109" i="15"/>
  <c r="F108"/>
  <c r="J25" i="7"/>
  <c r="J54" i="35" s="1"/>
  <c r="I3" i="29"/>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7" i="15"/>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T48" s="1"/>
  <c r="AS10"/>
  <c r="AR10"/>
  <c r="AR48" s="1"/>
  <c r="AQ10"/>
  <c r="AP10"/>
  <c r="AP48" s="1"/>
  <c r="AO10"/>
  <c r="AN10"/>
  <c r="AN48" s="1"/>
  <c r="F107" i="15"/>
  <c r="F106"/>
  <c r="J158"/>
  <c r="E34"/>
  <c r="F34" s="1"/>
  <c r="E35"/>
  <c r="S36"/>
  <c r="S17"/>
  <c r="S23"/>
  <c r="S27"/>
  <c r="S32"/>
  <c r="S56"/>
  <c r="S68"/>
  <c r="S74"/>
  <c r="S83"/>
  <c r="S98"/>
  <c r="S104"/>
  <c r="S109"/>
  <c r="S117"/>
  <c r="S121"/>
  <c r="J26" i="7"/>
  <c r="O3" i="36" s="1"/>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H97" s="1"/>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s="1"/>
  <c r="P175" i="11"/>
  <c r="P8"/>
  <c r="P55"/>
  <c r="P139"/>
  <c r="P132" s="1"/>
  <c r="P294" s="1"/>
  <c r="P6" s="1"/>
  <c r="P166"/>
  <c r="P191"/>
  <c r="P199"/>
  <c r="P235"/>
  <c r="P227"/>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726" i="35" s="1"/>
  <c r="P12" i="36"/>
  <c r="Q12" s="1"/>
  <c r="Q1727" i="35" s="1"/>
  <c r="P13" i="36"/>
  <c r="P1728" i="35" s="1"/>
  <c r="P14" i="36"/>
  <c r="P1729" i="35"/>
  <c r="P10" i="36"/>
  <c r="Q10" s="1"/>
  <c r="Q1725" i="35" s="1"/>
  <c r="A37" i="8"/>
  <c r="A72" s="1"/>
  <c r="A107" s="1"/>
  <c r="A142" s="1"/>
  <c r="A36"/>
  <c r="A71" s="1"/>
  <c r="A106" s="1"/>
  <c r="A141" s="1"/>
  <c r="A35"/>
  <c r="A70" s="1"/>
  <c r="A105" s="1"/>
  <c r="A140" s="1"/>
  <c r="A34"/>
  <c r="A69" s="1"/>
  <c r="A104" s="1"/>
  <c r="A139" s="1"/>
  <c r="A73"/>
  <c r="A108"/>
  <c r="A143"/>
  <c r="A74"/>
  <c r="A109"/>
  <c r="A144"/>
  <c r="A63"/>
  <c r="A98"/>
  <c r="A133"/>
  <c r="A26"/>
  <c r="A61" s="1"/>
  <c r="A96" s="1"/>
  <c r="A131" s="1"/>
  <c r="A25"/>
  <c r="A60" s="1"/>
  <c r="A95" s="1"/>
  <c r="A130" s="1"/>
  <c r="A24"/>
  <c r="A59" s="1"/>
  <c r="A94" s="1"/>
  <c r="A129" s="1"/>
  <c r="A23"/>
  <c r="A58" s="1"/>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51" i="8"/>
  <c r="F2039" i="35" s="1"/>
  <c r="E151" i="8"/>
  <c r="E2039" i="35" s="1"/>
  <c r="D151" i="8"/>
  <c r="D2039" i="35" s="1"/>
  <c r="C151" i="8"/>
  <c r="C2039" i="35" s="1"/>
  <c r="B151" i="8"/>
  <c r="B2039" i="35" s="1"/>
  <c r="F150" i="8"/>
  <c r="F2038" i="35" s="1"/>
  <c r="E150" i="8"/>
  <c r="E2038" i="35" s="1"/>
  <c r="D150" i="8"/>
  <c r="D2038" i="35" s="1"/>
  <c r="C150" i="8"/>
  <c r="C2038" i="35" s="1"/>
  <c r="B150" i="8"/>
  <c r="B2038" i="35" s="1"/>
  <c r="F149" i="8"/>
  <c r="F2037" i="35" s="1"/>
  <c r="E149" i="8"/>
  <c r="E2037" i="35" s="1"/>
  <c r="D149" i="8"/>
  <c r="D2037" i="35" s="1"/>
  <c r="C149" i="8"/>
  <c r="C2037" i="35" s="1"/>
  <c r="B149" i="8"/>
  <c r="B2037" i="35" s="1"/>
  <c r="F148" i="8"/>
  <c r="F2036" i="35" s="1"/>
  <c r="E148" i="8"/>
  <c r="E2036" i="35" s="1"/>
  <c r="D148" i="8"/>
  <c r="D2036" i="35" s="1"/>
  <c r="C148" i="8"/>
  <c r="C2036" i="35" s="1"/>
  <c r="B148" i="8"/>
  <c r="B2036" i="35" s="1"/>
  <c r="K116" i="8"/>
  <c r="K2004" i="35" s="1"/>
  <c r="J116" i="8"/>
  <c r="J2004" i="35" s="1"/>
  <c r="I116" i="8"/>
  <c r="I2004" i="35" s="1"/>
  <c r="H116" i="8"/>
  <c r="H2004" i="35" s="1"/>
  <c r="G116" i="8"/>
  <c r="G2004" i="35" s="1"/>
  <c r="F116" i="8"/>
  <c r="F2004" i="35" s="1"/>
  <c r="E116" i="8"/>
  <c r="E2004" i="35" s="1"/>
  <c r="D116" i="8"/>
  <c r="D2004" i="35" s="1"/>
  <c r="C116" i="8"/>
  <c r="C2004" i="35" s="1"/>
  <c r="B116" i="8"/>
  <c r="B2004"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113" i="8"/>
  <c r="K2001" i="35" s="1"/>
  <c r="J113" i="8"/>
  <c r="J2001" i="35" s="1"/>
  <c r="I113" i="8"/>
  <c r="I2001" i="35" s="1"/>
  <c r="H113" i="8"/>
  <c r="H2001" i="35" s="1"/>
  <c r="G113" i="8"/>
  <c r="G2001" i="35" s="1"/>
  <c r="F113" i="8"/>
  <c r="F2001" i="35" s="1"/>
  <c r="E113" i="8"/>
  <c r="E2001" i="35" s="1"/>
  <c r="D113" i="8"/>
  <c r="D2001" i="35" s="1"/>
  <c r="C113" i="8"/>
  <c r="C2001" i="35" s="1"/>
  <c r="B113" i="8"/>
  <c r="B2001" i="35" s="1"/>
  <c r="K81" i="8"/>
  <c r="K1969" i="35" s="1"/>
  <c r="J81" i="8"/>
  <c r="J1969" i="35" s="1"/>
  <c r="I81" i="8"/>
  <c r="I1969" i="35" s="1"/>
  <c r="H81" i="8"/>
  <c r="H1969" i="35" s="1"/>
  <c r="G81" i="8"/>
  <c r="G1969" i="35" s="1"/>
  <c r="F81" i="8"/>
  <c r="F1969" i="35" s="1"/>
  <c r="E81" i="8"/>
  <c r="E1969" i="35" s="1"/>
  <c r="D81" i="8"/>
  <c r="D1969" i="35" s="1"/>
  <c r="C81" i="8"/>
  <c r="C1969" i="35" s="1"/>
  <c r="B81" i="8"/>
  <c r="B1969"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K78" i="8"/>
  <c r="K1966" i="35" s="1"/>
  <c r="J78" i="8"/>
  <c r="J1966" i="35" s="1"/>
  <c r="I78" i="8"/>
  <c r="I1966" i="35" s="1"/>
  <c r="H78" i="8"/>
  <c r="H1966" i="35" s="1"/>
  <c r="G78" i="8"/>
  <c r="G1966" i="35" s="1"/>
  <c r="F78" i="8"/>
  <c r="F1966" i="35" s="1"/>
  <c r="E78" i="8"/>
  <c r="E1966" i="35" s="1"/>
  <c r="D78" i="8"/>
  <c r="D1966" i="35" s="1"/>
  <c r="C78" i="8"/>
  <c r="C1966" i="35" s="1"/>
  <c r="B78" i="8"/>
  <c r="B1966" i="35" s="1"/>
  <c r="C43" i="8"/>
  <c r="C1931" i="35" s="1"/>
  <c r="D43" i="8"/>
  <c r="D1931" i="35" s="1"/>
  <c r="E43" i="8"/>
  <c r="E1931" i="35" s="1"/>
  <c r="F43" i="8"/>
  <c r="F1931" i="35" s="1"/>
  <c r="G43" i="8"/>
  <c r="G1931" i="35" s="1"/>
  <c r="H43" i="8"/>
  <c r="H1931" i="35" s="1"/>
  <c r="I43" i="8"/>
  <c r="I1931" i="35" s="1"/>
  <c r="J43" i="8"/>
  <c r="J1931" i="35" s="1"/>
  <c r="K43" i="8"/>
  <c r="K1931"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C46" i="8"/>
  <c r="C1934" i="35" s="1"/>
  <c r="D46" i="8"/>
  <c r="D1934" i="35" s="1"/>
  <c r="E46" i="8"/>
  <c r="E1934" i="35" s="1"/>
  <c r="F46" i="8"/>
  <c r="F1934" i="35" s="1"/>
  <c r="G46" i="8"/>
  <c r="G1934" i="35" s="1"/>
  <c r="H46" i="8"/>
  <c r="H1934" i="35" s="1"/>
  <c r="I46" i="8"/>
  <c r="I1934" i="35" s="1"/>
  <c r="J46" i="8"/>
  <c r="J1934" i="35" s="1"/>
  <c r="K46" i="8"/>
  <c r="K1934" i="35" s="1"/>
  <c r="B46" i="8"/>
  <c r="B1934" i="35" s="1"/>
  <c r="B43" i="8"/>
  <c r="B1931" i="35" s="1"/>
  <c r="B44" i="8"/>
  <c r="B1932" i="35" s="1"/>
  <c r="B45" i="8"/>
  <c r="B1933" i="35" s="1"/>
  <c r="B32" i="8"/>
  <c r="B1920" i="35" s="1"/>
  <c r="M37" i="3"/>
  <c r="M390" i="35"/>
  <c r="F136" i="8"/>
  <c r="F2024" i="35" s="1"/>
  <c r="E136" i="8"/>
  <c r="E2024" i="35" s="1"/>
  <c r="D136" i="8"/>
  <c r="D2024" i="35" s="1"/>
  <c r="C136" i="8"/>
  <c r="C2024" i="35" s="1"/>
  <c r="B136" i="8"/>
  <c r="B2024" i="35" s="1"/>
  <c r="B30" i="8"/>
  <c r="M36" i="3"/>
  <c r="M389" i="35"/>
  <c r="F133" i="8"/>
  <c r="F2021" i="35" s="1"/>
  <c r="E133" i="8"/>
  <c r="E2021" i="35" s="1"/>
  <c r="D133" i="8"/>
  <c r="D2021" i="35" s="1"/>
  <c r="C133" i="8"/>
  <c r="C2021" i="35" s="1"/>
  <c r="B133" i="8"/>
  <c r="B2021" i="35" s="1"/>
  <c r="M35" i="3"/>
  <c r="M388" i="35"/>
  <c r="F132" i="8"/>
  <c r="F2020" i="35" s="1"/>
  <c r="E132" i="8"/>
  <c r="E2020" i="35" s="1"/>
  <c r="D132" i="8"/>
  <c r="D2020" i="35" s="1"/>
  <c r="C132" i="8"/>
  <c r="C2020" i="35" s="1"/>
  <c r="B132" i="8"/>
  <c r="B2020" i="35" s="1"/>
  <c r="M34" i="3"/>
  <c r="M387" i="35" s="1"/>
  <c r="F131" i="8"/>
  <c r="F2019" i="35" s="1"/>
  <c r="D131" i="8"/>
  <c r="D2019" i="35" s="1"/>
  <c r="B131" i="8"/>
  <c r="B2019" i="35" s="1"/>
  <c r="M33" i="3"/>
  <c r="M386" i="35" s="1"/>
  <c r="K101" i="8"/>
  <c r="K1989" i="35" s="1"/>
  <c r="J101" i="8"/>
  <c r="J1989" i="35" s="1"/>
  <c r="I101" i="8"/>
  <c r="I1989" i="35" s="1"/>
  <c r="H101" i="8"/>
  <c r="H1989" i="35" s="1"/>
  <c r="G101" i="8"/>
  <c r="G1989" i="35" s="1"/>
  <c r="F101" i="8"/>
  <c r="F1989" i="35" s="1"/>
  <c r="E101" i="8"/>
  <c r="E1989" i="35" s="1"/>
  <c r="D101" i="8"/>
  <c r="D1989" i="35" s="1"/>
  <c r="C101" i="8"/>
  <c r="C1989" i="35" s="1"/>
  <c r="B101" i="8"/>
  <c r="B1989" i="35" s="1"/>
  <c r="K98" i="8"/>
  <c r="K1986" i="35" s="1"/>
  <c r="J98" i="8"/>
  <c r="J1986" i="35" s="1"/>
  <c r="I98" i="8"/>
  <c r="I1986" i="35" s="1"/>
  <c r="H98" i="8"/>
  <c r="H1986" i="35" s="1"/>
  <c r="G98" i="8"/>
  <c r="G1986" i="35" s="1"/>
  <c r="F98" i="8"/>
  <c r="F1986" i="35" s="1"/>
  <c r="E98" i="8"/>
  <c r="E1986" i="35" s="1"/>
  <c r="D98" i="8"/>
  <c r="D1986" i="35" s="1"/>
  <c r="C98" i="8"/>
  <c r="C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K96" i="8"/>
  <c r="K1984" i="35" s="1"/>
  <c r="J96" i="8"/>
  <c r="J1984" i="35" s="1"/>
  <c r="I96" i="8"/>
  <c r="I1984" i="35" s="1"/>
  <c r="H96" i="8"/>
  <c r="H1984" i="35" s="1"/>
  <c r="G96" i="8"/>
  <c r="G1984" i="35" s="1"/>
  <c r="F96" i="8"/>
  <c r="F1984" i="35" s="1"/>
  <c r="E96" i="8"/>
  <c r="E1984" i="35" s="1"/>
  <c r="D96" i="8"/>
  <c r="D1984" i="35" s="1"/>
  <c r="C96" i="8"/>
  <c r="C1984" i="35" s="1"/>
  <c r="B96" i="8"/>
  <c r="B1984" i="35" s="1"/>
  <c r="K66" i="8"/>
  <c r="K1954" i="35" s="1"/>
  <c r="J66" i="8"/>
  <c r="J1954" i="35" s="1"/>
  <c r="I66" i="8"/>
  <c r="I1954" i="35" s="1"/>
  <c r="H66" i="8"/>
  <c r="H1954" i="35" s="1"/>
  <c r="G66" i="8"/>
  <c r="G1954" i="35" s="1"/>
  <c r="F66" i="8"/>
  <c r="F1954" i="35" s="1"/>
  <c r="E66" i="8"/>
  <c r="E1954" i="35" s="1"/>
  <c r="D66" i="8"/>
  <c r="D1954" i="35" s="1"/>
  <c r="C66" i="8"/>
  <c r="C1954" i="35" s="1"/>
  <c r="B66" i="8"/>
  <c r="B1954" i="35" s="1"/>
  <c r="K63" i="8"/>
  <c r="K1951" i="35" s="1"/>
  <c r="J63" i="8"/>
  <c r="J1951" i="35" s="1"/>
  <c r="I63" i="8"/>
  <c r="I1951" i="35" s="1"/>
  <c r="H63" i="8"/>
  <c r="H1951" i="35" s="1"/>
  <c r="G63" i="8"/>
  <c r="G1951" i="35" s="1"/>
  <c r="F63" i="8"/>
  <c r="F1951" i="35" s="1"/>
  <c r="E63" i="8"/>
  <c r="E1951" i="35" s="1"/>
  <c r="D63" i="8"/>
  <c r="D1951" i="35" s="1"/>
  <c r="C63" i="8"/>
  <c r="C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K61" i="8"/>
  <c r="K1949" i="35" s="1"/>
  <c r="J61" i="8"/>
  <c r="J1949" i="35" s="1"/>
  <c r="I61" i="8"/>
  <c r="I1949" i="35" s="1"/>
  <c r="H61" i="8"/>
  <c r="H1949" i="35" s="1"/>
  <c r="G61" i="8"/>
  <c r="G1949" i="35" s="1"/>
  <c r="F61" i="8"/>
  <c r="F1949" i="35" s="1"/>
  <c r="E61" i="8"/>
  <c r="E1949" i="35" s="1"/>
  <c r="D61" i="8"/>
  <c r="D1949" i="35" s="1"/>
  <c r="C61" i="8"/>
  <c r="C1949" i="35" s="1"/>
  <c r="B61" i="8"/>
  <c r="B1949" i="35" s="1"/>
  <c r="C26" i="8"/>
  <c r="C1914" i="35" s="1"/>
  <c r="D26" i="8"/>
  <c r="D1914" i="35" s="1"/>
  <c r="E26" i="8"/>
  <c r="E1914" i="35" s="1"/>
  <c r="F26" i="8"/>
  <c r="F1914" i="35" s="1"/>
  <c r="G26" i="8"/>
  <c r="G1914" i="35" s="1"/>
  <c r="H26" i="8"/>
  <c r="H1914" i="35" s="1"/>
  <c r="I26" i="8"/>
  <c r="I1914" i="35" s="1"/>
  <c r="J26" i="8"/>
  <c r="J1914" i="35" s="1"/>
  <c r="K26" i="8"/>
  <c r="K1914" i="35" s="1"/>
  <c r="C27" i="8"/>
  <c r="C1915" i="35" s="1"/>
  <c r="D27" i="8"/>
  <c r="D1915" i="35" s="1"/>
  <c r="E27" i="8"/>
  <c r="E1915" i="35" s="1"/>
  <c r="F27" i="8"/>
  <c r="F1915" i="35" s="1"/>
  <c r="G27" i="8"/>
  <c r="G1915" i="35" s="1"/>
  <c r="H27" i="8"/>
  <c r="H1915" i="35" s="1"/>
  <c r="I27" i="8"/>
  <c r="I1915" i="35" s="1"/>
  <c r="J27" i="8"/>
  <c r="J1915" i="35" s="1"/>
  <c r="K27" i="8"/>
  <c r="K1915" i="35" s="1"/>
  <c r="C28" i="8"/>
  <c r="C1916" i="35" s="1"/>
  <c r="D28" i="8"/>
  <c r="D1916" i="35" s="1"/>
  <c r="E28" i="8"/>
  <c r="E1916" i="35" s="1"/>
  <c r="F28" i="8"/>
  <c r="F1916" i="35" s="1"/>
  <c r="G28" i="8"/>
  <c r="G1916" i="35" s="1"/>
  <c r="H28" i="8"/>
  <c r="H1916" i="35" s="1"/>
  <c r="I28" i="8"/>
  <c r="I1916" i="35" s="1"/>
  <c r="J28" i="8"/>
  <c r="J1916" i="35" s="1"/>
  <c r="K28" i="8"/>
  <c r="K1916" i="35" s="1"/>
  <c r="C31" i="8"/>
  <c r="C1919" i="35" s="1"/>
  <c r="D31" i="8"/>
  <c r="D1919" i="35" s="1"/>
  <c r="E31" i="8"/>
  <c r="E1919" i="35" s="1"/>
  <c r="F31" i="8"/>
  <c r="F1919" i="35" s="1"/>
  <c r="G31" i="8"/>
  <c r="G1919" i="35" s="1"/>
  <c r="H31" i="8"/>
  <c r="H1919" i="35" s="1"/>
  <c r="I31" i="8"/>
  <c r="I1919" i="35" s="1"/>
  <c r="J31" i="8"/>
  <c r="J1919" i="35" s="1"/>
  <c r="K31" i="8"/>
  <c r="K1919" i="35" s="1"/>
  <c r="B26" i="8"/>
  <c r="B1914" i="35" s="1"/>
  <c r="B27" i="8"/>
  <c r="B1915" i="35" s="1"/>
  <c r="B28" i="8"/>
  <c r="B1916" i="35" s="1"/>
  <c r="B31" i="8"/>
  <c r="B1919" i="35" s="1"/>
  <c r="B20" i="8"/>
  <c r="P1863" i="35" s="1"/>
  <c r="AZ48" i="36"/>
  <c r="J65" s="1"/>
  <c r="M83"/>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F125" i="8"/>
  <c r="E125"/>
  <c r="D125"/>
  <c r="C125"/>
  <c r="B125"/>
  <c r="K90"/>
  <c r="J90"/>
  <c r="I90"/>
  <c r="H90"/>
  <c r="G90"/>
  <c r="F90"/>
  <c r="E90"/>
  <c r="D90"/>
  <c r="C90"/>
  <c r="B90"/>
  <c r="K55"/>
  <c r="J55"/>
  <c r="I55"/>
  <c r="H55"/>
  <c r="G55"/>
  <c r="F55"/>
  <c r="E55"/>
  <c r="D55"/>
  <c r="C55"/>
  <c r="B55"/>
  <c r="C20"/>
  <c r="D20"/>
  <c r="E20"/>
  <c r="F20"/>
  <c r="G20"/>
  <c r="H20"/>
  <c r="I20"/>
  <c r="J20"/>
  <c r="K20"/>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c r="K13"/>
  <c r="L13" s="1"/>
  <c r="K10"/>
  <c r="L10" s="1"/>
  <c r="K11"/>
  <c r="L11"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C118" i="8"/>
  <c r="D118"/>
  <c r="E118"/>
  <c r="F118"/>
  <c r="F139"/>
  <c r="B129"/>
  <c r="C129"/>
  <c r="D129"/>
  <c r="E129"/>
  <c r="F129"/>
  <c r="F140" s="1"/>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A48" i="36"/>
  <c r="A7" s="1"/>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J24"/>
  <c r="K24"/>
  <c r="B24"/>
  <c r="G109" i="36"/>
  <c r="B17" i="8"/>
  <c r="H109" i="36"/>
  <c r="C17" i="8"/>
  <c r="I109" i="36"/>
  <c r="D17" i="8"/>
  <c r="J109" i="36"/>
  <c r="E17" i="8"/>
  <c r="K109" i="36"/>
  <c r="F17" i="8"/>
  <c r="L109" i="36"/>
  <c r="G17" i="8"/>
  <c r="M109" i="36"/>
  <c r="H17" i="8"/>
  <c r="N109" i="36"/>
  <c r="I17" i="8"/>
  <c r="O109" i="36"/>
  <c r="J17" i="8"/>
  <c r="P109" i="36"/>
  <c r="K17" i="8"/>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48" s="1"/>
  <c r="I89" s="1"/>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Y9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S48" s="1"/>
  <c r="FT13"/>
  <c r="FU13"/>
  <c r="FV13"/>
  <c r="FW13"/>
  <c r="FX13"/>
  <c r="FY13"/>
  <c r="FZ13"/>
  <c r="GA13"/>
  <c r="GB13"/>
  <c r="GC13"/>
  <c r="GC48" s="1"/>
  <c r="GD13"/>
  <c r="GE13"/>
  <c r="GF13"/>
  <c r="GG13"/>
  <c r="GH13"/>
  <c r="GI13"/>
  <c r="GJ13"/>
  <c r="GK13"/>
  <c r="GK48" s="1"/>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E10"/>
  <c r="GD10"/>
  <c r="GB10"/>
  <c r="GA10"/>
  <c r="FZ10"/>
  <c r="FY10"/>
  <c r="FY48"/>
  <c r="FW10"/>
  <c r="FV10"/>
  <c r="FU10"/>
  <c r="FU48" s="1"/>
  <c r="FT10"/>
  <c r="FW48"/>
  <c r="A1" i="11"/>
  <c r="O7" i="15"/>
  <c r="O18"/>
  <c r="O24"/>
  <c r="O28"/>
  <c r="O33"/>
  <c r="O47"/>
  <c r="O57"/>
  <c r="O69"/>
  <c r="O75"/>
  <c r="O88"/>
  <c r="O99"/>
  <c r="O105"/>
  <c r="O110"/>
  <c r="O118"/>
  <c r="J156"/>
  <c r="CT48" i="36"/>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BW48" i="36"/>
  <c r="Y92" s="1"/>
  <c r="AM48"/>
  <c r="L60" s="1"/>
  <c r="AL48"/>
  <c r="K60" s="1"/>
  <c r="AK48"/>
  <c r="J60" s="1"/>
  <c r="AJ48"/>
  <c r="Z60" s="1"/>
  <c r="AI48"/>
  <c r="H60" s="1"/>
  <c r="AC48"/>
  <c r="L58" s="1"/>
  <c r="X48"/>
  <c r="L57" s="1"/>
  <c r="AB48"/>
  <c r="AB58" s="1"/>
  <c r="W48"/>
  <c r="K57" s="1"/>
  <c r="AA48"/>
  <c r="J58" s="1"/>
  <c r="V48"/>
  <c r="J57" s="1"/>
  <c r="Z48"/>
  <c r="Z58" s="1"/>
  <c r="U48"/>
  <c r="I57" s="1"/>
  <c r="Y48"/>
  <c r="H58" s="1"/>
  <c r="T48"/>
  <c r="Y57" s="1"/>
  <c r="M123" i="15"/>
  <c r="M140" s="1"/>
  <c r="M142" s="1"/>
  <c r="M144" s="1"/>
  <c r="O38" i="11"/>
  <c r="O2532" i="35"/>
  <c r="P38" i="11"/>
  <c r="P2532" i="35"/>
  <c r="A3"/>
  <c r="A354"/>
  <c r="A414"/>
  <c r="A471"/>
  <c r="G471"/>
  <c r="A959"/>
  <c r="A1008"/>
  <c r="I1675"/>
  <c r="R2672"/>
  <c r="P2530"/>
  <c r="P2786" s="1"/>
  <c r="P2498" s="1"/>
  <c r="I58" i="36"/>
  <c r="K58"/>
  <c r="I60"/>
  <c r="H92"/>
  <c r="J154" i="15" l="1"/>
  <c r="J1513" i="35"/>
  <c r="P1513"/>
  <c r="G1523"/>
  <c r="S1523"/>
  <c r="J1528"/>
  <c r="P1528"/>
  <c r="G1532"/>
  <c r="J1532"/>
  <c r="M1532"/>
  <c r="P1532"/>
  <c r="S1532"/>
  <c r="P1552"/>
  <c r="P1570"/>
  <c r="M1579"/>
  <c r="S1579"/>
  <c r="S1600"/>
  <c r="P1605"/>
  <c r="D1993"/>
  <c r="J1654"/>
  <c r="B1535"/>
  <c r="J1579"/>
  <c r="U1510"/>
  <c r="A1563"/>
  <c r="A1616"/>
  <c r="B1918"/>
  <c r="C30" i="8"/>
  <c r="D30" s="1"/>
  <c r="E30" s="1"/>
  <c r="F30" s="1"/>
  <c r="G30" s="1"/>
  <c r="H30" s="1"/>
  <c r="I30" s="1"/>
  <c r="J30" s="1"/>
  <c r="K30" s="1"/>
  <c r="B65" s="1"/>
  <c r="C65" s="1"/>
  <c r="D65" s="1"/>
  <c r="E65" s="1"/>
  <c r="F65" s="1"/>
  <c r="B1958" i="35"/>
  <c r="F1958"/>
  <c r="H1958"/>
  <c r="J1958"/>
  <c r="D1992"/>
  <c r="B1993"/>
  <c r="F1993"/>
  <c r="J1993"/>
  <c r="H402"/>
  <c r="L378"/>
  <c r="O2691"/>
  <c r="M385"/>
  <c r="F1881"/>
  <c r="C131" i="8"/>
  <c r="C2019" i="35" s="1"/>
  <c r="E131" i="8"/>
  <c r="E2019" i="35" s="1"/>
  <c r="R2693"/>
  <c r="M1619"/>
  <c r="M1636" s="1"/>
  <c r="M1638" s="1"/>
  <c r="M1640" s="1"/>
  <c r="G1513"/>
  <c r="J1523"/>
  <c r="E23" i="8"/>
  <c r="E34" s="1"/>
  <c r="G1552" i="35"/>
  <c r="S123" i="15"/>
  <c r="G25" i="8"/>
  <c r="G1913" i="35" s="1"/>
  <c r="G1924" s="1"/>
  <c r="E60" i="8"/>
  <c r="E1948" i="35" s="1"/>
  <c r="B1963"/>
  <c r="D1963"/>
  <c r="F1963"/>
  <c r="H1963"/>
  <c r="J1963"/>
  <c r="B1998"/>
  <c r="D1998"/>
  <c r="F1998"/>
  <c r="H1998"/>
  <c r="J1998"/>
  <c r="D2028"/>
  <c r="C1923"/>
  <c r="E1923"/>
  <c r="G1923"/>
  <c r="I1923"/>
  <c r="K1923"/>
  <c r="C1958"/>
  <c r="E1958"/>
  <c r="G1958"/>
  <c r="I1958"/>
  <c r="K1958"/>
  <c r="C1993"/>
  <c r="E1993"/>
  <c r="G1993"/>
  <c r="I1993"/>
  <c r="K1993"/>
  <c r="I23" i="8"/>
  <c r="I34" s="1"/>
  <c r="E33" i="15"/>
  <c r="B1928" i="35"/>
  <c r="D1928"/>
  <c r="F1928"/>
  <c r="H1928"/>
  <c r="J1928"/>
  <c r="C2033"/>
  <c r="E2033"/>
  <c r="G1564"/>
  <c r="J1564"/>
  <c r="J1605"/>
  <c r="C23" i="8"/>
  <c r="G23"/>
  <c r="C58"/>
  <c r="C1922" i="35"/>
  <c r="E1922"/>
  <c r="G1922"/>
  <c r="I1922"/>
  <c r="K1922"/>
  <c r="C1928"/>
  <c r="E1928"/>
  <c r="G1928"/>
  <c r="I1928"/>
  <c r="K1928"/>
  <c r="C1957"/>
  <c r="E1957"/>
  <c r="G1957"/>
  <c r="I1957"/>
  <c r="K1957"/>
  <c r="C1963"/>
  <c r="E1963"/>
  <c r="G1963"/>
  <c r="I1963"/>
  <c r="K1963"/>
  <c r="C1992"/>
  <c r="E1992"/>
  <c r="G1992"/>
  <c r="I1992"/>
  <c r="K1992"/>
  <c r="C1998"/>
  <c r="E1998"/>
  <c r="G1998"/>
  <c r="I1998"/>
  <c r="K1998"/>
  <c r="C2028"/>
  <c r="E2028"/>
  <c r="B2033"/>
  <c r="D2033"/>
  <c r="F2033"/>
  <c r="E1529"/>
  <c r="K25" i="8"/>
  <c r="K1913" i="35" s="1"/>
  <c r="K1924" s="1"/>
  <c r="C25" i="8"/>
  <c r="C38" s="1"/>
  <c r="I60"/>
  <c r="I1948" i="35" s="1"/>
  <c r="D95" i="8"/>
  <c r="D1983" i="35" s="1"/>
  <c r="D1994" s="1"/>
  <c r="J1552"/>
  <c r="J1651"/>
  <c r="J1653" s="1"/>
  <c r="J1655" s="1"/>
  <c r="O294" i="11"/>
  <c r="O6" s="1"/>
  <c r="O2530" i="35"/>
  <c r="O2786" s="1"/>
  <c r="O2498" s="1"/>
  <c r="J155" i="15"/>
  <c r="J157" s="1"/>
  <c r="J159" s="1"/>
  <c r="I25" i="8"/>
  <c r="I38" s="1"/>
  <c r="E25"/>
  <c r="C60"/>
  <c r="C1948" i="35" s="1"/>
  <c r="G60" i="8"/>
  <c r="G1948" i="35" s="1"/>
  <c r="K60" i="8"/>
  <c r="K1948" i="35" s="1"/>
  <c r="J95" i="8"/>
  <c r="J1983" i="35" s="1"/>
  <c r="J1995" s="1"/>
  <c r="B25" i="8"/>
  <c r="B1913" i="35" s="1"/>
  <c r="J25" i="8"/>
  <c r="J1913" i="35" s="1"/>
  <c r="J1924" s="1"/>
  <c r="H25" i="8"/>
  <c r="H1913" i="35" s="1"/>
  <c r="H1924" s="1"/>
  <c r="F25" i="8"/>
  <c r="F1913" i="35" s="1"/>
  <c r="F1924" s="1"/>
  <c r="D25" i="8"/>
  <c r="D1913" i="35" s="1"/>
  <c r="D1924" s="1"/>
  <c r="B60" i="8"/>
  <c r="B1948" i="35" s="1"/>
  <c r="B1959" s="1"/>
  <c r="D60" i="8"/>
  <c r="D1948" i="35" s="1"/>
  <c r="D1960" s="1"/>
  <c r="F60" i="8"/>
  <c r="F1948" i="35" s="1"/>
  <c r="F1960" s="1"/>
  <c r="H60" i="8"/>
  <c r="H1948" i="35" s="1"/>
  <c r="H1960" s="1"/>
  <c r="J60" i="8"/>
  <c r="J1948" i="35" s="1"/>
  <c r="J1959" s="1"/>
  <c r="B95" i="8"/>
  <c r="B1983" i="35" s="1"/>
  <c r="F95" i="8"/>
  <c r="F1983" i="35" s="1"/>
  <c r="F1994" s="1"/>
  <c r="D2018"/>
  <c r="D2029" s="1"/>
  <c r="C95" i="8"/>
  <c r="C1983" i="35" s="1"/>
  <c r="E95" i="8"/>
  <c r="E1983" i="35" s="1"/>
  <c r="H95" i="8"/>
  <c r="H1983" i="35" s="1"/>
  <c r="H1994" s="1"/>
  <c r="B2018"/>
  <c r="B2029" s="1"/>
  <c r="F2018"/>
  <c r="F2029" s="1"/>
  <c r="G95" i="8"/>
  <c r="I95"/>
  <c r="K95"/>
  <c r="J123" i="15"/>
  <c r="J140" s="1"/>
  <c r="J142" s="1"/>
  <c r="J144" s="1"/>
  <c r="J1619" i="35"/>
  <c r="J1636" s="1"/>
  <c r="J1638" s="1"/>
  <c r="J1640" s="1"/>
  <c r="U1563"/>
  <c r="L26" i="3"/>
  <c r="L27" s="1"/>
  <c r="G1579" i="35"/>
  <c r="B39" i="15"/>
  <c r="F42" s="1"/>
  <c r="L379" i="35"/>
  <c r="F35" i="15"/>
  <c r="K1868" i="35"/>
  <c r="P1873" s="1"/>
  <c r="P148" i="36"/>
  <c r="P158" s="1"/>
  <c r="B19" i="8" s="1"/>
  <c r="GA48" i="36"/>
  <c r="GI48"/>
  <c r="GE48"/>
  <c r="FK48"/>
  <c r="J88" s="1"/>
  <c r="EZ48"/>
  <c r="I86" s="1"/>
  <c r="FN48"/>
  <c r="H87" s="1"/>
  <c r="FO48"/>
  <c r="I87" s="1"/>
  <c r="FA48"/>
  <c r="J86" s="1"/>
  <c r="AB60"/>
  <c r="AC58"/>
  <c r="AA58"/>
  <c r="Y58"/>
  <c r="AC60"/>
  <c r="AA60"/>
  <c r="Y60"/>
  <c r="AC57"/>
  <c r="AB57"/>
  <c r="AA57"/>
  <c r="Z57"/>
  <c r="H57"/>
  <c r="M57" s="1"/>
  <c r="CU48"/>
  <c r="CS48"/>
  <c r="AQ48"/>
  <c r="AG48"/>
  <c r="Q13"/>
  <c r="Q1728" i="35" s="1"/>
  <c r="P1727"/>
  <c r="L48" i="36"/>
  <c r="L49" s="1"/>
  <c r="B14" i="8" s="1"/>
  <c r="Q11" i="36"/>
  <c r="Q1726" i="35" s="1"/>
  <c r="P1725"/>
  <c r="GL48" i="36"/>
  <c r="GJ48"/>
  <c r="GH48"/>
  <c r="GB48"/>
  <c r="FZ48"/>
  <c r="FX48"/>
  <c r="FV48"/>
  <c r="FT48"/>
  <c r="AO48"/>
  <c r="BU48"/>
  <c r="AB62" s="1"/>
  <c r="FT1763" i="35"/>
  <c r="CQ48" i="36"/>
  <c r="CZ48"/>
  <c r="L97" s="1"/>
  <c r="K62"/>
  <c r="EV48"/>
  <c r="J85" s="1"/>
  <c r="GG48"/>
  <c r="CY48"/>
  <c r="CX48"/>
  <c r="CW48"/>
  <c r="BV48"/>
  <c r="BR1763" i="35"/>
  <c r="H1777" s="1"/>
  <c r="GF48" i="36"/>
  <c r="GD48"/>
  <c r="FC48"/>
  <c r="L86" s="1"/>
  <c r="GV48"/>
  <c r="GR48"/>
  <c r="DU48"/>
  <c r="Y77" s="1"/>
  <c r="EE48"/>
  <c r="BT48"/>
  <c r="AA62" s="1"/>
  <c r="BS48"/>
  <c r="I62" s="1"/>
  <c r="BR48"/>
  <c r="Y62" s="1"/>
  <c r="GJ1763" i="35"/>
  <c r="H79" i="36"/>
  <c r="Y79"/>
  <c r="Z62"/>
  <c r="J97"/>
  <c r="AA97"/>
  <c r="FH48"/>
  <c r="L89" s="1"/>
  <c r="FM48"/>
  <c r="L88" s="1"/>
  <c r="FQ48"/>
  <c r="K87" s="1"/>
  <c r="Z86"/>
  <c r="EX48"/>
  <c r="L85" s="1"/>
  <c r="AA65"/>
  <c r="I97"/>
  <c r="Z97"/>
  <c r="L62"/>
  <c r="AC62"/>
  <c r="H62"/>
  <c r="H77"/>
  <c r="K97"/>
  <c r="AB97"/>
  <c r="J62"/>
  <c r="FF48"/>
  <c r="J89" s="1"/>
  <c r="FJ48"/>
  <c r="FB48"/>
  <c r="AB86" s="1"/>
  <c r="EU48"/>
  <c r="FG48"/>
  <c r="K89" s="1"/>
  <c r="FD48"/>
  <c r="FL48"/>
  <c r="K88" s="1"/>
  <c r="FI48"/>
  <c r="Y88" s="1"/>
  <c r="FR48"/>
  <c r="L87" s="1"/>
  <c r="FP48"/>
  <c r="AA87" s="1"/>
  <c r="EY48"/>
  <c r="Y86" s="1"/>
  <c r="EW48"/>
  <c r="AB85" s="1"/>
  <c r="ET48"/>
  <c r="H85" s="1"/>
  <c r="AB87"/>
  <c r="H88"/>
  <c r="AC86"/>
  <c r="I66"/>
  <c r="Z66"/>
  <c r="Z89"/>
  <c r="AA88"/>
  <c r="Z87"/>
  <c r="AA86"/>
  <c r="AA85"/>
  <c r="DV48"/>
  <c r="Z77" s="1"/>
  <c r="AA89"/>
  <c r="AB88"/>
  <c r="J87"/>
  <c r="K85"/>
  <c r="AC89"/>
  <c r="H89"/>
  <c r="Y89"/>
  <c r="I88"/>
  <c r="Z88"/>
  <c r="I85"/>
  <c r="Z85"/>
  <c r="ES48"/>
  <c r="EM48"/>
  <c r="EG48"/>
  <c r="AA79" s="1"/>
  <c r="EO48"/>
  <c r="BF48"/>
  <c r="BK48"/>
  <c r="AB70" s="1"/>
  <c r="BP48"/>
  <c r="AB69" s="1"/>
  <c r="DZ1763" i="35"/>
  <c r="EE1763"/>
  <c r="H1794" s="1"/>
  <c r="BT1763"/>
  <c r="AA1777" s="1"/>
  <c r="AB89" i="36"/>
  <c r="AC88"/>
  <c r="CH48"/>
  <c r="DE48"/>
  <c r="DM48"/>
  <c r="DG48"/>
  <c r="DF48"/>
  <c r="Y74" s="1"/>
  <c r="DT48"/>
  <c r="L76" s="1"/>
  <c r="M76" s="1"/>
  <c r="EB48"/>
  <c r="BB48"/>
  <c r="L65" s="1"/>
  <c r="AX48"/>
  <c r="Y65" s="1"/>
  <c r="AV48"/>
  <c r="AB66" s="1"/>
  <c r="Y1794" i="35"/>
  <c r="H74" i="36"/>
  <c r="H65"/>
  <c r="BD48"/>
  <c r="AC76"/>
  <c r="I77"/>
  <c r="L73"/>
  <c r="AC73"/>
  <c r="I74"/>
  <c r="Z74"/>
  <c r="K80"/>
  <c r="AB80"/>
  <c r="J79"/>
  <c r="HA48"/>
  <c r="GZ48"/>
  <c r="GY48"/>
  <c r="GX48"/>
  <c r="GW48"/>
  <c r="HC48"/>
  <c r="HJ48"/>
  <c r="HI48"/>
  <c r="GP48"/>
  <c r="GM48"/>
  <c r="GT48"/>
  <c r="GS48"/>
  <c r="DS48"/>
  <c r="ER48"/>
  <c r="BI48"/>
  <c r="Z70" s="1"/>
  <c r="BQ48"/>
  <c r="GX1763" i="35"/>
  <c r="DO48" i="36"/>
  <c r="DJ48"/>
  <c r="AC74" s="1"/>
  <c r="AC75" s="1"/>
  <c r="DH48"/>
  <c r="DC48"/>
  <c r="J73" s="1"/>
  <c r="DL48"/>
  <c r="DA48"/>
  <c r="Y73" s="1"/>
  <c r="ED48"/>
  <c r="DY48"/>
  <c r="AC77" s="1"/>
  <c r="AC78" s="1"/>
  <c r="DR48"/>
  <c r="EA48"/>
  <c r="DP48"/>
  <c r="EH48"/>
  <c r="AB79" s="1"/>
  <c r="AB81" s="1"/>
  <c r="EQ48"/>
  <c r="EL48"/>
  <c r="AA80" s="1"/>
  <c r="EJ48"/>
  <c r="BL48"/>
  <c r="CK48"/>
  <c r="CJ48"/>
  <c r="CI48"/>
  <c r="AH48"/>
  <c r="AB59"/>
  <c r="AB61" s="1"/>
  <c r="Z59"/>
  <c r="Z61" s="1"/>
  <c r="Z63" s="1"/>
  <c r="I59"/>
  <c r="I61" s="1"/>
  <c r="J59"/>
  <c r="J61" s="1"/>
  <c r="J63" s="1"/>
  <c r="K59"/>
  <c r="K61" s="1"/>
  <c r="K63" s="1"/>
  <c r="L59"/>
  <c r="L61" s="1"/>
  <c r="L63" s="1"/>
  <c r="M60"/>
  <c r="DW48"/>
  <c r="AA77" s="1"/>
  <c r="BM48"/>
  <c r="BH48"/>
  <c r="Y70" s="1"/>
  <c r="BO48"/>
  <c r="BN48"/>
  <c r="AY1763" i="35"/>
  <c r="AS1763"/>
  <c r="H1781" s="1"/>
  <c r="DA1763"/>
  <c r="DX1763"/>
  <c r="K1792" s="1"/>
  <c r="CD1763"/>
  <c r="CB1763"/>
  <c r="Y1808" s="1"/>
  <c r="AC59" i="36"/>
  <c r="AA59"/>
  <c r="AA61" s="1"/>
  <c r="AD58"/>
  <c r="CG48"/>
  <c r="AF48"/>
  <c r="AE48"/>
  <c r="AD48"/>
  <c r="GU48"/>
  <c r="DN48"/>
  <c r="DI48"/>
  <c r="K74" s="1"/>
  <c r="DD48"/>
  <c r="DB48"/>
  <c r="Z73" s="1"/>
  <c r="Z75" s="1"/>
  <c r="DK48"/>
  <c r="EC48"/>
  <c r="DX48"/>
  <c r="DQ48"/>
  <c r="Z76" s="1"/>
  <c r="DZ48"/>
  <c r="EN48"/>
  <c r="AC80" s="1"/>
  <c r="EI48"/>
  <c r="EP48"/>
  <c r="EK48"/>
  <c r="EF48"/>
  <c r="Z79" s="1"/>
  <c r="BA48"/>
  <c r="AY48"/>
  <c r="AW48"/>
  <c r="AU48"/>
  <c r="J66" s="1"/>
  <c r="J67" s="1"/>
  <c r="AS48"/>
  <c r="BJ48"/>
  <c r="H51" i="7"/>
  <c r="H80" i="35"/>
  <c r="Y59" i="36"/>
  <c r="AD57"/>
  <c r="Q57" s="1"/>
  <c r="H52" i="7"/>
  <c r="H81" i="35"/>
  <c r="J76" i="36"/>
  <c r="AA76"/>
  <c r="H76"/>
  <c r="H78" s="1"/>
  <c r="Y76"/>
  <c r="H80"/>
  <c r="Y80"/>
  <c r="Y81" s="1"/>
  <c r="Z69"/>
  <c r="I69"/>
  <c r="AB74"/>
  <c r="K77"/>
  <c r="AB77"/>
  <c r="L79"/>
  <c r="AC79"/>
  <c r="I80"/>
  <c r="Z80"/>
  <c r="K65"/>
  <c r="AB65"/>
  <c r="I65"/>
  <c r="Z65"/>
  <c r="L66"/>
  <c r="AC66"/>
  <c r="AA66"/>
  <c r="AA67" s="1"/>
  <c r="H66"/>
  <c r="Y66"/>
  <c r="HD48"/>
  <c r="HG48"/>
  <c r="GQ48"/>
  <c r="BC48"/>
  <c r="BE48"/>
  <c r="BG48"/>
  <c r="K69"/>
  <c r="CN48"/>
  <c r="CL48"/>
  <c r="CA48"/>
  <c r="BZ48"/>
  <c r="BY48"/>
  <c r="L74"/>
  <c r="L75" s="1"/>
  <c r="K73"/>
  <c r="AB73"/>
  <c r="K76"/>
  <c r="K78" s="1"/>
  <c r="AB76"/>
  <c r="J80"/>
  <c r="J81" s="1"/>
  <c r="AC70"/>
  <c r="L70"/>
  <c r="AC69"/>
  <c r="L69"/>
  <c r="L71" s="1"/>
  <c r="Y1781" i="35"/>
  <c r="Y1788"/>
  <c r="H1788"/>
  <c r="AB1792"/>
  <c r="J74" i="36"/>
  <c r="AA74"/>
  <c r="H73"/>
  <c r="H75" s="1"/>
  <c r="I76"/>
  <c r="I78" s="1"/>
  <c r="K79"/>
  <c r="K81" s="1"/>
  <c r="Y69"/>
  <c r="H69"/>
  <c r="AA70"/>
  <c r="J70"/>
  <c r="AA69"/>
  <c r="J69"/>
  <c r="J71" s="1"/>
  <c r="HB48"/>
  <c r="HK48"/>
  <c r="GO48"/>
  <c r="GN48"/>
  <c r="AD70"/>
  <c r="CP48"/>
  <c r="BX48"/>
  <c r="AD60"/>
  <c r="Q60" s="1"/>
  <c r="HF48"/>
  <c r="HE48"/>
  <c r="HH48"/>
  <c r="H59"/>
  <c r="M58"/>
  <c r="AC61"/>
  <c r="AC63" s="1"/>
  <c r="H81"/>
  <c r="I70"/>
  <c r="I71" s="1"/>
  <c r="CO48"/>
  <c r="CM48"/>
  <c r="CF48"/>
  <c r="CE48"/>
  <c r="CD48"/>
  <c r="CC48"/>
  <c r="CB48"/>
  <c r="AT1763" i="35"/>
  <c r="I67" i="36"/>
  <c r="AB71"/>
  <c r="Z71"/>
  <c r="H67"/>
  <c r="Y71"/>
  <c r="AD69"/>
  <c r="AC71"/>
  <c r="AA71"/>
  <c r="BL1763" i="35"/>
  <c r="AC1785" s="1"/>
  <c r="H70" i="36"/>
  <c r="K70"/>
  <c r="K71" s="1"/>
  <c r="BC1763" i="35"/>
  <c r="DM1763"/>
  <c r="EQ1763"/>
  <c r="EK1763"/>
  <c r="I1795" s="1"/>
  <c r="CF1763"/>
  <c r="AC1808" s="1"/>
  <c r="J1777"/>
  <c r="AF1763"/>
  <c r="GB1763"/>
  <c r="HF1763"/>
  <c r="DE1763"/>
  <c r="AC1788" s="1"/>
  <c r="DR1763"/>
  <c r="J1791" s="1"/>
  <c r="EI1763"/>
  <c r="AC1794" s="1"/>
  <c r="B23" i="8"/>
  <c r="D23"/>
  <c r="F23"/>
  <c r="F35" s="1"/>
  <c r="H23"/>
  <c r="K23"/>
  <c r="K38" s="1"/>
  <c r="K58"/>
  <c r="I35"/>
  <c r="H35"/>
  <c r="G35"/>
  <c r="F143"/>
  <c r="CJ1763" i="35"/>
  <c r="GR1763"/>
  <c r="AW1763"/>
  <c r="AC1781" s="1"/>
  <c r="BO1763"/>
  <c r="AA1784" s="1"/>
  <c r="DG1763"/>
  <c r="I1789" s="1"/>
  <c r="ED1763"/>
  <c r="Z1789"/>
  <c r="Z1795"/>
  <c r="AA1808"/>
  <c r="J1808"/>
  <c r="J1994"/>
  <c r="J1997"/>
  <c r="AA1791"/>
  <c r="L1794"/>
  <c r="K39" i="8"/>
  <c r="K37"/>
  <c r="C74"/>
  <c r="A1763" i="35"/>
  <c r="A1722" s="1"/>
  <c r="BG1763"/>
  <c r="FX1763"/>
  <c r="GN1763"/>
  <c r="GP1763"/>
  <c r="HB1763"/>
  <c r="HD1763"/>
  <c r="BP1763"/>
  <c r="DO1763"/>
  <c r="DC1763"/>
  <c r="EB1763"/>
  <c r="DP1763"/>
  <c r="EM1763"/>
  <c r="AB1795" s="1"/>
  <c r="EO1763"/>
  <c r="CM1763"/>
  <c r="Z1810" s="1"/>
  <c r="V1763"/>
  <c r="J1772" s="1"/>
  <c r="B2028"/>
  <c r="AO1763"/>
  <c r="CS1763"/>
  <c r="GF1763"/>
  <c r="GV1763"/>
  <c r="HJ1763"/>
  <c r="AU1763"/>
  <c r="AA1781" s="1"/>
  <c r="BM1763"/>
  <c r="H1784" s="1"/>
  <c r="DI1763"/>
  <c r="AB1789" s="1"/>
  <c r="DK1763"/>
  <c r="DT1763"/>
  <c r="AC1791" s="1"/>
  <c r="DV1763"/>
  <c r="Z1792" s="1"/>
  <c r="ES1763"/>
  <c r="EG1763"/>
  <c r="AA1794" s="1"/>
  <c r="CO1763"/>
  <c r="AB1810" s="1"/>
  <c r="BV1763"/>
  <c r="AC1777" s="1"/>
  <c r="X1763"/>
  <c r="L1772" s="1"/>
  <c r="T1763"/>
  <c r="H1772" s="1"/>
  <c r="I93" i="8"/>
  <c r="H1962" i="35"/>
  <c r="AB1784"/>
  <c r="K1784"/>
  <c r="AA1788"/>
  <c r="J1788"/>
  <c r="Y1791"/>
  <c r="H1791"/>
  <c r="AA1772"/>
  <c r="F1995"/>
  <c r="F1997"/>
  <c r="L1777"/>
  <c r="K1927"/>
  <c r="D2030"/>
  <c r="C32" i="8"/>
  <c r="C1920" i="35" s="1"/>
  <c r="AH1763"/>
  <c r="BE1763"/>
  <c r="CQ1763"/>
  <c r="FV1763"/>
  <c r="GD1763"/>
  <c r="GL1763"/>
  <c r="GT1763"/>
  <c r="GZ1763"/>
  <c r="HH1763"/>
  <c r="BB1763"/>
  <c r="AC1780" s="1"/>
  <c r="AC1782" s="1"/>
  <c r="AV1763"/>
  <c r="BA1763"/>
  <c r="AB1780" s="1"/>
  <c r="AX1763"/>
  <c r="BK1763"/>
  <c r="AB1785" s="1"/>
  <c r="AB1786" s="1"/>
  <c r="BH1763"/>
  <c r="DN1763"/>
  <c r="DH1763"/>
  <c r="AA1789" s="1"/>
  <c r="DB1763"/>
  <c r="Z1788" s="1"/>
  <c r="DY1763"/>
  <c r="AC1792" s="1"/>
  <c r="DS1763"/>
  <c r="K1791" s="1"/>
  <c r="EA1763"/>
  <c r="DU1763"/>
  <c r="H1792" s="1"/>
  <c r="H1793" s="1"/>
  <c r="ER1763"/>
  <c r="EL1763"/>
  <c r="J1795" s="1"/>
  <c r="EF1763"/>
  <c r="Z1794" s="1"/>
  <c r="EX1763"/>
  <c r="AC1800" s="1"/>
  <c r="EW1763"/>
  <c r="AB1800" s="1"/>
  <c r="EV1763"/>
  <c r="J1800" s="1"/>
  <c r="CA1763"/>
  <c r="BY1763"/>
  <c r="J1807" s="1"/>
  <c r="J1809" s="1"/>
  <c r="BW1763"/>
  <c r="AL1763"/>
  <c r="AB1775" s="1"/>
  <c r="AJ1763"/>
  <c r="B35" i="8"/>
  <c r="AD1763" i="35"/>
  <c r="AQ1763"/>
  <c r="CH1763"/>
  <c r="CU1763"/>
  <c r="FZ1763"/>
  <c r="GH1763"/>
  <c r="AZ1763"/>
  <c r="BJ1763"/>
  <c r="J1785" s="1"/>
  <c r="DJ1763"/>
  <c r="L1789" s="1"/>
  <c r="DD1763"/>
  <c r="K1788" s="1"/>
  <c r="DL1763"/>
  <c r="DF1763"/>
  <c r="H1789" s="1"/>
  <c r="EC1763"/>
  <c r="DW1763"/>
  <c r="J1792" s="1"/>
  <c r="DQ1763"/>
  <c r="I1791" s="1"/>
  <c r="EN1763"/>
  <c r="L1795" s="1"/>
  <c r="L1796" s="1"/>
  <c r="EH1763"/>
  <c r="K1794" s="1"/>
  <c r="EP1763"/>
  <c r="EJ1763"/>
  <c r="Y1795" s="1"/>
  <c r="CZ1763"/>
  <c r="AC1812" s="1"/>
  <c r="CX1763"/>
  <c r="CV1763"/>
  <c r="H1812" s="1"/>
  <c r="AC1763"/>
  <c r="L1773" s="1"/>
  <c r="AA1763"/>
  <c r="AA1773" s="1"/>
  <c r="AA1774" s="1"/>
  <c r="Y1763"/>
  <c r="H1773" s="1"/>
  <c r="F2028"/>
  <c r="J23" i="8"/>
  <c r="B58"/>
  <c r="B69" s="1"/>
  <c r="G58"/>
  <c r="E93"/>
  <c r="C128"/>
  <c r="C140" s="1"/>
  <c r="F1959" i="35"/>
  <c r="F1961"/>
  <c r="D1995"/>
  <c r="F2032"/>
  <c r="B1960"/>
  <c r="B1962"/>
  <c r="J1960"/>
  <c r="J1962"/>
  <c r="H1995"/>
  <c r="H1997"/>
  <c r="C1918"/>
  <c r="L1780"/>
  <c r="Y1780"/>
  <c r="H1780"/>
  <c r="K1785"/>
  <c r="K1786" s="1"/>
  <c r="Y1785"/>
  <c r="H1785"/>
  <c r="L1792"/>
  <c r="Y1792"/>
  <c r="Y1793" s="1"/>
  <c r="AC1807"/>
  <c r="L1807"/>
  <c r="AA1807"/>
  <c r="Y1807"/>
  <c r="H1807"/>
  <c r="I1775"/>
  <c r="Z1775"/>
  <c r="J1926"/>
  <c r="J1925"/>
  <c r="AA1780"/>
  <c r="J1780"/>
  <c r="AA1785"/>
  <c r="Y1789"/>
  <c r="Y1790" s="1"/>
  <c r="AC1795"/>
  <c r="AA1812"/>
  <c r="J1812"/>
  <c r="AC1773"/>
  <c r="J1927"/>
  <c r="K1926"/>
  <c r="AE1763"/>
  <c r="AN1763"/>
  <c r="AR1763"/>
  <c r="BF1763"/>
  <c r="CI1763"/>
  <c r="CR1763"/>
  <c r="FS1763"/>
  <c r="FW1763"/>
  <c r="GA1763"/>
  <c r="GE1763"/>
  <c r="GI1763"/>
  <c r="GM1763"/>
  <c r="GQ1763"/>
  <c r="GU1763"/>
  <c r="GY1763"/>
  <c r="HC1763"/>
  <c r="HG1763"/>
  <c r="HK1763"/>
  <c r="EU1763"/>
  <c r="Z1800" s="1"/>
  <c r="ET1763"/>
  <c r="H1800" s="1"/>
  <c r="FC1763"/>
  <c r="AC1801" s="1"/>
  <c r="FB1763"/>
  <c r="K1801" s="1"/>
  <c r="FA1763"/>
  <c r="AA1801" s="1"/>
  <c r="EZ1763"/>
  <c r="Z1801" s="1"/>
  <c r="EY1763"/>
  <c r="Y1801" s="1"/>
  <c r="FR1763"/>
  <c r="AC1802" s="1"/>
  <c r="FQ1763"/>
  <c r="AB1802" s="1"/>
  <c r="FP1763"/>
  <c r="J1802" s="1"/>
  <c r="FO1763"/>
  <c r="Z1802" s="1"/>
  <c r="FN1763"/>
  <c r="H1802" s="1"/>
  <c r="FM1763"/>
  <c r="AC1803" s="1"/>
  <c r="FL1763"/>
  <c r="AB1803" s="1"/>
  <c r="FK1763"/>
  <c r="AA1803" s="1"/>
  <c r="FJ1763"/>
  <c r="Z1803" s="1"/>
  <c r="FI1763"/>
  <c r="Y1803" s="1"/>
  <c r="FH1763"/>
  <c r="L1804" s="1"/>
  <c r="FG1763"/>
  <c r="AB1804" s="1"/>
  <c r="FF1763"/>
  <c r="J1804" s="1"/>
  <c r="FE1763"/>
  <c r="Z1804" s="1"/>
  <c r="FD1763"/>
  <c r="Y1804" s="1"/>
  <c r="CP1763"/>
  <c r="AC1810" s="1"/>
  <c r="CY1763"/>
  <c r="K1812" s="1"/>
  <c r="CN1763"/>
  <c r="AA1810" s="1"/>
  <c r="CW1763"/>
  <c r="Z1812" s="1"/>
  <c r="CL1763"/>
  <c r="Y1810" s="1"/>
  <c r="L1763"/>
  <c r="L1764" s="1"/>
  <c r="G1817" s="1"/>
  <c r="AB1763"/>
  <c r="W1763"/>
  <c r="Z1763"/>
  <c r="U1763"/>
  <c r="B1910"/>
  <c r="AG1763"/>
  <c r="AP1763"/>
  <c r="BD1763"/>
  <c r="CG1763"/>
  <c r="CK1763"/>
  <c r="CT1763"/>
  <c r="FU1763"/>
  <c r="FY1763"/>
  <c r="GC1763"/>
  <c r="GG1763"/>
  <c r="GK1763"/>
  <c r="GO1763"/>
  <c r="GS1763"/>
  <c r="GW1763"/>
  <c r="HA1763"/>
  <c r="HE1763"/>
  <c r="HI1763"/>
  <c r="L1785"/>
  <c r="BQ1763"/>
  <c r="AC1784" s="1"/>
  <c r="BI1763"/>
  <c r="BN1763"/>
  <c r="CE1763"/>
  <c r="AB1808" s="1"/>
  <c r="BZ1763"/>
  <c r="AB1807" s="1"/>
  <c r="CC1763"/>
  <c r="Z1808" s="1"/>
  <c r="BX1763"/>
  <c r="I1807" s="1"/>
  <c r="AM1763"/>
  <c r="BU1763"/>
  <c r="AK1763"/>
  <c r="BS1763"/>
  <c r="AI1763"/>
  <c r="S1619"/>
  <c r="P1619"/>
  <c r="P1636" s="1"/>
  <c r="P1638" s="1"/>
  <c r="P1640" s="1"/>
  <c r="E58" i="8"/>
  <c r="I58"/>
  <c r="C93"/>
  <c r="G93"/>
  <c r="K93"/>
  <c r="E128"/>
  <c r="E140" s="1"/>
  <c r="B72"/>
  <c r="AB1781" i="35"/>
  <c r="K1781"/>
  <c r="K1780"/>
  <c r="Z1781"/>
  <c r="I1781"/>
  <c r="I1780"/>
  <c r="Z1780"/>
  <c r="L1784"/>
  <c r="K1800"/>
  <c r="AA1800"/>
  <c r="I1800"/>
  <c r="Y1800"/>
  <c r="AB1801"/>
  <c r="J1801"/>
  <c r="I1801"/>
  <c r="L1802"/>
  <c r="K1802"/>
  <c r="AA1802"/>
  <c r="Y1802"/>
  <c r="L1803"/>
  <c r="K1803"/>
  <c r="I1803"/>
  <c r="H1803"/>
  <c r="AC1804"/>
  <c r="AA1804"/>
  <c r="I1804"/>
  <c r="H1804"/>
  <c r="L1810"/>
  <c r="AB1812"/>
  <c r="J1810"/>
  <c r="I1812"/>
  <c r="H1810"/>
  <c r="K1808"/>
  <c r="K1807"/>
  <c r="K1809" s="1"/>
  <c r="I1808"/>
  <c r="Z1807"/>
  <c r="F144" i="8"/>
  <c r="E143"/>
  <c r="F142"/>
  <c r="L1781" i="35"/>
  <c r="L1782" s="1"/>
  <c r="AA1809"/>
  <c r="D58" i="8"/>
  <c r="F58"/>
  <c r="H58"/>
  <c r="J58"/>
  <c r="B93"/>
  <c r="D93"/>
  <c r="F93"/>
  <c r="H93"/>
  <c r="J93"/>
  <c r="B128"/>
  <c r="B140" s="1"/>
  <c r="D128"/>
  <c r="L95" i="36"/>
  <c r="AC95"/>
  <c r="K95"/>
  <c r="AB95"/>
  <c r="J95"/>
  <c r="AA95"/>
  <c r="I95"/>
  <c r="Z95"/>
  <c r="H95"/>
  <c r="Y95"/>
  <c r="AD95" s="1"/>
  <c r="L93"/>
  <c r="AC93"/>
  <c r="L92"/>
  <c r="L94" s="1"/>
  <c r="L96" s="1"/>
  <c r="AC92"/>
  <c r="K93"/>
  <c r="AB93"/>
  <c r="K92"/>
  <c r="K94" s="1"/>
  <c r="K96" s="1"/>
  <c r="K98" s="1"/>
  <c r="AB92"/>
  <c r="AB94" s="1"/>
  <c r="AB96" s="1"/>
  <c r="AB98" s="1"/>
  <c r="J93"/>
  <c r="AA93"/>
  <c r="J92"/>
  <c r="J94" s="1"/>
  <c r="J96" s="1"/>
  <c r="J98" s="1"/>
  <c r="AA92"/>
  <c r="AA94" s="1"/>
  <c r="AA96" s="1"/>
  <c r="AA98" s="1"/>
  <c r="I93"/>
  <c r="Z93"/>
  <c r="I92"/>
  <c r="Z92"/>
  <c r="H93"/>
  <c r="Y93"/>
  <c r="I1809" i="35" l="1"/>
  <c r="Y1812"/>
  <c r="AA1792"/>
  <c r="AA1793" s="1"/>
  <c r="AB1788"/>
  <c r="K1775"/>
  <c r="AA1795"/>
  <c r="AB1791"/>
  <c r="I1788"/>
  <c r="Y1782"/>
  <c r="M1780"/>
  <c r="Z1790"/>
  <c r="AD1780"/>
  <c r="J1811"/>
  <c r="J1813" s="1"/>
  <c r="H1782"/>
  <c r="L1800"/>
  <c r="L1812"/>
  <c r="Z1809"/>
  <c r="AB1809"/>
  <c r="AB1811" s="1"/>
  <c r="AB1813" s="1"/>
  <c r="AD1812"/>
  <c r="K1804"/>
  <c r="M1804" s="1"/>
  <c r="J1803"/>
  <c r="I1802"/>
  <c r="M1802" s="1"/>
  <c r="H1801"/>
  <c r="L1801"/>
  <c r="B70" i="8"/>
  <c r="B74"/>
  <c r="AC1786" i="35"/>
  <c r="D32" i="8"/>
  <c r="E32" s="1"/>
  <c r="F1927" i="35"/>
  <c r="J1773"/>
  <c r="F1925"/>
  <c r="F1926"/>
  <c r="F2031"/>
  <c r="H1996"/>
  <c r="J1961"/>
  <c r="B1961"/>
  <c r="F2030"/>
  <c r="F1962"/>
  <c r="AA1790"/>
  <c r="F1996"/>
  <c r="J1996"/>
  <c r="E38" i="8"/>
  <c r="H1808" i="35"/>
  <c r="H1809" s="1"/>
  <c r="H1811" s="1"/>
  <c r="L380"/>
  <c r="K1925"/>
  <c r="Y1809"/>
  <c r="C143" i="8"/>
  <c r="E35"/>
  <c r="G1926" i="35"/>
  <c r="D1927"/>
  <c r="D1959"/>
  <c r="B1921"/>
  <c r="D1925"/>
  <c r="B38" i="8"/>
  <c r="D2032" i="35"/>
  <c r="D1997"/>
  <c r="H1959"/>
  <c r="C72" i="8"/>
  <c r="D1961" i="35"/>
  <c r="B42" i="8"/>
  <c r="B1930" i="35" s="1"/>
  <c r="B37" i="8"/>
  <c r="H1925" i="35"/>
  <c r="H1927"/>
  <c r="B2032"/>
  <c r="B2030"/>
  <c r="D1996"/>
  <c r="D2031"/>
  <c r="D1926"/>
  <c r="H1961"/>
  <c r="G1927"/>
  <c r="B2031"/>
  <c r="C73" i="8"/>
  <c r="D1962" i="35"/>
  <c r="H1926"/>
  <c r="G38" i="8"/>
  <c r="G1925" i="35"/>
  <c r="E1959"/>
  <c r="E1961"/>
  <c r="E1960"/>
  <c r="E1962"/>
  <c r="Y1777"/>
  <c r="G37" i="8"/>
  <c r="G34"/>
  <c r="G39"/>
  <c r="C70"/>
  <c r="C69"/>
  <c r="C34"/>
  <c r="C35"/>
  <c r="I1959" i="35"/>
  <c r="I1960"/>
  <c r="I1961"/>
  <c r="I1962"/>
  <c r="C1913"/>
  <c r="C37" i="8"/>
  <c r="C39"/>
  <c r="G1959" i="35"/>
  <c r="G1960"/>
  <c r="G1962"/>
  <c r="G1961"/>
  <c r="E1913"/>
  <c r="E37" i="8"/>
  <c r="E39"/>
  <c r="K1959" i="35"/>
  <c r="K1960"/>
  <c r="K1962"/>
  <c r="K1961"/>
  <c r="C1959"/>
  <c r="C1960"/>
  <c r="C1962"/>
  <c r="C1961"/>
  <c r="I1913"/>
  <c r="I37" i="8"/>
  <c r="I39"/>
  <c r="B1926" i="35"/>
  <c r="B1924"/>
  <c r="B1927"/>
  <c r="B1925"/>
  <c r="C1994"/>
  <c r="C1995"/>
  <c r="C1996"/>
  <c r="C1997"/>
  <c r="E1994"/>
  <c r="E1995"/>
  <c r="E1996"/>
  <c r="E1997"/>
  <c r="C2018"/>
  <c r="I1983"/>
  <c r="B1994"/>
  <c r="B1995"/>
  <c r="B1996"/>
  <c r="B1997"/>
  <c r="E2018"/>
  <c r="K1983"/>
  <c r="G1983"/>
  <c r="B54" i="8"/>
  <c r="F54"/>
  <c r="K89"/>
  <c r="D19"/>
  <c r="C124"/>
  <c r="J89"/>
  <c r="C89"/>
  <c r="H19"/>
  <c r="I19"/>
  <c r="F89"/>
  <c r="E124"/>
  <c r="I54"/>
  <c r="G89"/>
  <c r="E19"/>
  <c r="K19"/>
  <c r="C54"/>
  <c r="J54"/>
  <c r="D89"/>
  <c r="H89"/>
  <c r="F124"/>
  <c r="D124"/>
  <c r="B124"/>
  <c r="K54"/>
  <c r="E89"/>
  <c r="I89"/>
  <c r="B89"/>
  <c r="H54"/>
  <c r="D54"/>
  <c r="F19"/>
  <c r="J19"/>
  <c r="G19"/>
  <c r="C19"/>
  <c r="G54"/>
  <c r="E54"/>
  <c r="Z1791" i="35"/>
  <c r="AD1791" s="1"/>
  <c r="AB1793"/>
  <c r="Z1796"/>
  <c r="AB78" i="36"/>
  <c r="AD76"/>
  <c r="AC81"/>
  <c r="J1793" i="35"/>
  <c r="AC1789"/>
  <c r="AC1790" s="1"/>
  <c r="I1794"/>
  <c r="I1796" s="1"/>
  <c r="J1789"/>
  <c r="J1790" s="1"/>
  <c r="L1788"/>
  <c r="L1790" s="1"/>
  <c r="L80" i="36"/>
  <c r="L81" s="1"/>
  <c r="J77"/>
  <c r="I73"/>
  <c r="I75" s="1"/>
  <c r="I79"/>
  <c r="L77"/>
  <c r="L78" s="1"/>
  <c r="Y78"/>
  <c r="AA73"/>
  <c r="AD73" s="1"/>
  <c r="AD1788" i="35"/>
  <c r="K75" i="36"/>
  <c r="M74"/>
  <c r="J75"/>
  <c r="K1793" i="35"/>
  <c r="Q76" i="36"/>
  <c r="H1795" i="35"/>
  <c r="H1796" s="1"/>
  <c r="AC1796"/>
  <c r="H1790"/>
  <c r="M80" i="36"/>
  <c r="AD74"/>
  <c r="AB1794" i="35"/>
  <c r="AD1794" s="1"/>
  <c r="AB75" i="36"/>
  <c r="AD1803" i="35"/>
  <c r="AD1801"/>
  <c r="M1801"/>
  <c r="Q1801" s="1"/>
  <c r="Y87" i="36"/>
  <c r="AD1804" i="35"/>
  <c r="AD1802"/>
  <c r="AD1800"/>
  <c r="AC85" i="36"/>
  <c r="M89"/>
  <c r="K86"/>
  <c r="M1803" i="35"/>
  <c r="I63" i="36"/>
  <c r="M62"/>
  <c r="AC94"/>
  <c r="AC96" s="1"/>
  <c r="Y1784" i="35"/>
  <c r="Y1786" s="1"/>
  <c r="AC65" i="36"/>
  <c r="AC67" s="1"/>
  <c r="J1774" i="35"/>
  <c r="AA75" i="36"/>
  <c r="AB63"/>
  <c r="G102"/>
  <c r="M95"/>
  <c r="Y1772" i="35"/>
  <c r="I1792"/>
  <c r="M1792" s="1"/>
  <c r="M88" i="36"/>
  <c r="Y85"/>
  <c r="AD85" s="1"/>
  <c r="J1794" i="35"/>
  <c r="J1796" s="1"/>
  <c r="AC87" i="36"/>
  <c r="B119" i="8"/>
  <c r="B15"/>
  <c r="C119"/>
  <c r="D119"/>
  <c r="E119"/>
  <c r="F119"/>
  <c r="K84"/>
  <c r="J84"/>
  <c r="I84"/>
  <c r="H84"/>
  <c r="G84"/>
  <c r="F84"/>
  <c r="E84"/>
  <c r="D84"/>
  <c r="C84"/>
  <c r="B49"/>
  <c r="I49"/>
  <c r="H49"/>
  <c r="F49"/>
  <c r="D49"/>
  <c r="C14"/>
  <c r="D14"/>
  <c r="G14"/>
  <c r="I14"/>
  <c r="K14"/>
  <c r="B84"/>
  <c r="K49"/>
  <c r="J49"/>
  <c r="G49"/>
  <c r="E49"/>
  <c r="C49"/>
  <c r="B16"/>
  <c r="K7" s="1"/>
  <c r="E14"/>
  <c r="F14"/>
  <c r="H14"/>
  <c r="J14"/>
  <c r="AC97" i="36"/>
  <c r="AD97" s="1"/>
  <c r="M97"/>
  <c r="L98"/>
  <c r="AD87"/>
  <c r="K66"/>
  <c r="L67"/>
  <c r="M65"/>
  <c r="AD62"/>
  <c r="Q62" s="1"/>
  <c r="AB67"/>
  <c r="AA63"/>
  <c r="K1795" i="35"/>
  <c r="M87" i="36"/>
  <c r="H86"/>
  <c r="M86" s="1"/>
  <c r="I1810" i="35"/>
  <c r="I1811" s="1"/>
  <c r="I1813" s="1"/>
  <c r="M85" i="36"/>
  <c r="AD86"/>
  <c r="AA1811" i="35"/>
  <c r="AA1813" s="1"/>
  <c r="Z1811"/>
  <c r="Z1813" s="1"/>
  <c r="Y1773"/>
  <c r="Y1774" s="1"/>
  <c r="P81"/>
  <c r="H83"/>
  <c r="H54" i="7"/>
  <c r="AD88" i="36"/>
  <c r="Q88" s="1"/>
  <c r="AD89"/>
  <c r="K1789" i="35"/>
  <c r="K1790" s="1"/>
  <c r="K1810"/>
  <c r="K1811" s="1"/>
  <c r="K1813" s="1"/>
  <c r="J1781"/>
  <c r="J1782" s="1"/>
  <c r="M75" i="36"/>
  <c r="F42" i="7" s="1"/>
  <c r="AA1782" i="35"/>
  <c r="AB1790"/>
  <c r="AD1789"/>
  <c r="AD1781"/>
  <c r="L1791"/>
  <c r="L1793" s="1"/>
  <c r="L1808"/>
  <c r="M1808" s="1"/>
  <c r="M1791"/>
  <c r="AC1809"/>
  <c r="AC1811" s="1"/>
  <c r="AC1813" s="1"/>
  <c r="AD66" i="36"/>
  <c r="Y67"/>
  <c r="Z67"/>
  <c r="AD65"/>
  <c r="Z78"/>
  <c r="Y61"/>
  <c r="AD59"/>
  <c r="AD1808" i="35"/>
  <c r="AC1772"/>
  <c r="AC1774" s="1"/>
  <c r="Y75" i="36"/>
  <c r="AD75" s="1"/>
  <c r="Q75" s="1"/>
  <c r="AA78"/>
  <c r="AD78" s="1"/>
  <c r="AD77"/>
  <c r="Z81"/>
  <c r="AD79"/>
  <c r="AA81"/>
  <c r="AD80"/>
  <c r="Q80" s="1"/>
  <c r="M69"/>
  <c r="Q69" s="1"/>
  <c r="AA1796" i="35"/>
  <c r="AD1792"/>
  <c r="Z1793"/>
  <c r="M59" i="36"/>
  <c r="Q59" s="1"/>
  <c r="H61"/>
  <c r="I1790" i="35"/>
  <c r="H1774"/>
  <c r="H50" i="7"/>
  <c r="H49" s="1"/>
  <c r="H53" s="1"/>
  <c r="H79" i="35"/>
  <c r="H78" s="1"/>
  <c r="H82" s="1"/>
  <c r="Q58" i="36"/>
  <c r="Y1796" i="35"/>
  <c r="AD1795"/>
  <c r="AC1793"/>
  <c r="L1774"/>
  <c r="H71" i="36"/>
  <c r="M71" s="1"/>
  <c r="M70"/>
  <c r="Q70" s="1"/>
  <c r="AD1810" i="35"/>
  <c r="Z1782"/>
  <c r="J1784"/>
  <c r="J1786" s="1"/>
  <c r="I80"/>
  <c r="AA1786"/>
  <c r="AD71" i="36"/>
  <c r="K72" i="8"/>
  <c r="K74"/>
  <c r="K69"/>
  <c r="K73"/>
  <c r="K70"/>
  <c r="H37"/>
  <c r="H39"/>
  <c r="H38"/>
  <c r="H34"/>
  <c r="D37"/>
  <c r="D39"/>
  <c r="D38"/>
  <c r="D35"/>
  <c r="D34"/>
  <c r="Q1780" i="35"/>
  <c r="B39" i="8"/>
  <c r="K35"/>
  <c r="K34"/>
  <c r="F37"/>
  <c r="F39"/>
  <c r="F38"/>
  <c r="F34"/>
  <c r="B41"/>
  <c r="B34"/>
  <c r="I108"/>
  <c r="I104"/>
  <c r="I107"/>
  <c r="I109"/>
  <c r="I105"/>
  <c r="AB1782" i="35"/>
  <c r="E104" i="8"/>
  <c r="E107"/>
  <c r="E108"/>
  <c r="E109"/>
  <c r="E105"/>
  <c r="C142"/>
  <c r="C144"/>
  <c r="C139"/>
  <c r="G73"/>
  <c r="G70"/>
  <c r="G69"/>
  <c r="G72"/>
  <c r="G74"/>
  <c r="J38"/>
  <c r="J35"/>
  <c r="J34"/>
  <c r="J37"/>
  <c r="J39"/>
  <c r="I1782" i="35"/>
  <c r="K1782"/>
  <c r="B73" i="8"/>
  <c r="K108"/>
  <c r="K105"/>
  <c r="K107"/>
  <c r="K109"/>
  <c r="K104"/>
  <c r="C108"/>
  <c r="C105"/>
  <c r="C107"/>
  <c r="C109"/>
  <c r="C104"/>
  <c r="E72"/>
  <c r="E74"/>
  <c r="E70"/>
  <c r="E73"/>
  <c r="E69"/>
  <c r="I1777" i="35"/>
  <c r="Z1777"/>
  <c r="K1777"/>
  <c r="AB1777"/>
  <c r="Z1784"/>
  <c r="I1784"/>
  <c r="M1784" s="1"/>
  <c r="I1772"/>
  <c r="Z1772"/>
  <c r="K1773"/>
  <c r="AB1773"/>
  <c r="D1920"/>
  <c r="E139" i="8"/>
  <c r="E142"/>
  <c r="E144"/>
  <c r="G108"/>
  <c r="G105"/>
  <c r="G107"/>
  <c r="G109"/>
  <c r="G104"/>
  <c r="I72"/>
  <c r="I74"/>
  <c r="I70"/>
  <c r="I73"/>
  <c r="I69"/>
  <c r="H1775" i="35"/>
  <c r="Y1775"/>
  <c r="J1775"/>
  <c r="AA1775"/>
  <c r="AA1776" s="1"/>
  <c r="AA1778" s="1"/>
  <c r="L1775"/>
  <c r="AC1775"/>
  <c r="Z1785"/>
  <c r="AD1785" s="1"/>
  <c r="I1785"/>
  <c r="I1773"/>
  <c r="Z1773"/>
  <c r="K1772"/>
  <c r="AB1772"/>
  <c r="H1786"/>
  <c r="M1785"/>
  <c r="D1918"/>
  <c r="Q1803"/>
  <c r="D139" i="8"/>
  <c r="D142"/>
  <c r="D144"/>
  <c r="D143"/>
  <c r="J107"/>
  <c r="J109"/>
  <c r="J105"/>
  <c r="J108"/>
  <c r="J104"/>
  <c r="F107"/>
  <c r="F109"/>
  <c r="F105"/>
  <c r="F108"/>
  <c r="F104"/>
  <c r="B109"/>
  <c r="B107"/>
  <c r="B105"/>
  <c r="B108"/>
  <c r="B104"/>
  <c r="H73"/>
  <c r="H72"/>
  <c r="H74"/>
  <c r="H70"/>
  <c r="H69"/>
  <c r="D73"/>
  <c r="D72"/>
  <c r="D74"/>
  <c r="D70"/>
  <c r="D69"/>
  <c r="Y1811" i="35"/>
  <c r="M1812"/>
  <c r="Q1812" s="1"/>
  <c r="M1800"/>
  <c r="B139" i="8"/>
  <c r="B142"/>
  <c r="B144"/>
  <c r="B143"/>
  <c r="H107"/>
  <c r="H109"/>
  <c r="H105"/>
  <c r="H108"/>
  <c r="H104"/>
  <c r="D107"/>
  <c r="D109"/>
  <c r="D105"/>
  <c r="D108"/>
  <c r="D104"/>
  <c r="J73"/>
  <c r="J70"/>
  <c r="J72"/>
  <c r="J74"/>
  <c r="J69"/>
  <c r="F73"/>
  <c r="F72"/>
  <c r="F74"/>
  <c r="F70"/>
  <c r="F69"/>
  <c r="L1786" i="35"/>
  <c r="AD1807"/>
  <c r="M1807"/>
  <c r="D140" i="8"/>
  <c r="AD93" i="36"/>
  <c r="Y94"/>
  <c r="M93"/>
  <c r="Q93" s="1"/>
  <c r="H94"/>
  <c r="Z94"/>
  <c r="Z96" s="1"/>
  <c r="Z98" s="1"/>
  <c r="AD92"/>
  <c r="I94"/>
  <c r="I96" s="1"/>
  <c r="I98" s="1"/>
  <c r="M92"/>
  <c r="Q92" s="1"/>
  <c r="P79" i="35"/>
  <c r="P50" i="7"/>
  <c r="Q95" i="36"/>
  <c r="I1793" i="35" l="1"/>
  <c r="M1793" s="1"/>
  <c r="AB1796"/>
  <c r="Q1791"/>
  <c r="Q1804"/>
  <c r="AD1784"/>
  <c r="Q1800"/>
  <c r="M1810"/>
  <c r="Q1810" s="1"/>
  <c r="M1788"/>
  <c r="Q1788" s="1"/>
  <c r="K1774"/>
  <c r="K1776" s="1"/>
  <c r="K1778" s="1"/>
  <c r="M1773"/>
  <c r="L1776"/>
  <c r="L1778" s="1"/>
  <c r="J1776"/>
  <c r="J1778" s="1"/>
  <c r="H1776"/>
  <c r="H1778" s="1"/>
  <c r="AD1782"/>
  <c r="Q1792"/>
  <c r="M1795"/>
  <c r="Q1802"/>
  <c r="M1794"/>
  <c r="AD1796"/>
  <c r="H84"/>
  <c r="C42" i="8"/>
  <c r="C1930" i="35" s="1"/>
  <c r="C1924"/>
  <c r="C1925"/>
  <c r="C1926"/>
  <c r="C1927"/>
  <c r="I1924"/>
  <c r="I1925"/>
  <c r="I1926"/>
  <c r="I1927"/>
  <c r="E1924"/>
  <c r="E1925"/>
  <c r="E1926"/>
  <c r="E1927"/>
  <c r="D42" i="8"/>
  <c r="G1994" i="35"/>
  <c r="G1995"/>
  <c r="G1996"/>
  <c r="G1997"/>
  <c r="K1994"/>
  <c r="K1995"/>
  <c r="K1996"/>
  <c r="K1997"/>
  <c r="E2029"/>
  <c r="E2030"/>
  <c r="E2031"/>
  <c r="E2032"/>
  <c r="I1994"/>
  <c r="I1995"/>
  <c r="I1996"/>
  <c r="I1997"/>
  <c r="C2029"/>
  <c r="C2031"/>
  <c r="C2032"/>
  <c r="C2030"/>
  <c r="M73" i="36"/>
  <c r="I81"/>
  <c r="M81" s="1"/>
  <c r="M79"/>
  <c r="Q79" s="1"/>
  <c r="M77"/>
  <c r="J78"/>
  <c r="M78" s="1"/>
  <c r="F73" i="35" s="1"/>
  <c r="Q77" i="36"/>
  <c r="AD1790" i="35"/>
  <c r="Q1794"/>
  <c r="F71"/>
  <c r="Q1795"/>
  <c r="Q73" i="36"/>
  <c r="Q74"/>
  <c r="Q85"/>
  <c r="Q89"/>
  <c r="Q97"/>
  <c r="AD1793" i="35"/>
  <c r="Q1793" s="1"/>
  <c r="P52" i="7"/>
  <c r="Q87" i="36"/>
  <c r="K1796" i="35"/>
  <c r="M1796" s="1"/>
  <c r="Q65" i="36"/>
  <c r="AC98"/>
  <c r="K5" i="8"/>
  <c r="B120"/>
  <c r="B121" s="1"/>
  <c r="B85"/>
  <c r="B86" s="1"/>
  <c r="K50"/>
  <c r="J50"/>
  <c r="G50"/>
  <c r="E50"/>
  <c r="E51" s="1"/>
  <c r="C50"/>
  <c r="C51" s="1"/>
  <c r="E15"/>
  <c r="F15"/>
  <c r="F16" s="1"/>
  <c r="H15"/>
  <c r="H16" s="1"/>
  <c r="J15"/>
  <c r="K85"/>
  <c r="K86" s="1"/>
  <c r="J85"/>
  <c r="J86" s="1"/>
  <c r="I85"/>
  <c r="I86" s="1"/>
  <c r="H85"/>
  <c r="G85"/>
  <c r="F85"/>
  <c r="E85"/>
  <c r="E86" s="1"/>
  <c r="D85"/>
  <c r="C85"/>
  <c r="B50"/>
  <c r="I50"/>
  <c r="I51" s="1"/>
  <c r="H50"/>
  <c r="F50"/>
  <c r="D50"/>
  <c r="C15"/>
  <c r="C16" s="1"/>
  <c r="D15"/>
  <c r="G15"/>
  <c r="G16" s="1"/>
  <c r="I15"/>
  <c r="K15"/>
  <c r="E120"/>
  <c r="E121" s="1"/>
  <c r="D120"/>
  <c r="D121" s="1"/>
  <c r="F120"/>
  <c r="F121" s="1"/>
  <c r="C120"/>
  <c r="C121" s="1"/>
  <c r="J16"/>
  <c r="J51"/>
  <c r="K16"/>
  <c r="F51"/>
  <c r="C86"/>
  <c r="G86"/>
  <c r="M1781" i="35"/>
  <c r="Q1781" s="1"/>
  <c r="AD1809"/>
  <c r="I51" i="7"/>
  <c r="H55"/>
  <c r="M1789" i="35"/>
  <c r="Q1789" s="1"/>
  <c r="K6" i="8"/>
  <c r="E16"/>
  <c r="G51"/>
  <c r="K51"/>
  <c r="I16"/>
  <c r="D16"/>
  <c r="D51"/>
  <c r="H51"/>
  <c r="B51"/>
  <c r="D86"/>
  <c r="F86"/>
  <c r="H86"/>
  <c r="K67" i="36"/>
  <c r="M67" s="1"/>
  <c r="M66"/>
  <c r="Q86"/>
  <c r="M1790" i="35"/>
  <c r="Q1790" s="1"/>
  <c r="AD67" i="36"/>
  <c r="Q67" s="1"/>
  <c r="Q1808" i="35"/>
  <c r="L1809"/>
  <c r="Y63" i="36"/>
  <c r="AD63" s="1"/>
  <c r="AD61"/>
  <c r="AC1776" i="35"/>
  <c r="AC1778" s="1"/>
  <c r="AD81" i="36"/>
  <c r="Q81" s="1"/>
  <c r="H63"/>
  <c r="M61"/>
  <c r="Q71"/>
  <c r="B1929" i="35"/>
  <c r="C41" i="8"/>
  <c r="AB1774" i="35"/>
  <c r="AB1776" s="1"/>
  <c r="AB1778" s="1"/>
  <c r="AD1773"/>
  <c r="Q1773" s="1"/>
  <c r="I1786"/>
  <c r="M1786" s="1"/>
  <c r="M1782"/>
  <c r="Q1782" s="1"/>
  <c r="E1918"/>
  <c r="E1920"/>
  <c r="F32" i="8"/>
  <c r="Z1774" i="35"/>
  <c r="Z1776" s="1"/>
  <c r="Z1778" s="1"/>
  <c r="AD1772"/>
  <c r="AD1775"/>
  <c r="AD1777"/>
  <c r="Y1776"/>
  <c r="M1772"/>
  <c r="I1774"/>
  <c r="Q1785"/>
  <c r="M1775"/>
  <c r="Q1775" s="1"/>
  <c r="Z1786"/>
  <c r="AD1786" s="1"/>
  <c r="M1777"/>
  <c r="H1813"/>
  <c r="Q1807"/>
  <c r="Q1784"/>
  <c r="Y1813"/>
  <c r="AD1813" s="1"/>
  <c r="AD1811"/>
  <c r="M94" i="36"/>
  <c r="H96"/>
  <c r="AD94"/>
  <c r="Y96"/>
  <c r="Q1796" i="35" l="1"/>
  <c r="D1930"/>
  <c r="E42" i="8"/>
  <c r="F74" i="35"/>
  <c r="F45" i="7"/>
  <c r="Q78" i="36"/>
  <c r="F44" i="7"/>
  <c r="Q66" i="36"/>
  <c r="I50" i="7"/>
  <c r="I79" i="35"/>
  <c r="Q1772"/>
  <c r="L1811"/>
  <c r="M1809"/>
  <c r="Q1809" s="1"/>
  <c r="R11" i="24"/>
  <c r="M63" i="36"/>
  <c r="R12" i="24"/>
  <c r="R13"/>
  <c r="M2524" i="35"/>
  <c r="P169"/>
  <c r="P141" i="7"/>
  <c r="P170" i="35"/>
  <c r="P140" i="7"/>
  <c r="M32" i="11"/>
  <c r="Q61" i="36"/>
  <c r="D41" i="8"/>
  <c r="C1929" i="35"/>
  <c r="Q1786"/>
  <c r="Q1777"/>
  <c r="AD1774"/>
  <c r="M1774"/>
  <c r="I1776"/>
  <c r="AD1776"/>
  <c r="Y1778"/>
  <c r="AD1778" s="1"/>
  <c r="F1920"/>
  <c r="G32" i="8"/>
  <c r="F1918" i="35"/>
  <c r="AD96" i="36"/>
  <c r="Y98"/>
  <c r="AD98" s="1"/>
  <c r="M96"/>
  <c r="Q96" s="1"/>
  <c r="H98"/>
  <c r="M98" s="1"/>
  <c r="P78" i="35"/>
  <c r="P80" s="1"/>
  <c r="P82" s="1"/>
  <c r="P87" s="1"/>
  <c r="P49" i="7"/>
  <c r="P51" s="1"/>
  <c r="P53" s="1"/>
  <c r="P58" s="1"/>
  <c r="Q94" i="36"/>
  <c r="J145" i="15"/>
  <c r="J146" s="1"/>
  <c r="J148" s="1"/>
  <c r="E1930" i="35" l="1"/>
  <c r="F42" i="8"/>
  <c r="P145" i="15"/>
  <c r="P146" s="1"/>
  <c r="P148" s="1"/>
  <c r="M1641" i="35"/>
  <c r="M1642" s="1"/>
  <c r="M1644" s="1"/>
  <c r="M145" i="15"/>
  <c r="M146" s="1"/>
  <c r="M148" s="1"/>
  <c r="P1641" i="35"/>
  <c r="P1642" s="1"/>
  <c r="P1644" s="1"/>
  <c r="J1641"/>
  <c r="J1642" s="1"/>
  <c r="J1644" s="1"/>
  <c r="L1813"/>
  <c r="M1813" s="1"/>
  <c r="Q1813" s="1"/>
  <c r="M1811"/>
  <c r="Q1811" s="1"/>
  <c r="D1621"/>
  <c r="D125" i="15"/>
  <c r="P100" i="35"/>
  <c r="J160" i="36"/>
  <c r="N150"/>
  <c r="N158"/>
  <c r="D38" i="15"/>
  <c r="D1534" i="35"/>
  <c r="J159" i="36"/>
  <c r="P71" i="7"/>
  <c r="E93" i="15"/>
  <c r="Q63" i="36"/>
  <c r="E1589" i="35"/>
  <c r="P96"/>
  <c r="F115" i="15"/>
  <c r="P161" i="36"/>
  <c r="P67" i="7"/>
  <c r="F1611" i="35"/>
  <c r="P98"/>
  <c r="J158" i="36"/>
  <c r="N149"/>
  <c r="P69" i="7"/>
  <c r="D1929" i="35"/>
  <c r="E41" i="8"/>
  <c r="Q1774" i="35"/>
  <c r="G1918"/>
  <c r="G1920"/>
  <c r="H32" i="8"/>
  <c r="M1776" i="35"/>
  <c r="Q1776" s="1"/>
  <c r="I1778"/>
  <c r="M1778" s="1"/>
  <c r="D1535"/>
  <c r="Q98" i="36"/>
  <c r="D39" i="15"/>
  <c r="J149"/>
  <c r="J161" s="1"/>
  <c r="F1930" i="35" l="1"/>
  <c r="G42" i="8"/>
  <c r="Q54" i="36"/>
  <c r="J1645" i="35"/>
  <c r="J1657" s="1"/>
  <c r="M1659" s="1"/>
  <c r="M1647"/>
  <c r="P166" i="36"/>
  <c r="B21" i="8"/>
  <c r="B40" s="1"/>
  <c r="M151" i="15"/>
  <c r="F41" i="8"/>
  <c r="E1929" i="35"/>
  <c r="P1876"/>
  <c r="P1881" s="1"/>
  <c r="N1865"/>
  <c r="Q1778"/>
  <c r="Q1769" s="1"/>
  <c r="N1864"/>
  <c r="H1920"/>
  <c r="I32" i="8"/>
  <c r="H1918" i="35"/>
  <c r="J165" i="15"/>
  <c r="M163"/>
  <c r="G1609" i="35" l="1"/>
  <c r="G1613" s="1"/>
  <c r="G1619" s="1"/>
  <c r="G117" i="15"/>
  <c r="G123" s="1"/>
  <c r="G1930" i="35"/>
  <c r="H42" i="8"/>
  <c r="J1661" i="35"/>
  <c r="C126" i="8"/>
  <c r="K91"/>
  <c r="G91"/>
  <c r="C91"/>
  <c r="I56"/>
  <c r="E56"/>
  <c r="C21"/>
  <c r="G21"/>
  <c r="K21"/>
  <c r="J21"/>
  <c r="J91"/>
  <c r="F91"/>
  <c r="B56"/>
  <c r="H56"/>
  <c r="D56"/>
  <c r="D21"/>
  <c r="D126"/>
  <c r="E126"/>
  <c r="B126"/>
  <c r="I91"/>
  <c r="E91"/>
  <c r="K56"/>
  <c r="G56"/>
  <c r="C56"/>
  <c r="E21"/>
  <c r="I21"/>
  <c r="F21"/>
  <c r="B91"/>
  <c r="H91"/>
  <c r="D91"/>
  <c r="J56"/>
  <c r="F56"/>
  <c r="B22"/>
  <c r="H21"/>
  <c r="F126"/>
  <c r="F1929" i="35"/>
  <c r="G41" i="8"/>
  <c r="I1918" i="35"/>
  <c r="I1920"/>
  <c r="J32" i="8"/>
  <c r="J394" i="35"/>
  <c r="L394" s="1"/>
  <c r="J393"/>
  <c r="L393" s="1"/>
  <c r="J41" i="3"/>
  <c r="L41" s="1"/>
  <c r="J40"/>
  <c r="L40" s="1"/>
  <c r="E92" i="15"/>
  <c r="J6" i="7"/>
  <c r="G1621" i="35" l="1"/>
  <c r="M1621"/>
  <c r="J1648"/>
  <c r="H403"/>
  <c r="H50" i="3"/>
  <c r="G125" i="15"/>
  <c r="M125"/>
  <c r="J152"/>
  <c r="B33" i="8"/>
  <c r="B36"/>
  <c r="H1930" i="35"/>
  <c r="I42" i="8"/>
  <c r="J57"/>
  <c r="J71" s="1"/>
  <c r="J75"/>
  <c r="H92"/>
  <c r="H106" s="1"/>
  <c r="H110"/>
  <c r="F22"/>
  <c r="F40"/>
  <c r="E22"/>
  <c r="E40"/>
  <c r="G57"/>
  <c r="G71" s="1"/>
  <c r="G75"/>
  <c r="E92"/>
  <c r="E106" s="1"/>
  <c r="E110"/>
  <c r="B127"/>
  <c r="B141" s="1"/>
  <c r="B145"/>
  <c r="D127"/>
  <c r="D141" s="1"/>
  <c r="D145"/>
  <c r="D57"/>
  <c r="D71" s="1"/>
  <c r="D75"/>
  <c r="B57"/>
  <c r="B71" s="1"/>
  <c r="B75"/>
  <c r="J92"/>
  <c r="J106" s="1"/>
  <c r="J110"/>
  <c r="K22"/>
  <c r="K36" s="1"/>
  <c r="K40"/>
  <c r="C22"/>
  <c r="C40"/>
  <c r="I57"/>
  <c r="I71" s="1"/>
  <c r="I75"/>
  <c r="G92"/>
  <c r="G106" s="1"/>
  <c r="G110"/>
  <c r="C127"/>
  <c r="C141" s="1"/>
  <c r="C145"/>
  <c r="F127"/>
  <c r="F141" s="1"/>
  <c r="F145"/>
  <c r="H22"/>
  <c r="H40"/>
  <c r="F57"/>
  <c r="F71" s="1"/>
  <c r="F75"/>
  <c r="D92"/>
  <c r="D106" s="1"/>
  <c r="D110"/>
  <c r="B92"/>
  <c r="B106" s="1"/>
  <c r="B110"/>
  <c r="I22"/>
  <c r="I40"/>
  <c r="C57"/>
  <c r="C71" s="1"/>
  <c r="C75"/>
  <c r="K57"/>
  <c r="K71" s="1"/>
  <c r="K75"/>
  <c r="I92"/>
  <c r="I106" s="1"/>
  <c r="I110"/>
  <c r="E127"/>
  <c r="E141" s="1"/>
  <c r="E145"/>
  <c r="D22"/>
  <c r="D40"/>
  <c r="H57"/>
  <c r="H71" s="1"/>
  <c r="H75"/>
  <c r="F92"/>
  <c r="F106" s="1"/>
  <c r="F110"/>
  <c r="J22"/>
  <c r="J36" s="1"/>
  <c r="J40"/>
  <c r="G22"/>
  <c r="G40"/>
  <c r="E57"/>
  <c r="E71" s="1"/>
  <c r="E75"/>
  <c r="C92"/>
  <c r="C106" s="1"/>
  <c r="C110"/>
  <c r="K92"/>
  <c r="K106" s="1"/>
  <c r="K110"/>
  <c r="H41"/>
  <c r="G1929" i="35"/>
  <c r="J1920"/>
  <c r="K32" i="8"/>
  <c r="J1918" i="35"/>
  <c r="J33" i="8"/>
  <c r="S41" i="3" l="1"/>
  <c r="S40"/>
  <c r="H51"/>
  <c r="S393" i="35"/>
  <c r="H404"/>
  <c r="S394"/>
  <c r="S395" s="1"/>
  <c r="G33" i="8"/>
  <c r="G36"/>
  <c r="D33"/>
  <c r="D36"/>
  <c r="I33"/>
  <c r="I36"/>
  <c r="H33"/>
  <c r="H36"/>
  <c r="C33"/>
  <c r="C36"/>
  <c r="E33"/>
  <c r="E36"/>
  <c r="F33"/>
  <c r="F36"/>
  <c r="I1930" i="35"/>
  <c r="J42" i="8"/>
  <c r="I41"/>
  <c r="H1929" i="35"/>
  <c r="K1918"/>
  <c r="K33" i="8"/>
  <c r="K1920" i="35"/>
  <c r="B67" i="8"/>
  <c r="S42" i="3" l="1"/>
  <c r="J1930" i="35"/>
  <c r="K42" i="8"/>
  <c r="J41"/>
  <c r="I1929" i="35"/>
  <c r="B1953"/>
  <c r="B68" i="8"/>
  <c r="B1955" i="35"/>
  <c r="C67" i="8"/>
  <c r="K1930" i="35" l="1"/>
  <c r="B77" i="8"/>
  <c r="K41"/>
  <c r="J1929" i="35"/>
  <c r="C1955"/>
  <c r="D67" i="8"/>
  <c r="C1953" i="35"/>
  <c r="C68" i="8"/>
  <c r="B1965" i="35" l="1"/>
  <c r="C77" i="8"/>
  <c r="B76"/>
  <c r="K1929" i="35"/>
  <c r="D1953"/>
  <c r="D68" i="8"/>
  <c r="D1955" i="35"/>
  <c r="E67" i="8"/>
  <c r="C1965" i="35" l="1"/>
  <c r="D77" i="8"/>
  <c r="C76"/>
  <c r="B1964" i="35"/>
  <c r="E1955"/>
  <c r="F67" i="8"/>
  <c r="E1953" i="35"/>
  <c r="E68" i="8"/>
  <c r="D1965" i="35" l="1"/>
  <c r="E77" i="8"/>
  <c r="C1964" i="35"/>
  <c r="D76" i="8"/>
  <c r="F1953" i="35"/>
  <c r="F68" i="8"/>
  <c r="F1955" i="35"/>
  <c r="G67" i="8"/>
  <c r="E1965" i="35" l="1"/>
  <c r="F77" i="8"/>
  <c r="E76"/>
  <c r="D1964" i="35"/>
  <c r="G1955"/>
  <c r="H67" i="8"/>
  <c r="G1953" i="35"/>
  <c r="G68" i="8"/>
  <c r="F1965" i="35" l="1"/>
  <c r="G77" i="8"/>
  <c r="E1964" i="35"/>
  <c r="F76" i="8"/>
  <c r="H1953" i="35"/>
  <c r="H68" i="8"/>
  <c r="H1955" i="35"/>
  <c r="I67" i="8"/>
  <c r="G1965" i="35" l="1"/>
  <c r="H77" i="8"/>
  <c r="G76"/>
  <c r="F1964" i="35"/>
  <c r="I1955"/>
  <c r="J67" i="8"/>
  <c r="I1953" i="35"/>
  <c r="I68" i="8"/>
  <c r="H1965" i="35" l="1"/>
  <c r="I77" i="8"/>
  <c r="G1964" i="35"/>
  <c r="H76" i="8"/>
  <c r="J1953" i="35"/>
  <c r="J68" i="8"/>
  <c r="J1955" i="35"/>
  <c r="K67" i="8"/>
  <c r="I1965" i="35" l="1"/>
  <c r="J77" i="8"/>
  <c r="I76"/>
  <c r="H1964" i="35"/>
  <c r="K1955"/>
  <c r="B102" i="8"/>
  <c r="K1953" i="35"/>
  <c r="K68" i="8"/>
  <c r="J1965" i="35" l="1"/>
  <c r="K77" i="8"/>
  <c r="I1964" i="35"/>
  <c r="J76" i="8"/>
  <c r="B1988" i="35"/>
  <c r="B103" i="8"/>
  <c r="B1990" i="35"/>
  <c r="C102" i="8"/>
  <c r="K1965" i="35" l="1"/>
  <c r="B112" i="8"/>
  <c r="K76"/>
  <c r="J1964" i="35"/>
  <c r="C1988"/>
  <c r="C103" i="8"/>
  <c r="C1990" i="35"/>
  <c r="D102" i="8"/>
  <c r="B2000" i="35" l="1"/>
  <c r="C112" i="8"/>
  <c r="K1964" i="35"/>
  <c r="B111" i="8"/>
  <c r="D1988" i="35"/>
  <c r="D103" i="8"/>
  <c r="D1990" i="35"/>
  <c r="E102" i="8"/>
  <c r="C2000" i="35" l="1"/>
  <c r="D112" i="8"/>
  <c r="C111"/>
  <c r="B1999" i="35"/>
  <c r="E1990"/>
  <c r="F102" i="8"/>
  <c r="E1988" i="35"/>
  <c r="E103" i="8"/>
  <c r="D2000" i="35" l="1"/>
  <c r="E112" i="8"/>
  <c r="C1999" i="35"/>
  <c r="D111" i="8"/>
  <c r="F1988" i="35"/>
  <c r="F103" i="8"/>
  <c r="F1990" i="35"/>
  <c r="G102" i="8"/>
  <c r="E2000" i="35" l="1"/>
  <c r="F112" i="8"/>
  <c r="E111"/>
  <c r="D1999" i="35"/>
  <c r="G1990"/>
  <c r="H102" i="8"/>
  <c r="G1988" i="35"/>
  <c r="G103" i="8"/>
  <c r="F2000" i="35" l="1"/>
  <c r="G112" i="8"/>
  <c r="E1999" i="35"/>
  <c r="F111" i="8"/>
  <c r="H1988" i="35"/>
  <c r="H103" i="8"/>
  <c r="H1990" i="35"/>
  <c r="I102" i="8"/>
  <c r="G2000" i="35" l="1"/>
  <c r="H112" i="8"/>
  <c r="G111"/>
  <c r="F1999" i="35"/>
  <c r="I1990"/>
  <c r="J102" i="8"/>
  <c r="I1988" i="35"/>
  <c r="I103" i="8"/>
  <c r="H2000" i="35" l="1"/>
  <c r="I112" i="8"/>
  <c r="G1999" i="35"/>
  <c r="H111" i="8"/>
  <c r="J1988" i="35"/>
  <c r="J103" i="8"/>
  <c r="J1990" i="35"/>
  <c r="K102" i="8"/>
  <c r="I2000" i="35" l="1"/>
  <c r="J112" i="8"/>
  <c r="I111"/>
  <c r="H1999" i="35"/>
  <c r="K1990"/>
  <c r="B137" i="8"/>
  <c r="K1988" i="35"/>
  <c r="K103" i="8"/>
  <c r="J2000" i="35" l="1"/>
  <c r="K112" i="8"/>
  <c r="I1999" i="35"/>
  <c r="J111" i="8"/>
  <c r="B2023" i="35"/>
  <c r="B138" i="8"/>
  <c r="B2025" i="35"/>
  <c r="C137" i="8"/>
  <c r="K2000" i="35" l="1"/>
  <c r="B147" i="8"/>
  <c r="K111"/>
  <c r="J1999" i="35"/>
  <c r="C2025"/>
  <c r="D137" i="8"/>
  <c r="C2023" i="35"/>
  <c r="C138" i="8"/>
  <c r="B2035" i="35" l="1"/>
  <c r="C147" i="8"/>
  <c r="K1999" i="35"/>
  <c r="B146" i="8"/>
  <c r="D2023" i="35"/>
  <c r="D138" i="8"/>
  <c r="D2025" i="35"/>
  <c r="E137" i="8"/>
  <c r="C2035" i="35" l="1"/>
  <c r="D147" i="8"/>
  <c r="C146"/>
  <c r="B2034" i="35"/>
  <c r="E2025"/>
  <c r="F137" i="8"/>
  <c r="F2025" i="35" s="1"/>
  <c r="E2023"/>
  <c r="E138" i="8"/>
  <c r="D2035" i="35" l="1"/>
  <c r="E147" i="8"/>
  <c r="C2034" i="35"/>
  <c r="D146" i="8"/>
  <c r="F2023" i="35"/>
  <c r="F138" i="8"/>
  <c r="E2035" i="35" l="1"/>
  <c r="F147" i="8"/>
  <c r="F2035" i="35" s="1"/>
  <c r="E146" i="8"/>
  <c r="D2034" i="35"/>
  <c r="E2034" l="1"/>
  <c r="F146" i="8"/>
  <c r="F2034" i="35" s="1"/>
</calcChain>
</file>

<file path=xl/sharedStrings.xml><?xml version="1.0" encoding="utf-8"?>
<sst xmlns="http://schemas.openxmlformats.org/spreadsheetml/2006/main" count="10111" uniqueCount="4091">
  <si>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</si>
  <si>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</si>
  <si>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</si>
  <si>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</si>
  <si>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</si>
  <si>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</si>
  <si>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</si>
  <si>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</si>
  <si>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</si>
  <si>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</si>
  <si>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</si>
  <si>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</si>
  <si>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</si>
  <si>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</si>
  <si>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</si>
  <si>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</si>
  <si>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</si>
  <si>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</si>
  <si>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</si>
  <si>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</si>
  <si>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</si>
  <si>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</si>
  <si>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</si>
  <si>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</si>
  <si>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</si>
  <si>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</si>
  <si>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</si>
  <si>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</si>
  <si>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</si>
  <si>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</si>
  <si>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</si>
  <si>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</si>
  <si>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</si>
  <si>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</si>
  <si>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</si>
  <si>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</si>
  <si>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</si>
  <si>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</si>
  <si>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</si>
  <si>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</si>
  <si>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</si>
  <si>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</si>
  <si>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</si>
  <si>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</si>
  <si>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</si>
  <si>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</si>
  <si>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</si>
  <si>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</si>
  <si>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</si>
  <si>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</si>
  <si>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</si>
  <si>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</si>
  <si>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</si>
  <si>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</si>
  <si>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</si>
  <si>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</si>
  <si>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</si>
  <si>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</si>
  <si>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</si>
  <si>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</si>
  <si>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</si>
  <si>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</si>
  <si>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</si>
  <si>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</si>
  <si>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</si>
  <si>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</si>
  <si>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</si>
  <si>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</si>
  <si>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</si>
  <si>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</si>
  <si>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</si>
  <si>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</si>
  <si>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</si>
  <si>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</si>
  <si>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</si>
  <si>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</si>
  <si>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</si>
  <si>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</si>
  <si>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</si>
  <si>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</si>
  <si>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</si>
  <si>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</si>
  <si>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</si>
  <si>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</si>
  <si>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</si>
  <si>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</si>
  <si>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</si>
  <si>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</si>
  <si>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</si>
  <si>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</si>
  <si>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</si>
  <si>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</si>
  <si>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</si>
  <si>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</si>
  <si>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</si>
  <si>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</si>
  <si>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</si>
  <si>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</si>
  <si>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</si>
  <si>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</si>
  <si>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</si>
  <si>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</si>
  <si>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</si>
  <si>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</si>
  <si>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</si>
  <si>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</si>
  <si>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</si>
  <si>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</si>
  <si>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</si>
  <si>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</si>
  <si>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</si>
  <si>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</si>
  <si>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</si>
  <si>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</si>
  <si>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</si>
  <si>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</si>
  <si>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</si>
  <si>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</si>
  <si>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</si>
  <si>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</si>
  <si>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</si>
  <si>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</si>
  <si>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</si>
  <si>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</si>
  <si>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</si>
  <si>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</si>
  <si>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</si>
  <si>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</si>
  <si>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</si>
  <si>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</si>
  <si>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</si>
  <si>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</si>
  <si>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</si>
  <si>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</si>
  <si>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</si>
  <si>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</si>
  <si>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</si>
  <si>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</si>
  <si>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</si>
  <si>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</si>
  <si>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</si>
  <si>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</si>
  <si>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</si>
  <si>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</si>
  <si>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</si>
  <si>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</si>
  <si>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</si>
  <si>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</si>
  <si>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</si>
  <si>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</si>
  <si>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</si>
  <si>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</si>
  <si>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</si>
  <si>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</si>
  <si>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</si>
  <si>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</si>
  <si>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</si>
  <si>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</si>
  <si>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</si>
  <si>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</si>
  <si>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</si>
  <si>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</si>
  <si>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</si>
  <si>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</si>
  <si>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</si>
  <si>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</si>
  <si>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</si>
  <si>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</si>
  <si>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</si>
  <si>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</si>
  <si>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</si>
  <si>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</si>
  <si>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</si>
  <si>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</si>
  <si>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</si>
  <si>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</si>
  <si>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</si>
  <si>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</si>
  <si>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</si>
  <si>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</si>
  <si>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</si>
  <si>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</si>
  <si>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</si>
  <si>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</si>
  <si>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</si>
  <si>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</si>
  <si>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</si>
  <si>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</si>
  <si>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</si>
  <si>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</si>
  <si>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</si>
  <si>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</si>
  <si>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</si>
  <si>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</si>
  <si>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</si>
  <si>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</si>
  <si>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</si>
  <si>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</si>
  <si>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</si>
  <si>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</si>
  <si>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</si>
  <si>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</si>
  <si>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</si>
  <si>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</si>
  <si>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</si>
  <si>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</si>
  <si>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</si>
  <si>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</si>
  <si>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</si>
  <si>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</si>
  <si>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</si>
  <si>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</si>
  <si>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</si>
  <si>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</si>
  <si>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</si>
  <si>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</si>
  <si>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</si>
  <si>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</si>
  <si>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</si>
  <si>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</si>
  <si>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</si>
  <si>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</si>
  <si>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</si>
  <si>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</si>
  <si>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</si>
  <si>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</si>
  <si>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</si>
  <si>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</si>
  <si>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</si>
  <si>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</si>
  <si>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</si>
  <si>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</si>
  <si>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</si>
  <si>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</si>
  <si>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</si>
  <si>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</si>
  <si>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</si>
  <si>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</si>
  <si>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</si>
  <si>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</si>
  <si>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</si>
  <si>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</si>
  <si>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</si>
  <si>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</si>
  <si>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</si>
  <si>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</si>
  <si>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</si>
  <si>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</si>
  <si>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</si>
  <si>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</si>
  <si>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</si>
  <si>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</si>
  <si>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</si>
  <si>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</si>
  <si>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</si>
  <si>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</si>
  <si>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</si>
  <si>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</si>
  <si>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</si>
  <si>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</si>
  <si>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</si>
  <si>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</si>
  <si>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</si>
  <si>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</si>
  <si>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</si>
  <si>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</si>
  <si>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</si>
  <si>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</si>
  <si>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</si>
  <si>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</si>
  <si>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</si>
  <si>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</si>
  <si>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</si>
  <si>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</si>
  <si>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</si>
  <si>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</si>
  <si>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</si>
  <si>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</si>
  <si>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</si>
  <si>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</si>
  <si>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</si>
  <si>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</si>
  <si>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</si>
  <si>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</si>
  <si>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</si>
  <si>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</si>
  <si>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</si>
  <si>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</si>
  <si>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</si>
  <si>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</si>
  <si>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</si>
  <si>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</si>
  <si>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</si>
  <si>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</si>
  <si>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</si>
  <si>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</si>
  <si>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</si>
  <si>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</si>
  <si>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</si>
  <si>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</si>
  <si>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</si>
  <si>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</si>
  <si>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</si>
  <si>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</si>
  <si>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</si>
  <si>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</si>
  <si>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</si>
  <si>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</si>
  <si>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</si>
  <si>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</si>
  <si>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</si>
  <si>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</si>
  <si>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</si>
  <si>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</si>
  <si>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</si>
  <si>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</si>
  <si>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</si>
  <si>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</si>
  <si>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</si>
  <si>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</si>
  <si>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</si>
  <si>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</si>
  <si>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</si>
  <si>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</si>
  <si>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</si>
  <si>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</si>
  <si>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</si>
  <si>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</si>
  <si>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</si>
  <si>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</si>
  <si>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</si>
  <si>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</si>
  <si>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</si>
  <si>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</si>
  <si>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</si>
  <si>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</si>
  <si>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</si>
  <si>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</si>
  <si>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</si>
  <si>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</si>
  <si>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</si>
  <si>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</si>
  <si>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</si>
  <si>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</si>
  <si>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</si>
  <si>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</si>
  <si>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</si>
  <si>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</si>
  <si>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</si>
  <si>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</si>
  <si>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</si>
  <si>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</si>
  <si>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</si>
  <si>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</si>
  <si>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</si>
  <si>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</si>
  <si>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</si>
  <si>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</si>
  <si>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</si>
  <si>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</si>
  <si>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</si>
  <si>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</si>
  <si>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</si>
  <si>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</si>
  <si>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</si>
  <si>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</si>
  <si>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</si>
  <si>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</si>
  <si>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</si>
  <si>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</si>
  <si>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</si>
  <si>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</si>
  <si>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</si>
  <si>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</si>
  <si>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</si>
  <si>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</si>
  <si>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</si>
  <si>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</si>
  <si>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</si>
  <si>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</si>
  <si>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</si>
  <si>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</si>
  <si>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</si>
  <si>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</si>
  <si>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</si>
  <si>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</si>
  <si>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</si>
  <si>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</si>
  <si>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</si>
  <si>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</si>
  <si>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</si>
  <si>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</si>
  <si>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</si>
  <si>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</si>
  <si>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</si>
  <si>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</si>
  <si>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</si>
  <si>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</si>
  <si>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</si>
  <si>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</si>
  <si>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</si>
  <si>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</si>
  <si>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</si>
  <si>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</si>
  <si>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</si>
  <si>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</si>
  <si>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</si>
  <si>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</si>
  <si>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</si>
  <si>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</si>
  <si>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</si>
  <si>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</si>
  <si>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</si>
  <si>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</si>
  <si>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</si>
  <si>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</si>
  <si>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</si>
  <si>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</si>
  <si>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</si>
  <si>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</si>
  <si>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</si>
  <si>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</si>
  <si>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</si>
  <si>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</si>
  <si>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</si>
  <si>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</si>
  <si>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</si>
  <si>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</si>
  <si>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</si>
  <si>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</si>
  <si>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</si>
  <si>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</si>
  <si>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</si>
  <si>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</si>
  <si>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</si>
  <si>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</si>
  <si>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</si>
  <si>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</si>
  <si>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</si>
  <si>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</si>
  <si>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</si>
  <si>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</si>
  <si>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</si>
  <si>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</si>
  <si>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</si>
  <si>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</si>
  <si>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</si>
  <si>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</si>
  <si>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</si>
  <si>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</si>
  <si>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</si>
  <si>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</si>
  <si>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</si>
  <si>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</si>
  <si>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</si>
  <si>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</si>
  <si>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</si>
  <si>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</si>
  <si>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</si>
  <si>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</si>
  <si>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</si>
  <si>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</si>
  <si>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</si>
  <si>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</si>
  <si>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</si>
  <si>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</si>
  <si>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</si>
  <si>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</si>
  <si>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</si>
  <si>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</si>
  <si>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</si>
  <si>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</si>
  <si>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</si>
  <si>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</si>
  <si>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</si>
  <si>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</si>
  <si>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</si>
  <si>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</si>
  <si>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</si>
  <si>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</si>
  <si>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</si>
  <si>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</si>
  <si>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</si>
  <si>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</si>
  <si>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</si>
  <si>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</si>
  <si>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</si>
  <si>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</si>
  <si>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</si>
  <si>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</si>
  <si>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</si>
  <si>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</si>
  <si>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</si>
  <si>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</si>
  <si>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</si>
  <si>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</si>
  <si>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</si>
  <si>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</si>
  <si>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</si>
  <si>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</si>
  <si>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</si>
  <si>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</si>
  <si>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</si>
  <si>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</si>
  <si>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</si>
  <si>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</si>
  <si>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</si>
  <si>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</si>
  <si>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</si>
  <si>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</si>
  <si>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</si>
  <si>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</si>
  <si>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</si>
  <si>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</si>
  <si>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</si>
  <si>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</si>
  <si>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</si>
  <si>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</si>
  <si>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</si>
  <si>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</si>
  <si>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</si>
  <si>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</si>
  <si>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</si>
  <si>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</si>
  <si>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</si>
  <si>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</si>
  <si>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</si>
  <si>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</si>
  <si>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</si>
  <si>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</si>
  <si>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</si>
  <si>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</si>
  <si>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</si>
  <si>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</si>
  <si>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</si>
  <si>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</si>
  <si>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</si>
  <si>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</si>
  <si>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</si>
  <si>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</si>
  <si>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</si>
  <si>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</si>
  <si>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</si>
  <si>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</si>
  <si>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</si>
  <si>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</si>
  <si>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</si>
  <si>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</si>
  <si>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</si>
  <si>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</si>
  <si>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</si>
  <si>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</si>
  <si>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</si>
  <si>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</si>
  <si>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</si>
  <si>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</si>
  <si>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</si>
  <si>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</si>
  <si>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</si>
  <si>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</si>
  <si>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</si>
  <si>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</si>
  <si>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</si>
  <si>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</si>
  <si>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</si>
  <si>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</si>
  <si>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</si>
  <si>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</si>
  <si>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</si>
  <si>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</si>
  <si>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</si>
  <si>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</si>
  <si>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</si>
  <si>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</si>
  <si>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</si>
  <si>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</si>
  <si>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</si>
  <si>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</si>
  <si>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</si>
  <si>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</si>
  <si>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</si>
  <si>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</si>
  <si>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</si>
  <si>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</si>
  <si>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</si>
  <si>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</si>
  <si>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</si>
  <si>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</si>
  <si>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</si>
  <si>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</si>
  <si>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</si>
  <si>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</si>
  <si>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</si>
  <si>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</si>
  <si>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</si>
  <si>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</si>
  <si>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</si>
  <si>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</si>
  <si>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</si>
  <si>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</si>
  <si>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</si>
  <si>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</si>
  <si>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</si>
  <si>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</si>
  <si>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</si>
  <si>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</si>
  <si>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</si>
  <si>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</si>
  <si>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</si>
  <si>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</si>
  <si>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</si>
  <si>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</si>
  <si>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</si>
  <si>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</si>
  <si>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</si>
  <si>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</si>
  <si>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</si>
  <si>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</si>
  <si>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</si>
  <si>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</si>
  <si>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</si>
  <si>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</si>
  <si>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</si>
  <si>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</si>
  <si>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</si>
  <si>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</si>
  <si>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</si>
  <si>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</si>
  <si>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</si>
  <si>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</si>
  <si>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</si>
  <si>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</si>
  <si>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</si>
  <si>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</si>
  <si>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</si>
  <si>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</si>
  <si>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</si>
  <si>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</si>
  <si>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</si>
  <si>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</si>
  <si>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</si>
  <si>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</si>
  <si>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</si>
  <si>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</si>
  <si>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</si>
  <si>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</si>
  <si>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</si>
  <si>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</si>
  <si>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</si>
  <si>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</si>
  <si>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</si>
  <si>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</si>
  <si>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</si>
  <si>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</si>
  <si>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</si>
  <si>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</si>
  <si>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</si>
  <si>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</si>
  <si>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</si>
  <si>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</si>
  <si>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</si>
  <si>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</si>
  <si>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</si>
  <si>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</si>
  <si>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</si>
  <si>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</si>
  <si>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</si>
  <si>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</si>
  <si>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</si>
  <si>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</si>
  <si>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</si>
  <si>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</si>
  <si>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</si>
  <si>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</si>
  <si>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</si>
  <si>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</si>
  <si>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</si>
  <si>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</si>
  <si>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</si>
  <si>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</si>
  <si>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</si>
  <si>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</si>
  <si>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</si>
  <si>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</si>
  <si>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</si>
  <si>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</si>
  <si>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</si>
  <si>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</si>
  <si>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</si>
  <si>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</si>
  <si>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</si>
  <si>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</si>
  <si>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</si>
  <si>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</si>
  <si>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</si>
  <si>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</si>
  <si>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</si>
  <si>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</si>
  <si>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</si>
  <si>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</si>
  <si>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</si>
  <si>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</si>
  <si>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</si>
  <si>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</si>
  <si>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</si>
  <si>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</si>
  <si>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</si>
  <si>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</si>
  <si>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</si>
  <si>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</si>
  <si>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</si>
  <si>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</si>
  <si>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</si>
  <si>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</si>
  <si>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</si>
  <si>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</si>
  <si>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</si>
  <si>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</si>
  <si>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</si>
  <si>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</si>
  <si>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</si>
  <si>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</si>
  <si>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</si>
  <si>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</si>
  <si>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</si>
  <si>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</si>
  <si>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</si>
  <si>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</si>
  <si>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</si>
  <si>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</si>
  <si>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</si>
  <si>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</si>
  <si>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</si>
  <si>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</si>
  <si>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</si>
  <si>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</si>
  <si>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</si>
  <si>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</si>
  <si>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</si>
  <si>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</si>
  <si>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</si>
  <si>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</si>
  <si>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</si>
  <si>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</si>
  <si>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</si>
  <si>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</si>
  <si>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</si>
  <si>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</si>
  <si>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</si>
  <si>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</si>
  <si>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</si>
  <si>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</si>
  <si>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</si>
  <si>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</si>
  <si>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</si>
  <si>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</si>
  <si>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</si>
  <si>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</si>
  <si>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</si>
  <si>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</si>
  <si>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</si>
  <si>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</si>
  <si>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</si>
  <si>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</si>
  <si>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</si>
  <si>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</si>
  <si>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</si>
  <si>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</si>
  <si>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</si>
  <si>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</si>
  <si>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</si>
  <si>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</si>
  <si>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</si>
  <si>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</si>
  <si>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</si>
  <si>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</si>
  <si>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</si>
  <si>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</si>
  <si>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</si>
  <si>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</si>
  <si>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</si>
  <si>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</si>
  <si>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</si>
  <si>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</si>
  <si>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</si>
  <si>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</si>
  <si>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</si>
  <si>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</si>
  <si>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</si>
  <si>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</si>
  <si>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</si>
  <si>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</si>
  <si>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</si>
  <si>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</si>
  <si>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</si>
  <si>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</si>
  <si>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</si>
  <si>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</si>
  <si>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</si>
  <si>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</si>
  <si>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</si>
  <si>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</si>
  <si>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</si>
  <si>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</si>
  <si>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</si>
  <si>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</si>
  <si>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</si>
  <si>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</si>
  <si>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</si>
  <si>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</si>
  <si>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</si>
  <si>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</si>
  <si>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</si>
  <si>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</si>
  <si>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</si>
  <si>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</si>
  <si>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</si>
  <si>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</si>
  <si>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</si>
  <si>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</si>
  <si>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</si>
  <si>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</si>
  <si>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</si>
  <si>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</si>
  <si>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</si>
  <si>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</si>
  <si>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</si>
  <si>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</si>
  <si>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</si>
  <si>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</si>
  <si>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</si>
  <si>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</si>
  <si>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</si>
  <si>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</si>
  <si>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</si>
  <si>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</si>
  <si>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</si>
  <si>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</si>
  <si>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</si>
  <si>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</si>
  <si>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</si>
  <si>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</si>
  <si>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</si>
  <si>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</si>
  <si>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</si>
  <si>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</si>
  <si>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</si>
  <si>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</si>
  <si>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</si>
  <si>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</si>
  <si>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</si>
  <si>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</si>
  <si>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</si>
  <si>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</si>
  <si>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</si>
  <si>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</si>
  <si>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</si>
  <si>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</si>
  <si>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</si>
  <si>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</si>
  <si>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</si>
  <si>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</si>
  <si>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</si>
  <si>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</si>
  <si>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</si>
  <si>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</si>
  <si>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</si>
  <si>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</si>
  <si>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</si>
  <si>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</si>
  <si>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</si>
  <si>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</si>
  <si>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</si>
  <si>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</si>
  <si>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</si>
  <si>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</si>
  <si>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</si>
  <si>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</si>
  <si>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</si>
  <si>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</si>
  <si>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</si>
  <si>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</si>
  <si>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</si>
  <si>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</si>
  <si>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</si>
  <si>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</si>
  <si>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</si>
  <si>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</si>
  <si>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</si>
  <si>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</si>
  <si>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</si>
  <si>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</si>
  <si>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</si>
  <si>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</si>
  <si>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</si>
  <si>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</si>
  <si>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</si>
  <si>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</si>
  <si>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</si>
  <si>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</si>
  <si>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</si>
  <si>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</si>
  <si>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</si>
  <si>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</si>
  <si>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</si>
  <si>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</si>
  <si>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</si>
  <si>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</si>
  <si>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</si>
  <si>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</si>
  <si>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</si>
  <si>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</si>
  <si>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</si>
  <si>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</si>
  <si>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</si>
  <si>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</si>
  <si>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</si>
  <si>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</si>
  <si>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</si>
  <si>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</si>
  <si>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</si>
  <si>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</si>
  <si>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</si>
  <si>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</si>
  <si>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</si>
  <si>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</si>
  <si>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</si>
  <si>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</si>
  <si>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</si>
  <si>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</si>
  <si>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</si>
  <si>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</si>
  <si>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</si>
  <si>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</si>
  <si>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</si>
  <si>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</si>
  <si>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</si>
  <si>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</si>
  <si>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</si>
  <si>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</si>
  <si>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</si>
  <si>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</si>
  <si>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</si>
  <si>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</si>
  <si>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</si>
  <si>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</si>
  <si>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</si>
  <si>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</si>
  <si>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</si>
  <si>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</si>
  <si>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</si>
  <si>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</si>
  <si>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</si>
  <si>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</si>
  <si>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</si>
  <si>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</si>
  <si>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</si>
  <si>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</si>
  <si>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</si>
  <si>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</si>
  <si>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</si>
  <si>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</si>
  <si>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</si>
  <si>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</si>
  <si>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</si>
  <si>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</si>
  <si>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</si>
  <si>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</si>
  <si>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</si>
  <si>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</si>
  <si>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</si>
  <si>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</si>
  <si>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</si>
  <si>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</si>
  <si>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</si>
  <si>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</si>
  <si>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</si>
  <si>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</si>
  <si>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</si>
  <si>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</si>
  <si>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</si>
  <si>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</si>
  <si>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</si>
  <si>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</si>
  <si>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</si>
  <si>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</si>
  <si>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</si>
  <si>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</si>
  <si>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</si>
  <si>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</si>
  <si>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</si>
  <si>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</si>
  <si>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</si>
  <si>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</si>
  <si>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</si>
  <si>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</si>
  <si>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</si>
  <si>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</si>
  <si>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</si>
  <si>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</si>
  <si>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</si>
  <si>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</si>
  <si>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</si>
  <si>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</si>
  <si>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</si>
  <si>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</si>
  <si>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</si>
  <si>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</si>
  <si>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</si>
  <si>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</si>
  <si>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</si>
  <si>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</si>
  <si>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</si>
  <si>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</si>
  <si>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</si>
  <si>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</si>
  <si>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</si>
  <si>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</si>
  <si>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</si>
  <si>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</si>
  <si>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</si>
  <si>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</si>
  <si>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</si>
  <si>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</si>
  <si>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</si>
  <si>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</si>
  <si>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</si>
  <si>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</si>
  <si>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</si>
  <si>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</si>
  <si>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</si>
  <si>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</si>
  <si>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</si>
  <si>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</si>
  <si>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</si>
  <si>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</si>
  <si>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</si>
  <si>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</si>
  <si>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</si>
  <si>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</si>
  <si>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</si>
  <si>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</si>
  <si>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</si>
  <si>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</si>
  <si>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</si>
  <si>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</si>
  <si>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</si>
  <si>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</si>
  <si>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</si>
  <si>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</si>
  <si>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</si>
  <si>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</si>
  <si>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</si>
  <si>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</si>
  <si>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</si>
  <si>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</si>
  <si>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</si>
  <si>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</si>
  <si>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</si>
  <si>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</si>
  <si>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</si>
  <si>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</si>
  <si>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</si>
  <si>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</si>
  <si>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</si>
  <si>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</si>
  <si>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</si>
  <si>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</si>
  <si>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</si>
  <si>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</si>
  <si>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</si>
  <si>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</si>
  <si>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</si>
  <si>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</si>
  <si>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</si>
  <si>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</si>
  <si>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</si>
  <si>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</si>
  <si>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</si>
  <si>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</si>
  <si>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</si>
  <si>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</si>
  <si>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</si>
  <si>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</si>
  <si>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</si>
  <si>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</si>
  <si>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</si>
  <si>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</si>
  <si>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</si>
  <si>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</si>
  <si>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</si>
  <si>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</si>
  <si>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</si>
  <si>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</si>
  <si>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</si>
  <si>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</si>
  <si>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</si>
  <si>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</si>
  <si>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</si>
  <si>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</si>
  <si>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</si>
  <si>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</si>
  <si>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</si>
  <si>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</si>
  <si>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</si>
  <si>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</si>
  <si>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</si>
  <si>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</si>
  <si>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</si>
  <si>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</si>
  <si>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</si>
  <si>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</si>
  <si>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</si>
  <si>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</si>
  <si>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</si>
  <si>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</si>
  <si>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</si>
  <si>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</si>
  <si>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</si>
  <si>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</si>
  <si>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</si>
  <si>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</si>
  <si>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</si>
  <si>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</si>
  <si>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</si>
  <si>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</si>
  <si>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</si>
  <si>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</si>
  <si>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</si>
  <si>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</si>
  <si>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</si>
  <si>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</si>
  <si>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</si>
  <si>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</si>
  <si>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</si>
  <si>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</si>
  <si>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</si>
  <si>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</si>
  <si>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</si>
  <si>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</si>
  <si>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</si>
  <si>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</si>
  <si>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</si>
  <si>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</si>
  <si>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</si>
  <si>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</si>
  <si>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</si>
  <si>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</si>
  <si>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</si>
  <si>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</si>
  <si>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</si>
  <si>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</si>
  <si>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</si>
  <si>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</si>
  <si>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</si>
  <si>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</si>
  <si>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</si>
  <si>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</si>
  <si>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</si>
  <si>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</si>
  <si>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</si>
  <si>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</si>
  <si>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</si>
  <si>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</si>
  <si>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</si>
  <si>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</si>
  <si>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</si>
  <si>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</si>
  <si>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</si>
  <si>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</si>
  <si>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</si>
  <si>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</si>
  <si>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</si>
  <si>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</si>
  <si>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</si>
  <si>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</si>
  <si>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</si>
  <si>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</si>
  <si>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</si>
  <si>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</si>
  <si>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</si>
  <si>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</si>
  <si>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</si>
  <si>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</si>
  <si>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</si>
  <si>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</si>
  <si>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</si>
  <si>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</si>
  <si>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</si>
  <si>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</si>
  <si>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</si>
  <si>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</si>
  <si>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</si>
  <si>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</si>
  <si>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</si>
  <si>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</si>
  <si>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</si>
  <si>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</si>
  <si>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</si>
  <si>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</si>
  <si>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</si>
  <si>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</si>
  <si>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</si>
  <si>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</si>
  <si>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</si>
  <si>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</si>
  <si>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</si>
  <si>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</si>
  <si>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</si>
  <si>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</si>
  <si>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</si>
  <si>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</si>
  <si>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</si>
  <si>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</si>
  <si>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</si>
  <si>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</si>
  <si>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</si>
  <si>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</si>
  <si>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</si>
  <si>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</si>
  <si>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</si>
  <si>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</si>
  <si>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</si>
  <si>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</si>
  <si>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</si>
  <si>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</si>
  <si>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</si>
  <si>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</si>
  <si>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</si>
  <si>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</si>
  <si>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</si>
  <si>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</si>
  <si>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</si>
  <si>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</si>
  <si>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</si>
  <si>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</si>
  <si>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</si>
  <si>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</si>
  <si>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</si>
  <si>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</si>
  <si>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</si>
  <si>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</si>
  <si>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</si>
  <si>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</si>
  <si>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</si>
  <si>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</si>
  <si>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</si>
  <si>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</si>
  <si>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</si>
  <si>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</si>
  <si>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</si>
  <si>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</si>
  <si>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</si>
  <si>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</si>
  <si>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</si>
  <si>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</si>
  <si>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</si>
  <si>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</si>
  <si>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</si>
  <si>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</si>
  <si>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</si>
  <si>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</si>
  <si>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</si>
  <si>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</si>
  <si>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</si>
  <si>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</si>
  <si>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</si>
  <si>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</si>
  <si>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</si>
  <si>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</si>
  <si>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</si>
  <si>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</si>
  <si>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</si>
  <si>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</si>
  <si>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</si>
  <si>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</si>
  <si>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</si>
  <si>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</si>
  <si>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</si>
  <si>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</si>
  <si>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</si>
  <si>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</si>
  <si>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</si>
  <si>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</si>
  <si>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</si>
  <si>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</si>
  <si>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</si>
  <si>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</si>
  <si>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</si>
  <si>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</si>
  <si>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</si>
  <si>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</si>
  <si>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</si>
  <si>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</si>
  <si>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</si>
  <si>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</si>
  <si>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</si>
  <si>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</si>
  <si>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</si>
  <si>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</si>
  <si>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</si>
  <si>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</si>
  <si>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</si>
  <si>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</si>
  <si>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</si>
  <si>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</si>
  <si>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</si>
  <si>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</si>
  <si>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</si>
  <si>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</si>
  <si>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</si>
  <si>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</si>
  <si>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</si>
  <si>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</si>
  <si>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</si>
  <si>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</si>
  <si>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</si>
  <si>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</si>
  <si>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</si>
  <si>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</si>
  <si>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</si>
  <si>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</si>
  <si>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</si>
  <si>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</si>
  <si>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</si>
  <si>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</si>
  <si>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</si>
  <si>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</si>
  <si>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</si>
  <si>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</si>
  <si>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</si>
  <si>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</si>
  <si>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</si>
  <si>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</si>
  <si>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</si>
  <si>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</si>
  <si>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</si>
  <si>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</si>
  <si>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</si>
  <si>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</si>
  <si>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</si>
  <si>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</si>
  <si>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</si>
  <si>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</si>
  <si>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</si>
  <si>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</si>
  <si>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</si>
  <si>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</si>
  <si>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</si>
  <si>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</si>
  <si>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</si>
  <si>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</si>
  <si>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</si>
  <si>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</si>
  <si>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</si>
  <si>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</si>
  <si>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</si>
  <si>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</si>
  <si>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</si>
  <si>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</si>
  <si>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</si>
  <si>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</si>
  <si>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</si>
  <si>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</si>
  <si>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</si>
  <si>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</si>
  <si>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</si>
  <si>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</si>
  <si>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</si>
  <si>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</si>
  <si>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</si>
  <si>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</si>
  <si>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</si>
  <si>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</si>
  <si>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</si>
  <si>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</si>
  <si>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</si>
  <si>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</si>
  <si>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</si>
  <si>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</si>
  <si>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</si>
  <si>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</si>
  <si>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</si>
  <si>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</si>
  <si>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</si>
  <si>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</si>
  <si>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</si>
  <si>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</si>
  <si>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</si>
  <si>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</si>
  <si>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</si>
  <si>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</si>
  <si>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</si>
  <si>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</si>
  <si>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</si>
  <si>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</si>
  <si>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</si>
  <si>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</si>
  <si>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</si>
  <si>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</si>
  <si>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</si>
  <si>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</si>
  <si>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</si>
  <si>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</si>
  <si>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</si>
  <si>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</si>
  <si>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</si>
  <si>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</si>
  <si>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</si>
  <si>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</si>
  <si>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</si>
  <si>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</si>
  <si>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</si>
  <si>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</si>
  <si>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</si>
  <si>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</si>
  <si>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</si>
  <si>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</si>
  <si>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</si>
  <si>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</si>
  <si>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</si>
  <si>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</si>
  <si>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</si>
  <si>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</si>
  <si>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</si>
  <si>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</si>
  <si>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</si>
  <si>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</si>
  <si>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</si>
  <si>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</si>
  <si>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</si>
  <si>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</si>
  <si>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</si>
  <si>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</si>
  <si>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</si>
  <si>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</si>
  <si>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</si>
  <si>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</si>
  <si>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</si>
  <si>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</si>
  <si>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</si>
  <si>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</si>
  <si>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</si>
  <si>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</si>
  <si>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</si>
  <si>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</si>
  <si>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</si>
  <si>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</si>
  <si>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</si>
  <si>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</si>
  <si>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</si>
  <si>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</si>
  <si>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</si>
  <si>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</si>
  <si>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</si>
  <si>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</si>
  <si>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</si>
  <si>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</si>
  <si>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</si>
  <si>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</si>
  <si>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</si>
  <si>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</si>
  <si>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</si>
  <si>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</si>
  <si>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</si>
  <si>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</si>
  <si>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</si>
  <si>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</si>
  <si>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</si>
  <si>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</si>
  <si>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</si>
  <si>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</si>
  <si>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</si>
  <si>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</si>
  <si>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</si>
  <si>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</si>
  <si>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</si>
  <si>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</si>
  <si>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</si>
  <si>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</si>
  <si>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</si>
  <si>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</si>
  <si>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</si>
  <si>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</si>
  <si>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</si>
  <si>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</si>
  <si>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</si>
  <si>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</si>
  <si>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</si>
  <si>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</si>
  <si>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</si>
  <si>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</si>
  <si>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</si>
  <si>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</si>
  <si>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</si>
  <si>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</si>
  <si>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</si>
  <si>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</si>
  <si>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</si>
  <si>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</si>
  <si>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</si>
  <si>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</si>
  <si>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</si>
  <si>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</si>
  <si>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</si>
  <si>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</si>
  <si>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</si>
  <si>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</si>
  <si>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</si>
  <si>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</si>
  <si>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</si>
  <si>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</si>
  <si>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</si>
  <si>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</si>
  <si>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</si>
  <si>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</si>
  <si>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</si>
  <si>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</si>
  <si>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</si>
  <si>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</si>
  <si>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</si>
  <si>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</si>
  <si>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</si>
  <si>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</si>
  <si>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</si>
  <si>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</si>
  <si>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</si>
  <si>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</si>
  <si>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</si>
  <si>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</si>
  <si>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</si>
  <si>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</si>
  <si>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</si>
  <si>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</si>
  <si>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</si>
  <si>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</si>
  <si>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</si>
  <si>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</si>
  <si>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</si>
  <si>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</si>
  <si>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</si>
  <si>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</si>
  <si>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</si>
  <si>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</si>
  <si>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</si>
  <si>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</si>
  <si>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</si>
  <si>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</si>
  <si>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</si>
  <si>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</si>
  <si>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</si>
  <si>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</si>
  <si>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</si>
  <si>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</si>
  <si>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</si>
  <si>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</si>
  <si>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</si>
  <si>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</si>
  <si>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</si>
  <si>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</si>
  <si>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</si>
  <si>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</si>
  <si>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</si>
  <si>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</si>
  <si>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</si>
  <si>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</si>
  <si>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</si>
  <si>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</si>
  <si>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</si>
  <si>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</si>
  <si>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</si>
  <si>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</si>
  <si>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</si>
  <si>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</si>
  <si>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</si>
  <si>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</si>
  <si>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</si>
  <si>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</si>
  <si>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</si>
  <si>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</si>
  <si>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</si>
  <si>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</si>
  <si>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</si>
  <si>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</si>
  <si>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</si>
  <si>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</si>
  <si>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</si>
  <si>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</si>
  <si>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</si>
  <si>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</si>
  <si>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</si>
  <si>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</si>
  <si>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</si>
  <si>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</si>
  <si>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</si>
  <si>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</si>
  <si>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</si>
  <si>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</si>
  <si>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</si>
  <si>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</si>
  <si>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</si>
  <si>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</si>
  <si>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</si>
  <si>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</si>
  <si>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</si>
  <si>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</si>
  <si>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</si>
  <si>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</si>
  <si>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</si>
  <si>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</si>
  <si>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</si>
  <si>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</si>
  <si>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</si>
  <si>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</si>
  <si>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</si>
  <si>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</si>
  <si>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</si>
  <si>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</si>
  <si>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</si>
  <si>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</si>
  <si>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</si>
  <si>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</si>
  <si>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</si>
  <si>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</si>
  <si>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</si>
  <si>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</si>
  <si>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</si>
  <si>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</si>
  <si>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</si>
  <si>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</si>
  <si>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</si>
  <si>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</si>
  <si>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</si>
  <si>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</si>
  <si>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</si>
  <si>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</si>
  <si>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</si>
  <si>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</si>
  <si>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</si>
  <si>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</si>
  <si>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</si>
  <si>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</si>
  <si>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</si>
  <si>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</si>
  <si>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</si>
  <si>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</si>
  <si>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</si>
  <si>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</si>
  <si>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</si>
  <si>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</si>
  <si>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</si>
  <si>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</si>
  <si>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</si>
  <si>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</si>
  <si>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</si>
  <si>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</si>
  <si>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</si>
  <si>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</si>
  <si>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</si>
  <si>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</si>
  <si>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</si>
  <si>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</si>
  <si>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</si>
  <si>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</si>
  <si>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</si>
  <si>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</si>
  <si>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</si>
  <si>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</si>
  <si>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</si>
  <si>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</si>
  <si>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</si>
  <si>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</si>
  <si>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</si>
  <si>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</si>
  <si>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</si>
  <si>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</si>
  <si>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</si>
  <si>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</si>
  <si>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</si>
  <si>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</si>
  <si>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</si>
  <si>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</si>
  <si>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</si>
  <si>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</si>
  <si>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</si>
  <si>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</si>
  <si>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</si>
  <si>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</si>
  <si>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</si>
  <si>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</si>
  <si>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</si>
  <si>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</si>
  <si>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</si>
  <si>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</si>
  <si>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</si>
  <si>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</si>
  <si>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</si>
  <si>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</si>
  <si>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</si>
  <si>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</si>
  <si>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</si>
  <si>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</si>
  <si>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</si>
  <si>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</si>
  <si>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</si>
  <si>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</si>
  <si>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</si>
  <si>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</si>
  <si>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</si>
  <si>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</si>
  <si>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</si>
  <si>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</si>
  <si>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</si>
  <si>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</si>
  <si>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</si>
  <si>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</si>
  <si>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</si>
  <si>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</si>
  <si>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</si>
  <si>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</si>
  <si>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</si>
  <si>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</si>
  <si>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</si>
  <si>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</si>
  <si>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</si>
  <si>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</si>
  <si>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</si>
  <si>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</si>
  <si>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</si>
  <si>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</si>
  <si>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</si>
  <si>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</si>
  <si>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</si>
  <si>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</si>
  <si>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</si>
  <si>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</si>
  <si>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</si>
  <si>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</si>
  <si>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</si>
  <si>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</si>
  <si>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</si>
  <si>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</si>
  <si>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</si>
  <si>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</si>
  <si>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</si>
  <si>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</si>
  <si>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</si>
  <si>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</si>
  <si>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</si>
  <si>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</si>
  <si>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</si>
  <si>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</si>
  <si>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</si>
  <si>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</si>
  <si>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</si>
  <si>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</si>
  <si>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</si>
  <si>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</si>
  <si>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</si>
  <si>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</si>
  <si>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</si>
  <si>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</si>
  <si>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</si>
  <si>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</si>
  <si>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</si>
  <si>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</si>
  <si>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</si>
  <si>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</si>
  <si>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</si>
  <si>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</si>
  <si>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</si>
  <si>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</si>
  <si>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</si>
  <si>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</si>
  <si>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</si>
  <si>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</si>
  <si>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</si>
  <si>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</si>
  <si>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</si>
  <si>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</si>
  <si>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</si>
  <si>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</si>
  <si>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</si>
  <si>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</si>
  <si>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</si>
  <si>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</si>
  <si>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</si>
  <si>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</si>
  <si>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</si>
  <si>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</si>
  <si>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</si>
  <si>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</si>
  <si>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</si>
  <si>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</si>
  <si>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</si>
  <si>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</si>
  <si>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</si>
  <si>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</si>
  <si>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</si>
  <si>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</si>
  <si>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</si>
  <si>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</si>
  <si>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</si>
  <si>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</si>
  <si>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</si>
  <si>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</si>
  <si>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</si>
  <si>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</si>
  <si>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</si>
  <si>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</si>
  <si>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</si>
  <si>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</si>
  <si>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</si>
  <si>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</si>
  <si>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</si>
  <si>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</si>
  <si>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</si>
  <si>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</si>
  <si>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</si>
  <si>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</si>
  <si>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</si>
  <si>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</si>
  <si>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</si>
  <si>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</si>
  <si>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</si>
  <si>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</si>
  <si>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</si>
  <si>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</si>
  <si>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</si>
  <si>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</si>
  <si>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</si>
  <si>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</si>
  <si>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</si>
  <si>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</si>
  <si>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</si>
  <si>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</si>
  <si>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</si>
  <si>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</si>
  <si>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</si>
  <si>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</si>
  <si>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</si>
  <si>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</si>
  <si>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</si>
  <si>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</si>
  <si>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</si>
  <si>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</si>
  <si>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</si>
  <si>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</si>
  <si>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</si>
  <si>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</si>
  <si>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</si>
  <si>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</si>
  <si>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</si>
  <si>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</si>
  <si>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</si>
  <si>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</si>
  <si>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</si>
  <si>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</si>
  <si>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</si>
  <si>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</si>
  <si>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</si>
  <si>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</si>
  <si>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</si>
  <si>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</si>
  <si>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</si>
  <si>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</si>
  <si>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</si>
  <si>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</si>
  <si>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</si>
  <si>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</si>
  <si>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</si>
  <si>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</si>
  <si>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</si>
  <si>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</si>
  <si>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</si>
  <si>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</si>
  <si>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</si>
  <si>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</si>
  <si>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</si>
  <si>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</si>
  <si>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</si>
  <si>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</si>
  <si>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</si>
  <si>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</si>
  <si>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</si>
  <si>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</si>
  <si>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</si>
  <si>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</si>
  <si>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</si>
  <si>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</si>
  <si>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</si>
  <si>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</si>
  <si>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</si>
  <si>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</si>
  <si>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</si>
  <si>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</si>
  <si>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</si>
  <si>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</si>
  <si>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</si>
  <si>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</si>
  <si>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</si>
  <si>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</si>
  <si>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</si>
  <si>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</si>
  <si>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</si>
  <si>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</si>
  <si>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</si>
  <si>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</si>
  <si>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</si>
  <si>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</si>
  <si>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</si>
  <si>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</si>
  <si>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</si>
  <si>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</si>
  <si>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</si>
  <si>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</si>
  <si>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</si>
  <si>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</si>
  <si>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</si>
  <si>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</si>
  <si>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</si>
  <si>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</si>
  <si>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</si>
  <si>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</si>
  <si>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</si>
  <si>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</si>
  <si>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</si>
  <si>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</si>
  <si>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</si>
  <si>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</si>
  <si>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</si>
  <si>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</si>
  <si>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</si>
  <si>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</si>
  <si>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</si>
  <si>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</si>
  <si>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</si>
  <si>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</si>
  <si>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</si>
  <si>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</si>
  <si>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</si>
  <si>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</si>
  <si>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</si>
  <si>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</si>
  <si>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</si>
  <si>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</si>
  <si>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</si>
  <si>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</si>
  <si>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</si>
  <si>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</si>
  <si>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</si>
  <si>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</si>
  <si>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</si>
  <si>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</si>
  <si>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</si>
  <si>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</si>
  <si>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</si>
  <si>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</si>
  <si>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</si>
  <si>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</si>
  <si>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</si>
  <si>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</si>
  <si>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</si>
  <si>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</si>
  <si>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</si>
  <si>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</si>
  <si>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</si>
  <si>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</si>
  <si>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</si>
  <si>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</si>
  <si>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</si>
  <si>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</si>
  <si>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</si>
  <si>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</si>
  <si>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</si>
  <si>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</si>
  <si>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</si>
  <si>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</si>
  <si>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</si>
  <si>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</si>
  <si>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</si>
  <si>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</si>
  <si>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</si>
  <si>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</si>
  <si>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</si>
  <si>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</si>
  <si>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</si>
  <si>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</si>
  <si>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</si>
  <si>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</si>
  <si>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</si>
  <si>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</si>
  <si>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</si>
  <si>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</si>
  <si>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</si>
  <si>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</si>
  <si>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</si>
  <si>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</si>
  <si>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</si>
  <si>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</si>
  <si>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</si>
  <si>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</si>
  <si>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</si>
  <si>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</si>
  <si>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</si>
  <si>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</si>
  <si>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</si>
  <si>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</si>
  <si>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</si>
  <si>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</si>
  <si>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</si>
  <si>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</si>
  <si>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</si>
  <si>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</si>
  <si>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</si>
  <si>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</si>
  <si>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</si>
  <si>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</si>
  <si>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</si>
  <si>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</si>
  <si>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</si>
  <si>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</si>
  <si>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</si>
  <si>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</si>
  <si>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</si>
  <si>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</si>
  <si>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</si>
  <si>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</si>
  <si>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</si>
  <si>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</si>
  <si>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</si>
  <si>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</si>
  <si>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</si>
  <si>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</si>
  <si>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</si>
  <si>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</si>
  <si>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</si>
  <si>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</si>
  <si>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</si>
  <si>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</si>
  <si>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</si>
  <si>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</si>
  <si>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</si>
  <si>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</si>
  <si>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</si>
  <si>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</si>
  <si>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</si>
  <si>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</si>
  <si>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</si>
  <si>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</si>
  <si>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</si>
  <si>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</si>
  <si>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</si>
  <si>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</si>
  <si>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</si>
  <si>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</si>
  <si>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</si>
  <si>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</si>
  <si>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</si>
  <si>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</si>
  <si>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</si>
  <si>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</si>
  <si>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</si>
  <si>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</si>
  <si>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</si>
  <si>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</si>
  <si>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</si>
  <si>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</si>
  <si>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</si>
  <si>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</si>
  <si>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</si>
  <si>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</si>
  <si>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</si>
  <si>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</si>
  <si>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</si>
  <si>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</si>
  <si>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</si>
  <si>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</si>
  <si>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</si>
  <si>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</si>
  <si>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</si>
  <si>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</si>
  <si>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</si>
  <si>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</si>
  <si>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</si>
  <si>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</si>
  <si>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</si>
  <si>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</si>
  <si>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</si>
  <si>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</si>
  <si>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</si>
  <si>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</si>
  <si>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</si>
  <si>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</si>
  <si>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</si>
  <si>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</si>
  <si>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</si>
  <si>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</si>
  <si>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</si>
  <si>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</si>
  <si>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</si>
  <si>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</si>
  <si>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</si>
  <si>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</si>
  <si>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</si>
  <si>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</si>
  <si>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</si>
  <si>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</si>
  <si>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</si>
  <si>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</si>
  <si>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</si>
  <si>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</si>
  <si>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</si>
  <si>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</si>
  <si>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</si>
  <si>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</si>
  <si>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</si>
  <si>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</si>
  <si>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</si>
  <si>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</si>
  <si>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</si>
  <si>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</si>
  <si>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</si>
  <si>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</si>
  <si>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</si>
  <si>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</si>
  <si>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</si>
  <si>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</si>
  <si>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</si>
  <si>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</si>
  <si>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</si>
  <si>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</si>
  <si>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</si>
  <si>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</si>
  <si>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</si>
  <si>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</si>
  <si>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</si>
  <si>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</si>
  <si>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</si>
  <si>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</si>
  <si>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</si>
  <si>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</si>
  <si>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</si>
  <si>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</si>
  <si>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</si>
  <si>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</si>
  <si>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</si>
  <si>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</si>
  <si>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</si>
  <si>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</si>
  <si>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</si>
  <si>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</si>
  <si>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</si>
  <si>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</si>
  <si>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</si>
  <si>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</si>
  <si>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</si>
  <si>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</si>
  <si>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</si>
  <si>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</si>
  <si>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</si>
  <si>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</si>
  <si>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</si>
  <si>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</si>
  <si>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</si>
  <si>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</si>
  <si>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</si>
  <si>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</si>
  <si>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</si>
  <si>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</si>
  <si>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</si>
  <si>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</si>
  <si>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</si>
  <si>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</si>
  <si>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</si>
  <si>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</si>
  <si>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</si>
  <si>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</si>
  <si>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</si>
  <si>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</si>
  <si>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</si>
  <si>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</si>
  <si>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</si>
  <si>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</si>
  <si>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</si>
  <si>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</si>
  <si>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</si>
  <si>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</si>
  <si>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</si>
  <si>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</si>
  <si>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</si>
  <si>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</si>
  <si>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</si>
  <si>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</si>
  <si>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</si>
  <si>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</si>
  <si>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</si>
  <si>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</si>
  <si>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</si>
  <si>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</si>
  <si>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</si>
  <si>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</si>
  <si>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</si>
  <si>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</si>
  <si>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</si>
  <si>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</si>
  <si>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</si>
  <si>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</si>
  <si>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</si>
  <si>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</si>
  <si>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</si>
  <si>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</si>
  <si>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</si>
  <si>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</si>
  <si>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</si>
  <si>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</si>
  <si>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</si>
  <si>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</si>
  <si>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</si>
  <si>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</si>
  <si>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</si>
  <si>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</si>
  <si>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</si>
  <si>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</si>
  <si>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</si>
  <si>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</si>
  <si>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</si>
  <si>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</si>
  <si>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</si>
  <si>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</si>
  <si>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</si>
  <si>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</si>
  <si>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</si>
  <si>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</si>
  <si>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</si>
  <si>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</si>
  <si>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</si>
  <si>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</si>
  <si>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</si>
  <si>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</si>
  <si>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</si>
  <si>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</si>
  <si>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</si>
  <si>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</si>
  <si>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</si>
  <si>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</si>
  <si>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</si>
  <si>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</si>
  <si>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</si>
  <si>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</si>
  <si>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</si>
  <si>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</si>
  <si>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</si>
  <si>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</si>
  <si>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</si>
  <si>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</si>
  <si>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</si>
  <si>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</si>
  <si>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</si>
  <si>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</si>
  <si>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</si>
  <si>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</si>
  <si>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</si>
  <si>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</si>
  <si>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</si>
  <si>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</si>
  <si>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</si>
  <si>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</si>
  <si>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</si>
  <si>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</si>
  <si>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</si>
  <si>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</si>
  <si>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</si>
  <si>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</si>
  <si>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</si>
  <si>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</si>
  <si>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</si>
  <si>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</si>
  <si>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</si>
  <si>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</si>
  <si>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</si>
  <si>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</si>
  <si>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</si>
  <si>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</si>
  <si>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</si>
  <si>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</si>
  <si>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</si>
  <si>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</si>
  <si>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</si>
  <si>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</si>
  <si>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</si>
  <si>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</si>
  <si>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</si>
  <si>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</si>
  <si>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</si>
  <si>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</si>
  <si>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</si>
  <si>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</si>
  <si>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</si>
  <si>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</si>
  <si>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</si>
  <si>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</si>
  <si>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</si>
  <si>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</si>
  <si>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</si>
  <si>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</si>
  <si>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</si>
  <si>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</si>
  <si>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</si>
  <si>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</si>
  <si>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</si>
  <si>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</si>
  <si>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</si>
  <si>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</si>
  <si>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</si>
  <si>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</si>
  <si>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</si>
  <si>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</si>
  <si>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</si>
  <si>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</si>
  <si>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</si>
  <si>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</si>
  <si>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</si>
  <si>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</si>
  <si>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</si>
  <si>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</si>
  <si>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</si>
  <si>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</si>
  <si>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</si>
  <si>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</si>
  <si>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</si>
  <si>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</si>
  <si>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</si>
  <si>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</si>
  <si>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</si>
  <si>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</si>
  <si>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</si>
  <si>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</si>
  <si>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</si>
  <si>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</si>
  <si>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</si>
  <si>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</si>
  <si>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</si>
  <si>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</si>
  <si>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</si>
  <si>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</si>
  <si>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</si>
  <si>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</si>
  <si>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</si>
  <si>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</si>
  <si>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</si>
  <si>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</si>
  <si>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</si>
  <si>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</si>
  <si>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</si>
  <si>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</si>
  <si>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</si>
  <si>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</si>
  <si>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</si>
  <si>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</si>
  <si>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</si>
  <si>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</si>
  <si>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</si>
  <si>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</si>
  <si>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</si>
  <si>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</si>
  <si>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</si>
  <si>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</si>
  <si>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</si>
  <si>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</si>
  <si>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</si>
  <si>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</si>
  <si>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</si>
  <si>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</si>
  <si>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</si>
  <si>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</si>
  <si>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</si>
  <si>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</si>
  <si>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</si>
  <si>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</si>
  <si>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</si>
  <si>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</si>
  <si>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</si>
  <si>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</si>
  <si>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</si>
  <si>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</si>
  <si>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</si>
  <si>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</si>
  <si>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</si>
  <si>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</si>
  <si>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</si>
  <si>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</si>
  <si>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</si>
  <si>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</si>
  <si>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</si>
  <si>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</si>
  <si>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</si>
  <si>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</si>
  <si>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</si>
  <si>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</si>
  <si>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</si>
  <si>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</si>
  <si>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</si>
  <si>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</si>
  <si>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</si>
  <si>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</si>
  <si>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</si>
  <si>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</si>
  <si>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</si>
  <si>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</si>
  <si>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</si>
  <si>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</si>
  <si>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</si>
  <si>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</si>
  <si>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</si>
  <si>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</si>
  <si>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</si>
  <si>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</si>
  <si>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</si>
  <si>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</si>
  <si>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</si>
  <si>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</si>
  <si>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</si>
  <si>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</si>
  <si>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</si>
  <si>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</si>
  <si>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</si>
  <si>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</si>
  <si>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</si>
  <si>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</si>
  <si>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</si>
  <si>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</si>
  <si>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</si>
  <si>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</si>
  <si>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</si>
  <si>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</si>
  <si>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</si>
  <si>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</si>
  <si>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</si>
  <si>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</si>
  <si>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</si>
  <si>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</si>
  <si>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</si>
  <si>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</si>
  <si>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</si>
  <si>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</si>
  <si>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</si>
  <si>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</si>
  <si>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</si>
  <si>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</si>
  <si>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</si>
  <si>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</si>
  <si>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</si>
  <si>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</si>
  <si>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</si>
  <si>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</si>
  <si>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</si>
  <si>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</si>
  <si>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</si>
  <si>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</si>
  <si>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</si>
  <si>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</si>
  <si>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</si>
  <si>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</si>
  <si>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</si>
  <si>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</si>
  <si>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</si>
  <si>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</si>
  <si>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</si>
  <si>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</si>
  <si>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</si>
  <si>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</si>
  <si>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</si>
  <si>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</si>
  <si>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</si>
  <si>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</si>
  <si>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</si>
  <si>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</si>
  <si>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</si>
  <si>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</si>
  <si>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</si>
  <si>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</si>
  <si>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</si>
  <si>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</si>
  <si>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</si>
  <si>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</si>
  <si>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</si>
  <si>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</si>
  <si>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</si>
  <si>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</si>
  <si>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</si>
  <si>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</si>
  <si>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</si>
  <si>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</si>
  <si>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</si>
  <si>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</si>
  <si>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</si>
  <si>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</si>
  <si>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</si>
  <si>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</si>
  <si>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</si>
  <si>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</si>
  <si>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</si>
  <si>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</si>
  <si>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</si>
  <si>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</si>
  <si>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</si>
  <si>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</si>
  <si>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</si>
  <si>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</si>
  <si>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</si>
  <si>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</si>
  <si>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</si>
  <si>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</si>
  <si>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</si>
  <si>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</si>
  <si>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</si>
  <si>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</si>
  <si>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</si>
  <si>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</si>
  <si>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</si>
  <si>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</si>
  <si>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</si>
  <si>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</si>
  <si>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</si>
  <si>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</si>
  <si>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</si>
  <si>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</si>
  <si>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</si>
  <si>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</si>
  <si>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</si>
  <si>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</si>
  <si>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</si>
  <si>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</si>
  <si>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</si>
  <si>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</si>
  <si>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</si>
  <si>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</si>
  <si>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</si>
  <si>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</si>
  <si>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</si>
  <si>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</si>
  <si>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</si>
  <si>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</si>
  <si>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</si>
  <si>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</si>
  <si>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</si>
  <si>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</si>
  <si>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</si>
  <si>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</si>
  <si>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</si>
  <si>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</si>
  <si>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</si>
  <si>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</si>
  <si>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</si>
  <si>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</si>
  <si>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</si>
  <si>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</si>
  <si>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</si>
  <si>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</si>
  <si>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</si>
  <si>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</si>
  <si>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</si>
  <si>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</si>
  <si>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</si>
  <si>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</si>
  <si>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</si>
  <si>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</si>
  <si>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</si>
  <si>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</si>
  <si>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</si>
  <si>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</si>
  <si>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</si>
  <si>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</si>
  <si>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</si>
  <si>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</si>
  <si>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</si>
  <si>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</si>
  <si>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</si>
  <si>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</si>
  <si>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</si>
  <si>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</si>
  <si>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</si>
  <si>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</si>
  <si>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</si>
  <si>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</si>
  <si>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</si>
  <si>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</si>
  <si>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</si>
  <si>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</si>
  <si>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</si>
  <si>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</si>
  <si>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</si>
  <si>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</si>
  <si>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</si>
  <si>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</si>
  <si>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</si>
  <si>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</si>
  <si>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</si>
  <si>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</si>
  <si>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</si>
  <si>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</si>
  <si>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</si>
  <si>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</si>
  <si>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</si>
  <si>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</si>
  <si>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</si>
  <si>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</si>
  <si>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</si>
  <si>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</si>
  <si>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</si>
  <si>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</si>
  <si>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</si>
  <si>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</si>
  <si>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</si>
  <si>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</si>
  <si>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</si>
  <si>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</si>
  <si>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</si>
  <si>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</si>
  <si>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</si>
  <si>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</si>
  <si>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</si>
  <si>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</si>
  <si>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</si>
  <si>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</si>
  <si>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</si>
  <si>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</si>
  <si>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</si>
  <si>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</si>
  <si>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</si>
  <si>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</si>
  <si>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</si>
  <si>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</si>
  <si>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</si>
  <si>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</si>
  <si>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</si>
  <si>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</si>
  <si>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</si>
  <si>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</si>
  <si>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</si>
  <si>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</si>
  <si>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</si>
  <si>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</si>
  <si>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</si>
  <si>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</si>
  <si>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</si>
  <si>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</si>
  <si>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</si>
  <si>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</si>
  <si>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</si>
  <si>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</si>
  <si>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</si>
  <si>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</si>
  <si>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</si>
  <si>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</si>
  <si>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</si>
  <si>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</si>
  <si>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</si>
  <si>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</si>
  <si>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</si>
  <si>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</si>
  <si>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</si>
  <si>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</si>
  <si>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</si>
  <si>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</si>
  <si>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</si>
  <si>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</si>
  <si>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</si>
  <si>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</si>
  <si>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</si>
  <si>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</si>
  <si>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</si>
  <si>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</si>
  <si>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</si>
  <si>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</si>
  <si>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</si>
  <si>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</si>
  <si>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</si>
  <si>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</si>
  <si>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</si>
  <si>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</si>
  <si>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</si>
  <si>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</si>
  <si>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</si>
  <si>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</si>
  <si>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</si>
  <si>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</si>
  <si>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</si>
  <si>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</si>
  <si>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</si>
  <si>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</si>
  <si>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</si>
  <si>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</si>
  <si>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</si>
  <si>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</si>
  <si>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</si>
  <si>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</si>
  <si>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</si>
  <si>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</si>
  <si>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</si>
  <si>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</si>
  <si>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</si>
  <si>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</si>
  <si>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</si>
  <si>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</si>
  <si>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</si>
  <si>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</si>
  <si>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</si>
  <si>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</si>
  <si>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</si>
  <si>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</si>
  <si>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</si>
  <si>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</si>
  <si>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</si>
  <si>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</si>
  <si>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</si>
  <si>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</si>
  <si>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</si>
  <si>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</si>
  <si>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</si>
  <si>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</si>
  <si>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</si>
  <si>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</si>
  <si>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</si>
  <si>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</si>
  <si>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</si>
  <si>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</si>
  <si>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</si>
  <si>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</si>
  <si>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</si>
  <si>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</si>
  <si>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</si>
  <si>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</si>
  <si>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</si>
  <si>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</si>
  <si>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</si>
  <si>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</si>
  <si>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</si>
  <si>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</si>
  <si>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</si>
  <si>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</si>
  <si>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</si>
  <si>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</si>
  <si>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</si>
  <si>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</si>
  <si>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</si>
  <si>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</si>
  <si>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</si>
  <si>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</si>
  <si>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</si>
  <si>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</si>
  <si>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</si>
  <si>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</si>
  <si>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</si>
  <si>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</si>
  <si>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</si>
  <si>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</si>
  <si>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</si>
  <si>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</si>
  <si>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</si>
  <si>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</si>
  <si>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</si>
  <si>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</si>
  <si>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</si>
  <si>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</si>
  <si>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</si>
  <si>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</si>
  <si>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</si>
  <si>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</si>
  <si>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</si>
  <si>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</si>
  <si>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</si>
  <si>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</si>
  <si>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</si>
  <si>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</si>
  <si>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</si>
  <si>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</si>
  <si>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</si>
  <si>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</si>
  <si>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</si>
  <si>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</si>
  <si>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</si>
  <si>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</si>
  <si>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</si>
  <si>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</si>
  <si>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</si>
  <si>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</si>
  <si>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</si>
  <si>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</si>
  <si>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</si>
  <si>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</si>
  <si>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</si>
  <si>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</si>
  <si>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</si>
  <si>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</si>
  <si>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</si>
  <si>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</si>
  <si>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</si>
  <si>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</si>
  <si>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</si>
  <si>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</si>
  <si>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</si>
  <si>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</si>
  <si>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</si>
  <si>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</si>
  <si>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</si>
  <si>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</si>
  <si>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</si>
  <si>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</si>
  <si>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</si>
  <si>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</si>
  <si>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</si>
  <si>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</si>
  <si>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</si>
  <si>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</si>
  <si>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</si>
  <si>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</si>
  <si>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</si>
  <si>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</si>
  <si>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</si>
  <si>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</si>
  <si>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</si>
  <si>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</si>
  <si>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</si>
  <si>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</si>
  <si>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</si>
  <si>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</si>
  <si>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</si>
  <si>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</si>
  <si>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</si>
  <si>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</si>
  <si>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</si>
  <si>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</si>
  <si>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</si>
  <si>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</si>
  <si>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</si>
  <si>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</si>
  <si>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</si>
  <si>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</si>
  <si>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</si>
  <si>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</si>
  <si>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</si>
  <si>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</si>
  <si>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</si>
  <si>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</si>
  <si>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</si>
  <si>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</si>
  <si>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</si>
  <si>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</si>
  <si>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</si>
  <si>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</si>
  <si>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</si>
  <si>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</si>
  <si>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</si>
  <si>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</si>
  <si>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</si>
  <si>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</si>
  <si>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</si>
  <si>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</si>
  <si>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</si>
  <si>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</si>
  <si>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</si>
  <si>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</si>
  <si>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</si>
  <si>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</si>
  <si>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</si>
  <si>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</si>
  <si>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</si>
  <si>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</si>
  <si>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</si>
  <si>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</si>
  <si>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</si>
  <si>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</si>
  <si>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</si>
  <si>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</si>
  <si>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</si>
  <si>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</si>
  <si>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</si>
  <si>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</si>
  <si>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</si>
  <si>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</si>
  <si>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</si>
  <si>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</si>
  <si>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</si>
  <si>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</si>
  <si>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</si>
  <si>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</si>
  <si>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</si>
  <si>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</si>
  <si>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</si>
  <si>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</si>
  <si>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</si>
  <si>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</si>
  <si>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</si>
  <si>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</si>
  <si>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</si>
  <si>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</si>
  <si>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</si>
  <si>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</si>
  <si>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</si>
  <si>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</si>
  <si>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</si>
  <si>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</si>
  <si>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</si>
  <si>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</si>
  <si>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</si>
  <si>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</si>
  <si>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</si>
  <si>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</si>
  <si>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</si>
  <si>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</si>
  <si>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</si>
  <si>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</si>
  <si>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</si>
  <si>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</si>
  <si>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</si>
  <si>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</si>
  <si>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</si>
  <si>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</si>
  <si>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</si>
  <si>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</si>
  <si>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</si>
  <si>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</si>
  <si>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</si>
  <si>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</si>
  <si>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</si>
  <si>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</si>
  <si>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</si>
  <si>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</si>
  <si>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</si>
  <si>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</si>
  <si>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</si>
  <si>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</si>
  <si>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</si>
  <si>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</si>
  <si>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</si>
  <si>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</si>
  <si>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</si>
  <si>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</si>
  <si>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</si>
  <si>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</si>
  <si>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</si>
  <si>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</si>
  <si>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</si>
  <si>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</si>
  <si>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</si>
  <si>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</si>
  <si>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</si>
  <si>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</si>
  <si>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</si>
  <si>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</si>
  <si>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</si>
  <si>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</si>
  <si>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</si>
  <si>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</si>
  <si>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</si>
  <si>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</si>
  <si>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</si>
  <si>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</si>
  <si>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</si>
  <si>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</si>
  <si>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</si>
  <si>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</si>
  <si>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</si>
  <si>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</si>
  <si>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</si>
  <si>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</si>
  <si>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</si>
  <si>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</si>
  <si>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</si>
  <si>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</si>
  <si>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</si>
  <si>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</si>
  <si>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</si>
  <si>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</si>
  <si>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</si>
  <si>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</si>
  <si>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</si>
  <si>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</si>
  <si>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</si>
  <si>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</si>
  <si>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</si>
  <si>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</si>
  <si>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</si>
  <si>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</si>
  <si>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</si>
  <si>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</si>
  <si>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</si>
  <si>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</si>
  <si>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</si>
  <si>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</si>
  <si>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</si>
  <si>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</si>
  <si>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</si>
  <si>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</si>
  <si>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</si>
  <si>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</si>
  <si>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</si>
  <si>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</si>
  <si>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</si>
  <si>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</si>
  <si>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</si>
  <si>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</si>
  <si>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</si>
  <si>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</si>
  <si>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</si>
  <si>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</si>
  <si>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</si>
  <si>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</si>
  <si>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</si>
  <si>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</si>
  <si>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</si>
  <si>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</si>
  <si>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</si>
  <si>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</si>
  <si>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</si>
  <si>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</si>
  <si>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</si>
  <si>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</si>
  <si>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</si>
  <si>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</si>
  <si>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</si>
  <si>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</si>
  <si>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</si>
  <si>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</si>
  <si>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</si>
  <si>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</si>
  <si>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</si>
  <si>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</si>
  <si>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</si>
  <si>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</si>
  <si>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</si>
  <si>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</si>
  <si>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</si>
  <si>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</si>
  <si>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</si>
  <si>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</si>
  <si>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</si>
  <si>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</si>
  <si>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</si>
  <si>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</si>
  <si>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</si>
  <si>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</si>
  <si>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</si>
  <si>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</si>
  <si>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</si>
  <si>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</si>
  <si>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</si>
  <si>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</si>
  <si>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</si>
  <si>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</si>
  <si>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</si>
  <si>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</si>
  <si>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</si>
  <si>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</si>
  <si>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</si>
  <si>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</si>
  <si>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</si>
  <si>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</si>
  <si>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</si>
  <si>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</si>
  <si>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</si>
  <si>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</si>
  <si>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</si>
  <si>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</si>
  <si>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</si>
  <si>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</si>
  <si>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</si>
  <si>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</si>
  <si>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</si>
  <si>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</si>
  <si>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</si>
  <si>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</si>
  <si>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</si>
  <si>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</si>
  <si>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</si>
  <si>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</si>
  <si>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</si>
  <si>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</si>
  <si>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</si>
  <si>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</si>
  <si>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</si>
  <si>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</si>
  <si>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</si>
  <si>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</si>
  <si>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</si>
  <si>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</si>
  <si>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</si>
  <si>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</si>
  <si>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</si>
  <si>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</si>
  <si>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</si>
  <si>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</si>
  <si>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</si>
  <si>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</si>
  <si>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</si>
  <si>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</si>
  <si>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</si>
  <si>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</si>
  <si>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</si>
  <si>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</si>
  <si>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</si>
  <si>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</si>
  <si>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</si>
  <si>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</si>
  <si>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</si>
  <si>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</si>
  <si>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</si>
  <si>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</si>
  <si>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</si>
  <si>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</si>
  <si>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</si>
  <si>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</si>
  <si>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</si>
  <si>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</si>
  <si>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</si>
  <si>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</si>
  <si>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</si>
  <si>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</si>
  <si>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</si>
  <si>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</si>
  <si>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</si>
  <si>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</si>
  <si>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</si>
  <si>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</si>
  <si>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</si>
  <si>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</si>
  <si>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</si>
  <si>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</si>
  <si>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</si>
  <si>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</si>
  <si>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</si>
  <si>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</si>
  <si>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</si>
  <si>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</si>
  <si>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</si>
  <si>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</si>
  <si>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</si>
  <si>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</si>
  <si>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</si>
  <si>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</si>
  <si>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</si>
  <si>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</si>
  <si>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</si>
  <si>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</si>
  <si>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</si>
  <si>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</si>
  <si>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</si>
  <si>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</si>
  <si>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</si>
  <si>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</si>
  <si>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</si>
  <si>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</si>
  <si>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</si>
  <si>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</si>
  <si>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</si>
  <si>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</si>
  <si>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</si>
  <si>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</si>
  <si>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</si>
  <si>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</si>
  <si>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</si>
  <si>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</si>
  <si>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</si>
  <si>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</si>
  <si>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</si>
  <si>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</si>
  <si>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</si>
  <si>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</si>
  <si>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</si>
  <si>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</si>
  <si>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</si>
  <si>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</si>
  <si>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</si>
  <si>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</si>
  <si>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</si>
  <si>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</si>
  <si>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</si>
  <si>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</si>
  <si>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</si>
  <si>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</si>
  <si>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</si>
  <si>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</si>
  <si>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</si>
  <si>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</si>
  <si>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</si>
  <si>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</si>
  <si>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</si>
  <si>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</si>
  <si>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</si>
  <si>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</si>
  <si>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</si>
  <si>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</si>
  <si>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</si>
  <si>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</si>
  <si>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</si>
  <si>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</si>
  <si>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</si>
  <si>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</si>
  <si>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</si>
  <si>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</si>
  <si>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</si>
  <si>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</si>
  <si>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</si>
  <si>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</si>
  <si>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</si>
  <si>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</si>
  <si>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</si>
  <si>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</si>
  <si>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</si>
  <si>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</si>
  <si>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</si>
  <si>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</si>
  <si>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</si>
  <si>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</si>
  <si>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</si>
  <si>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</si>
  <si>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</si>
  <si>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</si>
  <si>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</si>
  <si>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</si>
  <si>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</si>
  <si>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</si>
  <si>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</si>
  <si>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</si>
  <si>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</si>
  <si>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</si>
  <si>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</si>
  <si>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</si>
  <si>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</si>
  <si>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</si>
  <si>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</si>
  <si>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</si>
  <si>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</si>
  <si>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</si>
  <si>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</si>
  <si>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</si>
  <si>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</si>
  <si>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</si>
  <si>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</si>
  <si>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</si>
  <si>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</si>
  <si>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</si>
  <si>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</si>
  <si>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</si>
  <si>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</si>
  <si>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</si>
  <si>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</si>
  <si>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</si>
  <si>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</si>
  <si>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</si>
  <si>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</si>
  <si>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</si>
  <si>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</si>
  <si>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</si>
  <si>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</si>
  <si>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</si>
  <si>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</si>
  <si>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</si>
  <si>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</si>
  <si>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</si>
  <si>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</si>
  <si>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</si>
  <si>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</si>
  <si>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</si>
  <si>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</si>
  <si>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</si>
  <si>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</si>
  <si>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</si>
  <si>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</si>
  <si>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</si>
  <si>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</si>
  <si>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</si>
  <si>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</si>
  <si>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</si>
  <si>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</si>
  <si>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</si>
  <si>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</si>
  <si>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</si>
  <si>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</si>
  <si>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</si>
  <si>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</si>
  <si>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</si>
  <si>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</si>
  <si>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</si>
  <si>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</si>
  <si>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</si>
  <si>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</si>
  <si>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</si>
  <si>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</si>
  <si>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</si>
  <si>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</si>
  <si>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</si>
  <si>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</si>
  <si>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</si>
  <si>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</si>
  <si>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</si>
  <si>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</si>
  <si>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</si>
  <si>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</si>
  <si>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</si>
  <si>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</si>
  <si>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</si>
  <si>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</si>
  <si>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</si>
  <si>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</si>
  <si>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</si>
  <si>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</si>
  <si>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</si>
  <si>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</si>
  <si>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</si>
  <si>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</si>
  <si>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</si>
  <si>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</si>
  <si>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</si>
  <si>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</si>
  <si>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</si>
  <si>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</si>
  <si>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</si>
  <si>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</si>
  <si>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</si>
  <si>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</si>
  <si>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</si>
  <si>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</si>
  <si>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</si>
  <si>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</si>
  <si>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</si>
  <si>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</si>
  <si>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</si>
  <si>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</si>
  <si>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</si>
  <si>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</si>
  <si>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</si>
  <si>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</si>
  <si>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</si>
  <si>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</si>
  <si>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</si>
  <si>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</si>
  <si>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</si>
  <si>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</si>
  <si>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</si>
  <si>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</si>
  <si>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</si>
  <si>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</si>
  <si>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</si>
  <si>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</si>
  <si>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</si>
  <si>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</si>
  <si>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</si>
  <si>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</si>
  <si>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</si>
  <si>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</si>
  <si>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</si>
  <si>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</si>
  <si>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</si>
  <si>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</si>
  <si>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</si>
  <si>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</si>
  <si>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</si>
  <si>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</si>
  <si>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</si>
  <si>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</si>
  <si>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</si>
  <si>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</si>
  <si>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</si>
  <si>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</si>
  <si>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</si>
  <si>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</si>
  <si>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</si>
  <si>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</si>
  <si>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</si>
  <si>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</si>
  <si>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</si>
  <si>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</si>
  <si>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</si>
  <si>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</si>
  <si>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</si>
  <si>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</si>
  <si>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</si>
  <si>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</si>
  <si>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</si>
  <si>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</si>
  <si>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</si>
  <si>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</si>
  <si>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</si>
  <si>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</si>
  <si>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</si>
  <si>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</si>
  <si>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</si>
  <si>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</si>
  <si>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</si>
  <si>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</si>
  <si>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</si>
  <si>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</si>
  <si>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</si>
  <si>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</si>
  <si>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</si>
  <si>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</si>
  <si>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</si>
  <si>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</si>
  <si>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</si>
  <si>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</si>
  <si>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</si>
  <si>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</si>
  <si>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</si>
  <si>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</si>
  <si>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</si>
  <si>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</si>
  <si>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</si>
  <si>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</si>
  <si>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</si>
  <si>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</si>
  <si>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</si>
  <si>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</si>
  <si>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</si>
  <si>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</si>
  <si>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</si>
  <si>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</si>
  <si>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</si>
  <si>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</si>
  <si>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</si>
  <si>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</si>
  <si>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</si>
  <si>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</si>
  <si>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</si>
  <si>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</si>
  <si>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</si>
  <si>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</si>
  <si>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</si>
  <si>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</si>
  <si>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</si>
  <si>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</si>
  <si>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</si>
  <si>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</si>
  <si>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</si>
  <si>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</si>
  <si>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</si>
  <si>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</si>
  <si>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</si>
  <si>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</si>
  <si>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</si>
  <si>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</si>
  <si>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</si>
  <si>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</si>
  <si>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</si>
  <si>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</si>
  <si>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</si>
  <si>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</si>
  <si>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</si>
  <si>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</si>
  <si>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</si>
  <si>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</si>
  <si>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</si>
  <si>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</si>
  <si>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</si>
  <si>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</si>
  <si>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</si>
  <si>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</si>
  <si>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</si>
  <si>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</si>
  <si>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</si>
  <si>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</si>
  <si>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</si>
  <si>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</si>
  <si>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</si>
  <si>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</si>
  <si>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</si>
  <si>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</si>
  <si>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</si>
  <si>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</si>
  <si>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</si>
  <si>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</si>
  <si>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</si>
  <si>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</si>
  <si>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</si>
  <si>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</si>
  <si>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</si>
  <si>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</si>
  <si>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</si>
  <si>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</si>
  <si>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</si>
  <si>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</si>
  <si>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</si>
  <si>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</si>
  <si>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</si>
  <si>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</si>
  <si>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</si>
  <si>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</si>
  <si>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</si>
  <si>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</si>
  <si>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</si>
  <si>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</si>
  <si>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</si>
  <si>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</si>
  <si>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</si>
  <si>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</si>
  <si>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</si>
  <si>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</si>
  <si>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</si>
  <si>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</si>
  <si>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</si>
  <si>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</si>
  <si>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</si>
  <si>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</si>
  <si>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</si>
  <si>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</si>
  <si>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</si>
  <si>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</si>
  <si>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</si>
  <si>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</si>
  <si>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</si>
  <si>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</si>
  <si>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</si>
  <si>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</si>
  <si>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</si>
  <si>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</si>
  <si>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</si>
  <si>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</si>
  <si>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</si>
  <si>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</si>
  <si>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</si>
  <si>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</si>
  <si>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</si>
  <si>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</si>
  <si>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</si>
  <si>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</si>
  <si>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</si>
  <si>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</si>
  <si>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</si>
  <si>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</si>
  <si>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</si>
  <si>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</si>
  <si>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</si>
  <si>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</si>
  <si>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</si>
  <si>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</si>
  <si>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</si>
  <si>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</si>
  <si>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</si>
  <si>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</si>
  <si>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</si>
  <si>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</si>
  <si>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</si>
  <si>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</si>
  <si>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</si>
  <si>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</si>
  <si>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</si>
  <si>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</si>
  <si>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</si>
  <si>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</si>
  <si>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</si>
  <si>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</si>
  <si>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</si>
  <si>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</si>
  <si>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</si>
  <si>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</si>
  <si>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</si>
  <si>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</si>
  <si>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</si>
  <si>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</si>
  <si>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</si>
  <si>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</si>
  <si>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</si>
  <si>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</si>
  <si>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</si>
  <si>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</si>
  <si>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</si>
  <si>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</si>
  <si>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</si>
  <si>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</si>
  <si>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</si>
  <si>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</si>
  <si>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</si>
  <si>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</si>
  <si>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</si>
  <si>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</si>
  <si>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</si>
  <si>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</si>
  <si>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</si>
  <si>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</si>
  <si>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</si>
  <si>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</si>
  <si>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</si>
  <si>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</si>
  <si>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</si>
  <si>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</si>
  <si>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</si>
  <si>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</si>
  <si>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</si>
  <si>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</si>
  <si>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</si>
  <si>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</si>
  <si>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</si>
  <si>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</si>
  <si>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</si>
  <si>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</si>
  <si>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</si>
  <si>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</si>
  <si>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</si>
  <si>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</si>
  <si>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</si>
  <si>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</si>
  <si>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</si>
  <si>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</si>
  <si>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</si>
  <si>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</si>
  <si>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</si>
  <si>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</si>
  <si>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</si>
  <si>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</si>
  <si>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</si>
  <si>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</si>
  <si>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</si>
  <si>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</si>
  <si>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</si>
  <si>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</si>
  <si>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</si>
  <si>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</si>
  <si>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</si>
  <si>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</si>
  <si>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</si>
  <si>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</si>
  <si>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</si>
  <si>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</si>
  <si>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</si>
  <si>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</si>
  <si>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</si>
  <si>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</si>
  <si>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</si>
  <si>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</si>
  <si>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</si>
  <si>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</si>
  <si>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</si>
  <si>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</si>
  <si>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</si>
  <si>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</si>
  <si>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</si>
  <si>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</si>
  <si>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</si>
  <si>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</si>
  <si>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</si>
  <si>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</si>
  <si>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</si>
  <si>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</si>
  <si>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</si>
  <si>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</si>
  <si>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</si>
  <si>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</si>
  <si>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</si>
  <si>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</si>
  <si>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</si>
  <si>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</si>
  <si>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</si>
  <si>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</si>
  <si>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</si>
  <si>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</si>
  <si>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</si>
  <si>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</si>
  <si>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</si>
  <si>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</si>
  <si>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</si>
  <si>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</si>
  <si>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</si>
  <si>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</si>
  <si>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</si>
  <si>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</si>
  <si>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</si>
  <si>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</si>
  <si>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</si>
  <si>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</si>
  <si>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</si>
  <si>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</si>
  <si>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</si>
  <si>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</si>
  <si>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</si>
  <si>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</si>
  <si>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</si>
  <si>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</si>
  <si>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</si>
  <si>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</si>
  <si>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</si>
  <si>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</si>
  <si>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</si>
  <si>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</si>
  <si>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</si>
  <si>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</si>
  <si>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</si>
  <si>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</si>
  <si>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</si>
  <si>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</si>
  <si>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</si>
  <si>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</si>
  <si>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</si>
  <si>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</si>
  <si>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</si>
  <si>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</si>
  <si>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</si>
  <si>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</si>
  <si>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</si>
  <si>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</si>
  <si>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</si>
  <si>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</si>
  <si>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</si>
  <si>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</si>
  <si>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</si>
  <si>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</si>
  <si>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</si>
  <si>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</si>
  <si>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</si>
  <si>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</si>
  <si>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</si>
  <si>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</si>
  <si>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</si>
  <si>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</si>
  <si>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</si>
  <si>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</si>
  <si>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</si>
  <si>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</si>
  <si>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</si>
  <si>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</si>
  <si>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</si>
  <si>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</si>
  <si>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</si>
  <si>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</si>
  <si>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</si>
  <si>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</si>
  <si>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</si>
  <si>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</si>
  <si>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</si>
  <si>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</si>
  <si>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</si>
  <si>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</si>
  <si>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</si>
  <si>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</si>
  <si>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</si>
  <si>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</si>
  <si>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</si>
  <si>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</si>
  <si>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</si>
  <si>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</si>
  <si>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</si>
  <si>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</si>
  <si>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</si>
  <si>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</si>
  <si>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</si>
  <si>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</si>
  <si>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</si>
  <si>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</si>
  <si>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</si>
  <si>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</si>
  <si>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</si>
  <si>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</si>
  <si>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</si>
  <si>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</si>
  <si>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</si>
  <si>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</si>
  <si>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</si>
  <si>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</si>
  <si>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</si>
  <si>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</si>
  <si>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</si>
  <si>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</si>
  <si>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</si>
  <si>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</si>
  <si>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</si>
  <si>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</si>
  <si>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</si>
  <si>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</si>
  <si>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</si>
  <si>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</si>
  <si>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</si>
  <si>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</si>
  <si>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</si>
  <si>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</si>
  <si>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</si>
  <si>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</si>
  <si>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</si>
  <si>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</si>
  <si>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</si>
  <si>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</si>
  <si>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</si>
  <si>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</si>
  <si>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</si>
  <si>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</si>
  <si>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</si>
  <si>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</si>
  <si>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</si>
  <si>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</si>
  <si>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</si>
  <si>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</si>
  <si>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</si>
  <si>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</si>
  <si>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</si>
  <si>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</si>
  <si>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</si>
  <si>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</si>
  <si>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</si>
  <si>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</si>
  <si>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</si>
  <si>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</si>
  <si>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</si>
  <si>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</si>
  <si>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</si>
  <si>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</si>
  <si>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</si>
  <si>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</si>
  <si>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</si>
  <si>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</si>
  <si>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</si>
  <si>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</si>
  <si>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</si>
  <si>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</si>
  <si>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</si>
  <si>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</si>
  <si>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</si>
  <si>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</si>
  <si>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</si>
  <si>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</si>
  <si>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</si>
  <si>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</si>
  <si>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</si>
  <si>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</si>
  <si>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</si>
  <si>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</si>
  <si>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</si>
  <si>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</si>
  <si>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</si>
  <si>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</si>
  <si>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</si>
  <si>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</si>
  <si>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</si>
  <si>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</si>
  <si>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</si>
  <si>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</si>
  <si>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</si>
  <si>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</si>
  <si>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</si>
  <si>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</si>
  <si>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</si>
  <si>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</si>
  <si>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</si>
  <si>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</si>
  <si>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</si>
  <si>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</si>
  <si>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</si>
  <si>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</si>
  <si>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</si>
  <si>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</si>
  <si>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</si>
  <si>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</si>
  <si>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</si>
  <si>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</si>
  <si>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</si>
  <si>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</si>
  <si>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</si>
  <si>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</si>
  <si>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</si>
  <si>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</si>
  <si>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</si>
  <si>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</si>
  <si>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</si>
  <si>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</si>
  <si>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</si>
  <si>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</si>
  <si>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</si>
  <si>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</si>
  <si>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</si>
  <si>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</si>
  <si>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</si>
  <si>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</si>
  <si>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</si>
  <si>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</si>
  <si>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</si>
  <si>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</si>
  <si>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</si>
  <si>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</si>
  <si>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</si>
  <si>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</si>
  <si>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</si>
  <si>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</si>
  <si>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</si>
  <si>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</si>
  <si>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</si>
  <si>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</si>
  <si>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</si>
  <si>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</si>
  <si>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</si>
  <si>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</si>
  <si>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</si>
  <si>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</si>
  <si>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</si>
  <si>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</si>
  <si>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</si>
  <si>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</si>
  <si>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</si>
  <si>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</si>
  <si>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</si>
  <si>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</si>
  <si>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</si>
  <si>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</si>
  <si>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</si>
  <si>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</si>
  <si>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</si>
  <si>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</si>
  <si>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</si>
  <si>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</si>
  <si>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</si>
  <si>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</si>
  <si>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</si>
  <si>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</si>
  <si>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</si>
  <si>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</si>
  <si>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</si>
  <si>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</si>
  <si>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</si>
  <si>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</si>
  <si>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</si>
  <si>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</si>
  <si>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</si>
  <si>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</si>
  <si>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Volunteers of America Southeast, Inc.</t>
  </si>
  <si>
    <t>Calypso</t>
  </si>
  <si>
    <t>8212 Cascade Palmetto Highway</t>
  </si>
  <si>
    <t>No</t>
  </si>
  <si>
    <t>Yes</t>
  </si>
  <si>
    <t>City of Palmetto</t>
  </si>
  <si>
    <t>John O. Miller</t>
  </si>
  <si>
    <t>509 Toombs Street</t>
  </si>
  <si>
    <t>Mayor</t>
  </si>
  <si>
    <t>Family</t>
  </si>
  <si>
    <t>Van Dyke and Company</t>
  </si>
  <si>
    <t>Wallace Davis</t>
  </si>
  <si>
    <t>New Calypso GP, Inc.</t>
  </si>
  <si>
    <t>Volunteers of America Southeast</t>
  </si>
  <si>
    <t>Judy Van Dyke</t>
  </si>
  <si>
    <t>600 Azalea Road</t>
  </si>
  <si>
    <t>Mobile</t>
  </si>
  <si>
    <t>NONE</t>
  </si>
  <si>
    <t>730 N. Dean Road, Suite 100</t>
  </si>
  <si>
    <t>Hollyhand Management</t>
  </si>
  <si>
    <t>Northport</t>
  </si>
  <si>
    <t>Brian Hollyhand</t>
  </si>
  <si>
    <t>President</t>
  </si>
  <si>
    <t>brian@Hollyhand.com</t>
  </si>
  <si>
    <t>For Profit</t>
  </si>
  <si>
    <t>Sherry Atchinson</t>
  </si>
  <si>
    <t>satchinson@voase.org</t>
  </si>
  <si>
    <t>wdavis@voase.org</t>
  </si>
  <si>
    <t>Van Dyke &amp; Company</t>
  </si>
  <si>
    <t>See Tab 8 for back-up for Property Tax, Property Insurance calculations.</t>
  </si>
  <si>
    <t>Note that residents pay their own water and sewer costs; the costs shown here in this budget are for property water/sewer costs, such as residents who skip and don't pay, and common area water/sewer costs.</t>
  </si>
  <si>
    <t>Fulton County Housing Authority</t>
  </si>
  <si>
    <t>Electric Heat Pump</t>
  </si>
  <si>
    <t>Please see back-up in Tab 8 for Plan Review, Building Permit, Impact and Water/Sewer Tap fees.</t>
  </si>
  <si>
    <t>Permanent Lender's Due Diligence Fee</t>
  </si>
  <si>
    <t>Lender Inspections</t>
  </si>
  <si>
    <t>Bank of America Merrill Lynch</t>
  </si>
  <si>
    <t>Bank of America Merril Lynch</t>
  </si>
  <si>
    <t>The Architectural Offices of William J. Peek, P.C.</t>
  </si>
  <si>
    <t>William J. Peek, AIA</t>
  </si>
  <si>
    <t>jpeek@wjpeek.com</t>
  </si>
  <si>
    <t>908 South Hull Street, Suite 210</t>
  </si>
  <si>
    <t>Frost Cummings Tidwell Group</t>
  </si>
  <si>
    <t>Birmingham</t>
  </si>
  <si>
    <t>Barry Tidwell</t>
  </si>
  <si>
    <t>Managing Partner</t>
  </si>
  <si>
    <t>barry.tidwell@thefctgroup.com</t>
  </si>
  <si>
    <t>Carter &amp; Carter Construction, LLC</t>
  </si>
  <si>
    <t>730 N. Dean Road, Suite 200</t>
  </si>
  <si>
    <t xml:space="preserve"> ccarter@carter-carter.net</t>
  </si>
  <si>
    <t>Collin Carter</t>
  </si>
  <si>
    <t>Agree</t>
  </si>
  <si>
    <t>Novogradic</t>
  </si>
  <si>
    <t>Contract/Option</t>
  </si>
  <si>
    <t>Room</t>
  </si>
  <si>
    <t>Covered Porch</t>
  </si>
  <si>
    <t>On-site laundry</t>
  </si>
  <si>
    <t>BBQ Area and covered Picnic area</t>
  </si>
  <si>
    <t>Playground</t>
  </si>
  <si>
    <t>Earth Craft House</t>
  </si>
  <si>
    <t>Stable Communities &lt; 10%</t>
  </si>
  <si>
    <t>none</t>
  </si>
  <si>
    <t>Pass</t>
  </si>
  <si>
    <t>527B Main Avenue</t>
  </si>
  <si>
    <t>2001 Park Place North, Suite 900</t>
  </si>
  <si>
    <t>CAHEC</t>
  </si>
  <si>
    <t>The Conventional Permanent Loan matures at Year 30, therefore loan payments are not shown beyond Year 30.</t>
  </si>
  <si>
    <t>Tapestry Development Group, Inc</t>
  </si>
  <si>
    <t>2005 Swazey Drive</t>
  </si>
  <si>
    <t>Richelle Patton</t>
  </si>
  <si>
    <t>richellepatton@tapestrydevelopment.org</t>
  </si>
  <si>
    <t>Preliminary commitments from all funding sources are included in Tab 5; there is no funding "under consideration".</t>
  </si>
  <si>
    <t>Property management will oversee regular social and recreational programs at the site.</t>
  </si>
  <si>
    <t>9 months (page 8 of Market Study)</t>
  </si>
  <si>
    <t>There are no DCA tax credit projects that have been funded within 10 miles of Calypso since 2008.  Palmetto Preserve, a neighboring tax credit property, was awarded and developed prior to 2008, although it went through a mini-rehab in 2009.</t>
  </si>
  <si>
    <t>There is not an identity of interest between the seller of the land and either of the two General Partner entities.</t>
  </si>
  <si>
    <t>This is not a HOME deal; none of the HOME environmental requirements apply.</t>
  </si>
  <si>
    <t>The site is along State Highway 154.  This is a "flag lot" and the site includes the driveway that will provide direct access from SR 154 into the heart of the site.</t>
  </si>
  <si>
    <t>Greystone</t>
  </si>
  <si>
    <t>This will be an all-electric site with no gas utilities needed.</t>
  </si>
  <si>
    <t>The Development team has met with the City Council, City Manager and the community in a variety of meetings both last year and this year.  Through this public process we responded to elected official input in the changes made from the 2010 application to the 2011 application.</t>
  </si>
  <si>
    <t>This new construction; rehab is not applicable.</t>
  </si>
  <si>
    <t>Qualified with Conditions</t>
  </si>
  <si>
    <t>DCA determined the original team was qualified with the condition that Van Dyke &amp; Company, Inc become a co-GP in the deal (previously they were only a Developer).  The new organizational chart reflects Volunteers of America Southeast, Inc. (VOASE) as 51% MGP, VDC as 49% GP, and each entity also serving as co-developers.</t>
  </si>
  <si>
    <t>NOT APPLICABLE</t>
  </si>
  <si>
    <t>This is not a HOME deal.</t>
  </si>
  <si>
    <t>Calypso is a new construction project on a vacant, undeveloped piece of land.  We have arranged the site to disturb the least amount of land possible, thereby optimizing our site development costs; we do not believe that any member of the team is being "unduly enriched"; we are providing housing where there is currently a void of affordable housing, especially serving larger families with the 3 and 4 bedroom units, therefore we see no negative impact on the existing housing stock; the uses proximate to the site are appropriate; the market study well supports the need for this property and its ability to meet the market threshold conditions; and there are not excessive soft costs in this development.  Since this is not a rehabilitation project, the other factors listed in XXVIII of the Threshold section of the 2011 QAP do not apply to this project.  Overall we feel that this is an appropriate and needed use of DCA resources, and that the cost to develop Calypso represents an 'optimal utilization' of resources.</t>
  </si>
  <si>
    <t>The application is organized correctly and we do not anticipate any financial adjustments</t>
  </si>
  <si>
    <t>To receive 3 points in this category at least 15% of the units must be restricted to 50% AMI ; we will be restricting 16.1% to 50%, thereby exceeding this standard.</t>
  </si>
  <si>
    <t>There are more than 10 "desirable" activities within 2 miles of this rural site, and there are no undesirables.  Palmetto City Hall is a mile from the site, thus giving the project the 2 bonus points.</t>
  </si>
  <si>
    <t>Less than 10% of the population of this census tract is below Poverty Level.</t>
  </si>
  <si>
    <t>The comparable DCA properties in the PMA do not have occupancies less than 90%.  The market study indicates stabilized occupancy will be met within 9 months, much quicker than the maximum 24 months.  There are no DCA projects within the PMA that have been unable to convert to permanent financing.  The market study does not indicate that foreclosures in the PMA detrimentally affect the proposed project.  The proposed rents are well below the comparable rents.  We do not feel that the proposed PMA is overestimated.</t>
  </si>
  <si>
    <t>While VOASE, Inc. is a strong, reputable non-profit group with at least 2 qualified successful LIHTC properties, they will be only 51% owner and MGP, therefore this project cannot qualify for these experienced NP points.</t>
  </si>
  <si>
    <t xml:space="preserve">Project Overview
Calypso will be a newly constructed 62-unit townhome style multi-family development in the city of Palmetto, which is in southern Fulton County, Georgia.  The complex will be family tenancy, with a mix of 3 and 4 bedroom units.  The undeveloped site is approximately 9 acres, and it is contiguous to established development in the area.  Downtown Palmetto is one mile from the site.  Rents will be affordable to families earning less than 60% of the Area Median Income.  The rents for the 3 bedroom, 2 bathroom units will be between $590 and $680, and the rents for the 4 bedroom, 2 and half bathroom units will be between $700 and $880.  These will be affordable to families earning up to $43,000 for a family of 4.
Calypso will be certified to “Earthcraft Homes for Multifamily” standards, which ensures a “green” project.  This will benefit the tenants by resulting in reduced utility bills, and it will have the lowest possibly impact on the environment.
Palmetto is a small city in southwest Fulton County.  Fulton County is one of the most populous counties in Georgia, as it includes most of the City of Atlanta.  Therefore, while this property is in a small town and considered rural by the USDA, it is near all major amenities of a major city and is also within the Atlanta MSA.  
The development team has site control through a purchase option.  The property is zoned for multifamily and is appropriate for the density we are seeking.  The market study shows strong demand for this property type at the rents proposed.  The units will be individually metered for water and sewer, and tenants will pay those costs.  This also allows the project to convert more easily to home ownership after Year 15.
</t>
  </si>
  <si>
    <t xml:space="preserve">Project Sponsor and Team Members
Volunteers of America Southeast, Inc., (VOASE) will be the Managing General Partner (MGP) of Calypso, with 51% of the GP interest.  The Van Dyke and Company (VDC) of Auburn, Alabama, will serve as a co-General Partner, with 49% of the GP interest.  VOASE and VDC will be co-developers, sharing in the Development Fee along their lines of % of ownership.   VOASE is one of the largest non-profit owners of affordable housing in the United States.  Both VOASE and VDC have experience in the development and ownership of 9% LIHTC projects.
</t>
  </si>
  <si>
    <t xml:space="preserve">Project Financing
The project will be funded with equity from the DCA 9% Low Income Housing Tax Credit program and a conventional construction/permanent loan.  Please note that Calypso is the first of two phases of development.  The second phase will be an affordable senior property, located on the land adjacent to the site to the west, abutting the Highway.  
</t>
  </si>
  <si>
    <t>Summary</t>
  </si>
  <si>
    <t xml:space="preserve">Calypso will meet a housing need for affordable, quality housing for families, especially for large families with the availability of 4 bedroom units.  The site is well situated to take advantage of the amentities in Palmetto, and it is within walking distance of MARTA bus route 180, which provides residents with a public transit option for those that work in nearby Atlanta.  </t>
  </si>
  <si>
    <t>Thomas Atkins Roberts Jr</t>
  </si>
  <si>
    <t>1819 Fifth Avenue North</t>
  </si>
  <si>
    <t xml:space="preserve"> Birmingham</t>
  </si>
  <si>
    <t>aroberts@babc.com</t>
  </si>
  <si>
    <t>Partner</t>
  </si>
  <si>
    <t>Atkins Roberts</t>
  </si>
  <si>
    <t>The Managing GP, New Calypso GP, Inc., is wholly owned by Volunteers of America Southeast, Inc., which is the Non-profit Sponsor and the Co-Developer 1.  The Other GP 1 is Van Dyke &amp; Company, Inc, which is also the Developer.</t>
  </si>
  <si>
    <t>The Operating Deficit Reserve is calculated on 6 months of Debt Service and Operating Expenses.  The Lease-up Reserve is calculated on 3 months of Operating Expenses.  This conforms to DCA's underwriting criteria for both of these reserves.</t>
  </si>
  <si>
    <t>1st Qtr 2013 through 4th Qtr 2013</t>
  </si>
  <si>
    <t>We will be building Calypso to Earthcraft for Multifamily property standards.</t>
  </si>
  <si>
    <t>Please note that we agreed to the waiver of qualified contract right for at least 5 years.  However, at the end of the extended compliance period, after going through whatever processes are necessary at that time, we hope to convert this property to Fee Simple Home Ownership for the tenants.  DCA does not award points for "Tenant Ownership" this year unless the property is a single-family style development.  Therefore we are not requesting points for Homeownership ,and will instead agree to the Waiver of Qualified Contract Right.</t>
  </si>
  <si>
    <t>Neither VOASE or VDC have Georgia properties that have stabilized and would need to comply with MITAS.</t>
  </si>
  <si>
    <t>7700 Falls of Neuse Road, Suite 700</t>
  </si>
  <si>
    <t xml:space="preserve"> ywinstead@cahec.com</t>
  </si>
  <si>
    <t>Yolanda Winstead</t>
  </si>
  <si>
    <t>Senior Acquisitions Manager</t>
  </si>
  <si>
    <t>Director of Project Development</t>
  </si>
  <si>
    <t>President/CEO</t>
  </si>
  <si>
    <t>Calypso, Ltd</t>
  </si>
  <si>
    <t>MARTA bus route 180 travels down Roosevelt Hwy, with a bus stop at Main Street and Griffith Dirve (.34 miles from the site entrance) and at Roosevelt Hwy and Walnut Way (.49 miles from the site entrance).</t>
  </si>
  <si>
    <t>Sugar Creek Realty</t>
  </si>
  <si>
    <t xml:space="preserve"> 17 West Lockwood Ave</t>
  </si>
  <si>
    <t>St. Louis</t>
  </si>
  <si>
    <t xml:space="preserve"> chite@sugarcreekrealtyllc.com</t>
  </si>
  <si>
    <t>Director of State Tax Credits</t>
  </si>
  <si>
    <t>Chris Hite</t>
  </si>
  <si>
    <t>We confirmed through the Housing Authority of Fulton County that HAFC has jurisdiction in the City of Palmetto.</t>
  </si>
  <si>
    <t>Calypso, Ltd.</t>
  </si>
  <si>
    <t>Raliegh</t>
  </si>
  <si>
    <t>Syndicator Asset Management Fee is only paid in Years 1 through 15.  After Year 15 it is assumed the LP interest will revert/be sold to the Non-profit sponsor, and the Limited Partner(s) will exit the deal.</t>
  </si>
  <si>
    <t>One Consulting Group</t>
  </si>
  <si>
    <t>CXR Railroad,  State Route 156</t>
  </si>
  <si>
    <t>The Phase 1 indicates that there are no environmental concerns at this site.</t>
  </si>
  <si>
    <t>CAHEC and GP Interest</t>
  </si>
  <si>
    <t>Please note that CAHEC, the Federal credit purchaser, will purchase 99.99% of the Federal Credits, as per the typical arrangement, and the GP entities will purchase the remaining .001%.  This is outlined in the CAHEC letter.  Because of circularity in the Core Application, we represent the full Federal Credit Equity amount on the "Federal Housing Credit Equity" line, which is the combination of $7,314,269 in equity from CAHEC and $731 from the GP's.</t>
  </si>
  <si>
    <t>Yes - no Master Plan</t>
  </si>
  <si>
    <t>judy@thebennettgrp.net</t>
  </si>
  <si>
    <t>The site control documents detail control of a 8.99 acre "Tract 1",  part of a larger 13 acre parcel at this address.  The development team has also under their control the 5.01 acre "Tract 2".  The purchase of Tract 2 is contingent upon the purchase of Tract 1.  Therefore, upon a successful award of credits and closing of Tract 1, the development team will have under their control both parcels.  Tract 2 is an anticipated Phase 2 development.</t>
  </si>
  <si>
    <t>2011-043</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</si>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</sst>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43" fontId="54" fillId="5" borderId="31" xfId="0" applyNumberFormat="1"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164" fontId="54" fillId="5" borderId="29" xfId="0" applyNumberFormat="1" applyFont="1" applyFill="1" applyBorder="1" applyAlignment="1" applyProtection="1">
      <alignment horizontal="left" vertical="top" wrapText="1"/>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ISB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76" zoomScaleNormal="100" workbookViewId="0">
      <selection activeCell="D99" sqref="D99"/>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2011-043, Calypso, Fulton County</v>
      </c>
      <c r="B1" s="758"/>
      <c r="C1" s="758"/>
      <c r="D1" s="758"/>
      <c r="E1" s="758"/>
      <c r="F1" s="758"/>
      <c r="G1" s="758"/>
    </row>
    <row r="2" spans="1:9" s="42" customFormat="1" ht="11.45" customHeight="1">
      <c r="A2" s="759" t="s">
        <v>713</v>
      </c>
      <c r="B2" s="760"/>
      <c r="C2" s="760"/>
      <c r="D2" s="760"/>
      <c r="E2" s="760"/>
      <c r="F2" s="760"/>
      <c r="G2" s="760"/>
    </row>
    <row r="3" spans="1:9" s="42" customFormat="1" ht="25.15" customHeight="1">
      <c r="A3" s="752" t="s">
        <v>3828</v>
      </c>
      <c r="B3" s="752"/>
      <c r="C3" s="752"/>
      <c r="D3" s="752"/>
      <c r="E3" s="752"/>
      <c r="F3" s="752"/>
      <c r="G3" s="752"/>
    </row>
    <row r="4" spans="1:9" s="42" customFormat="1" ht="8.25" customHeight="1">
      <c r="A4" s="98"/>
      <c r="B4" s="761" t="s">
        <v>1339</v>
      </c>
      <c r="C4" s="762"/>
      <c r="D4" s="762"/>
      <c r="E4" s="762" t="s">
        <v>3894</v>
      </c>
      <c r="F4" s="767"/>
      <c r="G4" s="99" t="s">
        <v>782</v>
      </c>
    </row>
    <row r="5" spans="1:9" s="42" customFormat="1" ht="8.25" customHeight="1">
      <c r="A5" s="100" t="s">
        <v>784</v>
      </c>
      <c r="B5" s="763"/>
      <c r="C5" s="764"/>
      <c r="D5" s="764"/>
      <c r="E5" s="764"/>
      <c r="F5" s="768"/>
      <c r="G5" s="101" t="s">
        <v>785</v>
      </c>
    </row>
    <row r="6" spans="1:9" s="42" customFormat="1" ht="8.25" customHeight="1">
      <c r="A6" s="102" t="s">
        <v>786</v>
      </c>
      <c r="B6" s="765"/>
      <c r="C6" s="766"/>
      <c r="D6" s="766"/>
      <c r="E6" s="766"/>
      <c r="F6" s="769"/>
      <c r="G6" s="103" t="s">
        <v>787</v>
      </c>
    </row>
    <row r="7" spans="1:9" s="42" customFormat="1" ht="3" customHeight="1">
      <c r="A7" s="100"/>
      <c r="B7" s="394"/>
      <c r="C7" s="394"/>
      <c r="D7" s="394"/>
      <c r="E7" s="306"/>
      <c r="F7" s="710"/>
      <c r="G7" s="311"/>
    </row>
    <row r="8" spans="1:9" s="42" customFormat="1" ht="12.6" customHeight="1" thickBot="1">
      <c r="A8" s="104"/>
      <c r="B8" s="711"/>
      <c r="C8" s="391"/>
      <c r="D8" s="391"/>
      <c r="E8" s="711" t="s">
        <v>1076</v>
      </c>
      <c r="F8" s="391"/>
      <c r="G8" s="1084" t="s">
        <v>3925</v>
      </c>
      <c r="I8" s="1085"/>
    </row>
    <row r="9" spans="1:9" s="42" customFormat="1" ht="12.6" customHeight="1" thickBot="1">
      <c r="A9" s="100"/>
      <c r="B9" s="404" t="s">
        <v>1423</v>
      </c>
      <c r="C9" s="404"/>
      <c r="D9" s="405"/>
      <c r="E9" s="306"/>
      <c r="F9" s="710"/>
      <c r="G9" s="710"/>
    </row>
    <row r="10" spans="1:9" s="42" customFormat="1" ht="12" customHeight="1">
      <c r="A10" s="387">
        <v>1</v>
      </c>
      <c r="B10" s="406" t="s">
        <v>2138</v>
      </c>
      <c r="C10" s="241"/>
      <c r="D10" s="392"/>
      <c r="E10" s="392" t="s">
        <v>2309</v>
      </c>
      <c r="F10" s="392"/>
      <c r="G10" s="1084" t="s">
        <v>3925</v>
      </c>
    </row>
    <row r="11" spans="1:9" s="42" customFormat="1" ht="12" customHeight="1">
      <c r="A11" s="104"/>
      <c r="B11" s="392"/>
      <c r="C11" s="392"/>
      <c r="D11" s="392"/>
      <c r="E11" s="392" t="s">
        <v>2139</v>
      </c>
      <c r="F11" s="392"/>
      <c r="G11" s="1084" t="s">
        <v>3925</v>
      </c>
    </row>
    <row r="12" spans="1:9" s="42" customFormat="1" ht="12" customHeight="1">
      <c r="A12" s="104"/>
      <c r="B12" s="392"/>
      <c r="C12" s="418"/>
      <c r="D12" s="1086"/>
      <c r="E12" s="392" t="s">
        <v>805</v>
      </c>
      <c r="F12" s="391"/>
      <c r="G12" s="1084" t="s">
        <v>3925</v>
      </c>
    </row>
    <row r="13" spans="1:9" s="42" customFormat="1" ht="12" customHeight="1">
      <c r="A13" s="104"/>
      <c r="B13" s="392"/>
      <c r="C13" s="392"/>
      <c r="D13" s="392"/>
      <c r="E13" s="393" t="s">
        <v>639</v>
      </c>
      <c r="F13" s="392"/>
      <c r="G13" s="1084" t="s">
        <v>2254</v>
      </c>
    </row>
    <row r="14" spans="1:9" s="42" customFormat="1" ht="12" customHeight="1">
      <c r="A14" s="104"/>
      <c r="B14" s="392"/>
      <c r="C14" s="392"/>
      <c r="D14" s="392"/>
      <c r="E14" s="393" t="s">
        <v>2140</v>
      </c>
      <c r="F14" s="392"/>
      <c r="G14" s="1084" t="s">
        <v>2254</v>
      </c>
    </row>
    <row r="15" spans="1:9" s="42" customFormat="1" ht="12" customHeight="1">
      <c r="A15" s="104"/>
      <c r="B15" s="392"/>
      <c r="C15" s="392"/>
      <c r="D15" s="392"/>
      <c r="E15" s="393" t="s">
        <v>806</v>
      </c>
      <c r="F15" s="392"/>
      <c r="G15" s="1084" t="s">
        <v>3925</v>
      </c>
    </row>
    <row r="16" spans="1:9" s="42" customFormat="1" ht="6" customHeight="1">
      <c r="A16" s="104"/>
      <c r="B16" s="392"/>
      <c r="C16" s="241"/>
      <c r="D16" s="394"/>
      <c r="E16" s="394"/>
      <c r="F16" s="395"/>
      <c r="G16" s="229"/>
    </row>
    <row r="17" spans="1:7" s="42" customFormat="1" ht="12" customHeight="1">
      <c r="A17" s="388">
        <v>2</v>
      </c>
      <c r="B17" s="395" t="s">
        <v>2141</v>
      </c>
      <c r="C17" s="241"/>
      <c r="D17" s="392"/>
      <c r="E17" s="392" t="s">
        <v>3768</v>
      </c>
      <c r="F17" s="392"/>
      <c r="G17" s="1084" t="s">
        <v>2254</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2254</v>
      </c>
    </row>
    <row r="20" spans="1:7" s="42" customFormat="1" ht="3" customHeight="1">
      <c r="A20" s="104"/>
      <c r="B20" s="241"/>
      <c r="C20" s="392"/>
      <c r="D20" s="392"/>
      <c r="E20" s="1086"/>
      <c r="F20" s="392"/>
      <c r="G20" s="105"/>
    </row>
    <row r="21" spans="1:7" s="42" customFormat="1" ht="12" customHeight="1">
      <c r="A21" s="100"/>
      <c r="B21" s="394"/>
      <c r="C21" s="407" t="s">
        <v>147</v>
      </c>
      <c r="D21" s="394"/>
      <c r="E21" s="753" t="s">
        <v>149</v>
      </c>
      <c r="F21" s="754"/>
      <c r="G21" s="1084" t="s">
        <v>2254</v>
      </c>
    </row>
    <row r="22" spans="1:7" s="42" customFormat="1" ht="12" customHeight="1">
      <c r="A22" s="100"/>
      <c r="B22" s="394"/>
      <c r="C22" s="394"/>
      <c r="D22" s="394"/>
      <c r="E22" s="753" t="s">
        <v>150</v>
      </c>
      <c r="F22" s="754"/>
      <c r="G22" s="1084" t="s">
        <v>2254</v>
      </c>
    </row>
    <row r="23" spans="1:7" s="42" customFormat="1" ht="12" customHeight="1">
      <c r="A23" s="100"/>
      <c r="B23" s="394"/>
      <c r="C23" s="394"/>
      <c r="D23" s="394"/>
      <c r="E23" s="396" t="s">
        <v>510</v>
      </c>
      <c r="F23" s="395"/>
      <c r="G23" s="1084" t="s">
        <v>2254</v>
      </c>
    </row>
    <row r="24" spans="1:7" s="42" customFormat="1" ht="12" customHeight="1">
      <c r="A24" s="100"/>
      <c r="B24" s="394"/>
      <c r="C24" s="394"/>
      <c r="D24" s="394"/>
      <c r="E24" s="396" t="s">
        <v>511</v>
      </c>
      <c r="F24" s="395"/>
      <c r="G24" s="1084" t="s">
        <v>2254</v>
      </c>
    </row>
    <row r="25" spans="1:7" s="42" customFormat="1" ht="3" customHeight="1">
      <c r="A25" s="104"/>
      <c r="B25" s="241"/>
      <c r="C25" s="392"/>
      <c r="D25" s="392"/>
      <c r="E25" s="1086"/>
      <c r="F25" s="392"/>
      <c r="G25" s="105"/>
    </row>
    <row r="26" spans="1:7" s="42" customFormat="1" ht="12" customHeight="1">
      <c r="A26" s="104"/>
      <c r="B26" s="711"/>
      <c r="C26" s="407" t="s">
        <v>947</v>
      </c>
      <c r="D26" s="392"/>
      <c r="E26" s="392" t="s">
        <v>3769</v>
      </c>
      <c r="F26" s="392"/>
      <c r="G26" s="1084" t="s">
        <v>2254</v>
      </c>
    </row>
    <row r="27" spans="1:7" s="42" customFormat="1" ht="12" customHeight="1">
      <c r="A27" s="104"/>
      <c r="B27" s="392"/>
      <c r="C27" s="392"/>
      <c r="D27" s="392"/>
      <c r="E27" s="1086" t="s">
        <v>3503</v>
      </c>
      <c r="F27" s="392"/>
      <c r="G27" s="1084" t="s">
        <v>2254</v>
      </c>
    </row>
    <row r="28" spans="1:7" s="42" customFormat="1" ht="12" customHeight="1">
      <c r="A28" s="104"/>
      <c r="B28" s="392"/>
      <c r="C28" s="418"/>
      <c r="D28" s="392"/>
      <c r="E28" s="1086" t="s">
        <v>2142</v>
      </c>
      <c r="F28" s="392"/>
      <c r="G28" s="1084" t="s">
        <v>2254</v>
      </c>
    </row>
    <row r="29" spans="1:7" s="42" customFormat="1" ht="12" customHeight="1">
      <c r="A29" s="104"/>
      <c r="B29" s="392"/>
      <c r="C29" s="392"/>
      <c r="D29" s="392"/>
      <c r="E29" s="1086" t="s">
        <v>2143</v>
      </c>
      <c r="F29" s="392"/>
      <c r="G29" s="1084" t="s">
        <v>2254</v>
      </c>
    </row>
    <row r="30" spans="1:7" s="42" customFormat="1" ht="12" customHeight="1">
      <c r="A30" s="104"/>
      <c r="B30" s="392"/>
      <c r="C30" s="392"/>
      <c r="D30" s="392"/>
      <c r="E30" s="1086" t="s">
        <v>2856</v>
      </c>
      <c r="F30" s="392"/>
      <c r="G30" s="1084" t="s">
        <v>2254</v>
      </c>
    </row>
    <row r="31" spans="1:7" s="42" customFormat="1" ht="12" customHeight="1">
      <c r="A31" s="104"/>
      <c r="B31" s="392"/>
      <c r="C31" s="392"/>
      <c r="D31" s="392"/>
      <c r="E31" s="1086" t="s">
        <v>2857</v>
      </c>
      <c r="F31" s="392"/>
      <c r="G31" s="1084" t="s">
        <v>2254</v>
      </c>
    </row>
    <row r="32" spans="1:7" s="42" customFormat="1" ht="12" customHeight="1">
      <c r="A32" s="104"/>
      <c r="B32" s="392"/>
      <c r="C32" s="392"/>
      <c r="D32" s="392"/>
      <c r="E32" s="1086" t="s">
        <v>2858</v>
      </c>
      <c r="F32" s="392"/>
      <c r="G32" s="1084" t="s">
        <v>2254</v>
      </c>
    </row>
    <row r="33" spans="1:7" s="42" customFormat="1" ht="3" customHeight="1">
      <c r="A33" s="104"/>
      <c r="B33" s="392"/>
      <c r="C33" s="392"/>
      <c r="D33" s="392"/>
      <c r="E33" s="1086"/>
      <c r="F33" s="392"/>
      <c r="G33" s="105"/>
    </row>
    <row r="34" spans="1:7" s="42" customFormat="1" ht="12" customHeight="1">
      <c r="A34" s="100"/>
      <c r="B34" s="394"/>
      <c r="C34" s="394" t="s">
        <v>1025</v>
      </c>
      <c r="D34" s="394"/>
      <c r="E34" s="396" t="s">
        <v>3575</v>
      </c>
      <c r="F34" s="395"/>
      <c r="G34" s="1084" t="s">
        <v>3925</v>
      </c>
    </row>
    <row r="35" spans="1:7" s="42" customFormat="1" ht="12" customHeight="1">
      <c r="A35" s="100"/>
      <c r="B35" s="394"/>
      <c r="C35" s="394"/>
      <c r="D35" s="394"/>
      <c r="E35" s="396" t="s">
        <v>3576</v>
      </c>
      <c r="F35" s="395"/>
      <c r="G35" s="1084" t="s">
        <v>3925</v>
      </c>
    </row>
    <row r="36" spans="1:7" s="42" customFormat="1" ht="12" customHeight="1">
      <c r="A36" s="100"/>
      <c r="B36" s="394"/>
      <c r="C36" s="394"/>
      <c r="D36" s="394"/>
      <c r="E36" s="396" t="s">
        <v>184</v>
      </c>
      <c r="F36" s="395"/>
      <c r="G36" s="1084" t="s">
        <v>3925</v>
      </c>
    </row>
    <row r="37" spans="1:7" s="42" customFormat="1" ht="12" customHeight="1">
      <c r="A37" s="100"/>
      <c r="B37" s="394"/>
      <c r="C37" s="394"/>
      <c r="D37" s="394"/>
      <c r="E37" s="396" t="s">
        <v>3577</v>
      </c>
      <c r="F37" s="395"/>
      <c r="G37" s="1084" t="s">
        <v>3925</v>
      </c>
    </row>
    <row r="38" spans="1:7" s="42" customFormat="1" ht="12" customHeight="1">
      <c r="A38" s="104"/>
      <c r="B38" s="241"/>
      <c r="C38" s="392"/>
      <c r="D38" s="392"/>
      <c r="E38" s="396" t="s">
        <v>3500</v>
      </c>
      <c r="F38" s="392"/>
      <c r="G38" s="1084" t="s">
        <v>3925</v>
      </c>
    </row>
    <row r="39" spans="1:7" s="42" customFormat="1" ht="12" customHeight="1">
      <c r="A39" s="104"/>
      <c r="B39" s="241"/>
      <c r="C39" s="392"/>
      <c r="D39" s="392"/>
      <c r="E39" s="396" t="s">
        <v>3910</v>
      </c>
      <c r="F39" s="392"/>
      <c r="G39" s="1084" t="s">
        <v>3925</v>
      </c>
    </row>
    <row r="40" spans="1:7" s="42" customFormat="1" ht="12" customHeight="1">
      <c r="A40" s="100"/>
      <c r="B40" s="394"/>
      <c r="C40" s="394"/>
      <c r="D40" s="394"/>
      <c r="E40" s="396" t="s">
        <v>1906</v>
      </c>
      <c r="F40" s="395"/>
      <c r="G40" s="1084" t="s">
        <v>3925</v>
      </c>
    </row>
    <row r="41" spans="1:7" s="42" customFormat="1" ht="12" customHeight="1">
      <c r="A41" s="100"/>
      <c r="B41" s="394"/>
      <c r="C41" s="394"/>
      <c r="D41" s="394"/>
      <c r="E41" s="396" t="s">
        <v>1905</v>
      </c>
      <c r="F41" s="395"/>
      <c r="G41" s="1084" t="s">
        <v>3925</v>
      </c>
    </row>
    <row r="42" spans="1:7" s="42" customFormat="1" ht="6" customHeight="1">
      <c r="A42" s="100"/>
      <c r="B42" s="394"/>
      <c r="C42" s="394"/>
      <c r="D42" s="394"/>
      <c r="E42" s="396"/>
      <c r="F42" s="395"/>
      <c r="G42" s="312"/>
    </row>
    <row r="43" spans="1:7" s="42" customFormat="1" ht="12" customHeight="1">
      <c r="A43" s="387">
        <v>3</v>
      </c>
      <c r="B43" s="408" t="s">
        <v>3420</v>
      </c>
      <c r="C43" s="392"/>
      <c r="D43" s="392"/>
      <c r="E43" s="396" t="s">
        <v>52</v>
      </c>
      <c r="F43" s="392"/>
      <c r="G43" s="1084" t="s">
        <v>3925</v>
      </c>
    </row>
    <row r="44" spans="1:7" s="42" customFormat="1" ht="12" customHeight="1">
      <c r="A44" s="104"/>
      <c r="B44" s="241"/>
      <c r="C44" s="711"/>
      <c r="D44" s="392"/>
      <c r="E44" s="396" t="s">
        <v>3421</v>
      </c>
      <c r="F44" s="392"/>
      <c r="G44" s="1084" t="s">
        <v>3925</v>
      </c>
    </row>
    <row r="45" spans="1:7" s="42" customFormat="1" ht="12" customHeight="1">
      <c r="A45" s="104"/>
      <c r="B45" s="241"/>
      <c r="C45" s="711"/>
      <c r="D45" s="392"/>
      <c r="E45" s="392" t="s">
        <v>3422</v>
      </c>
      <c r="F45" s="392"/>
      <c r="G45" s="1084" t="s">
        <v>2254</v>
      </c>
    </row>
    <row r="46" spans="1:7" s="42" customFormat="1" ht="12" customHeight="1">
      <c r="A46" s="104"/>
      <c r="B46" s="241"/>
      <c r="C46" s="392"/>
      <c r="D46" s="392"/>
      <c r="E46" s="392" t="s">
        <v>3423</v>
      </c>
      <c r="F46" s="392"/>
      <c r="G46" s="1084" t="s">
        <v>2254</v>
      </c>
    </row>
    <row r="47" spans="1:7" s="42" customFormat="1" ht="24.6" customHeight="1">
      <c r="A47" s="104"/>
      <c r="B47" s="241"/>
      <c r="C47" s="392"/>
      <c r="D47" s="392"/>
      <c r="E47" s="755" t="s">
        <v>3859</v>
      </c>
      <c r="F47" s="756"/>
      <c r="G47" s="1084" t="s">
        <v>2254</v>
      </c>
    </row>
    <row r="48" spans="1:7" s="42" customFormat="1" ht="12" customHeight="1">
      <c r="A48" s="104"/>
      <c r="B48" s="241"/>
      <c r="C48" s="392"/>
      <c r="D48" s="392"/>
      <c r="E48" s="392" t="s">
        <v>3484</v>
      </c>
      <c r="F48" s="396"/>
      <c r="G48" s="1084" t="s">
        <v>3925</v>
      </c>
    </row>
    <row r="49" spans="1:7" s="42" customFormat="1" ht="12" customHeight="1">
      <c r="A49" s="104"/>
      <c r="B49" s="241"/>
      <c r="C49" s="392"/>
      <c r="D49" s="392"/>
      <c r="E49" s="396" t="s">
        <v>3424</v>
      </c>
      <c r="F49" s="396"/>
      <c r="G49" s="1084" t="s">
        <v>3925</v>
      </c>
    </row>
    <row r="50" spans="1:7" s="42" customFormat="1" ht="12" customHeight="1">
      <c r="A50" s="107"/>
      <c r="B50" s="241"/>
      <c r="C50" s="392"/>
      <c r="D50" s="392"/>
      <c r="E50" s="750" t="s">
        <v>467</v>
      </c>
      <c r="F50" s="751"/>
      <c r="G50" s="1084" t="s">
        <v>2254</v>
      </c>
    </row>
    <row r="51" spans="1:7" s="42" customFormat="1" ht="12" customHeight="1">
      <c r="A51" s="387">
        <v>4</v>
      </c>
      <c r="B51" s="1087" t="s">
        <v>1023</v>
      </c>
      <c r="C51" s="392"/>
      <c r="D51" s="392"/>
      <c r="E51" s="1086" t="s">
        <v>1412</v>
      </c>
      <c r="F51" s="392"/>
      <c r="G51" s="1084" t="s">
        <v>3925</v>
      </c>
    </row>
    <row r="52" spans="1:7" s="42" customFormat="1" ht="12" customHeight="1">
      <c r="A52" s="387"/>
      <c r="B52" s="1087"/>
      <c r="C52" s="392"/>
      <c r="D52" s="392"/>
      <c r="E52" s="1086" t="s">
        <v>3583</v>
      </c>
      <c r="F52" s="392"/>
      <c r="G52" s="1084" t="s">
        <v>2254</v>
      </c>
    </row>
    <row r="53" spans="1:7" s="42" customFormat="1" ht="12.6" customHeight="1">
      <c r="A53" s="104"/>
      <c r="B53" s="392"/>
      <c r="C53" s="392"/>
      <c r="D53" s="1086"/>
      <c r="E53" s="397" t="s">
        <v>3546</v>
      </c>
      <c r="F53" s="396"/>
      <c r="G53" s="1084" t="s">
        <v>2254</v>
      </c>
    </row>
    <row r="54" spans="1:7" s="42" customFormat="1" ht="12.6" customHeight="1">
      <c r="A54" s="104"/>
      <c r="B54" s="392"/>
      <c r="C54" s="392"/>
      <c r="D54" s="1086"/>
      <c r="E54" s="397" t="s">
        <v>3766</v>
      </c>
      <c r="F54" s="392"/>
      <c r="G54" s="1084" t="s">
        <v>2254</v>
      </c>
    </row>
    <row r="55" spans="1:7" s="42" customFormat="1" ht="12" customHeight="1">
      <c r="A55" s="387"/>
      <c r="B55" s="1087"/>
      <c r="C55" s="392"/>
      <c r="D55" s="392"/>
      <c r="E55" s="1086" t="s">
        <v>2656</v>
      </c>
      <c r="F55" s="392"/>
      <c r="G55" s="1084" t="s">
        <v>2254</v>
      </c>
    </row>
    <row r="56" spans="1:7" s="42" customFormat="1" ht="12" customHeight="1">
      <c r="A56" s="387"/>
      <c r="B56" s="1087"/>
      <c r="C56" s="392"/>
      <c r="D56" s="392"/>
      <c r="E56" s="1086" t="s">
        <v>3504</v>
      </c>
      <c r="F56" s="392"/>
      <c r="G56" s="1084" t="s">
        <v>2254</v>
      </c>
    </row>
    <row r="57" spans="1:7" s="42" customFormat="1" ht="12" customHeight="1">
      <c r="A57" s="387"/>
      <c r="B57" s="1087"/>
      <c r="C57" s="392"/>
      <c r="D57" s="392"/>
      <c r="E57" s="1086" t="s">
        <v>2657</v>
      </c>
      <c r="F57" s="392"/>
      <c r="G57" s="1084" t="s">
        <v>2254</v>
      </c>
    </row>
    <row r="58" spans="1:7" s="42" customFormat="1" ht="14.25" customHeight="1">
      <c r="A58" s="104"/>
      <c r="B58" s="409" t="s">
        <v>3584</v>
      </c>
      <c r="C58" s="410"/>
      <c r="D58" s="411"/>
      <c r="E58" s="397"/>
      <c r="F58" s="392"/>
      <c r="G58" s="313"/>
    </row>
    <row r="59" spans="1:7" s="42" customFormat="1" ht="12" customHeight="1">
      <c r="A59" s="387">
        <v>5</v>
      </c>
      <c r="B59" s="406" t="s">
        <v>3425</v>
      </c>
      <c r="C59" s="392"/>
      <c r="D59" s="392"/>
      <c r="E59" s="398" t="s">
        <v>2690</v>
      </c>
      <c r="F59" s="398"/>
      <c r="G59" s="1084" t="s">
        <v>3925</v>
      </c>
    </row>
    <row r="60" spans="1:7" s="42" customFormat="1" ht="12" customHeight="1">
      <c r="A60" s="387"/>
      <c r="B60" s="406"/>
      <c r="C60" s="392"/>
      <c r="D60" s="392"/>
      <c r="E60" s="398" t="s">
        <v>1842</v>
      </c>
      <c r="F60" s="398"/>
      <c r="G60" s="1084" t="s">
        <v>2254</v>
      </c>
    </row>
    <row r="61" spans="1:7" s="42" customFormat="1" ht="12" customHeight="1">
      <c r="A61" s="387"/>
      <c r="B61" s="406"/>
      <c r="C61" s="392"/>
      <c r="D61" s="392"/>
      <c r="E61" s="398" t="s">
        <v>1843</v>
      </c>
      <c r="F61" s="398"/>
      <c r="G61" s="1084" t="s">
        <v>2254</v>
      </c>
    </row>
    <row r="62" spans="1:7" s="42" customFormat="1" ht="12" customHeight="1">
      <c r="A62" s="387"/>
      <c r="B62" s="406"/>
      <c r="C62" s="392"/>
      <c r="D62" s="392"/>
      <c r="E62" s="398" t="s">
        <v>1844</v>
      </c>
      <c r="F62" s="398"/>
      <c r="G62" s="1084" t="s">
        <v>2254</v>
      </c>
    </row>
    <row r="63" spans="1:7" s="42" customFormat="1" ht="12" customHeight="1">
      <c r="A63" s="387"/>
      <c r="B63" s="406"/>
      <c r="C63" s="392"/>
      <c r="D63" s="392"/>
      <c r="E63" s="398" t="s">
        <v>2737</v>
      </c>
      <c r="F63" s="398"/>
      <c r="G63" s="1084" t="s">
        <v>2254</v>
      </c>
    </row>
    <row r="64" spans="1:7" s="42" customFormat="1" ht="12" customHeight="1">
      <c r="A64" s="104"/>
      <c r="B64" s="392"/>
      <c r="C64" s="392"/>
      <c r="D64" s="392"/>
      <c r="E64" s="1086" t="s">
        <v>1845</v>
      </c>
      <c r="F64" s="398"/>
      <c r="G64" s="1084" t="s">
        <v>3925</v>
      </c>
    </row>
    <row r="65" spans="1:7" s="42" customFormat="1" ht="12" customHeight="1">
      <c r="A65" s="104"/>
      <c r="B65" s="392"/>
      <c r="C65" s="392"/>
      <c r="D65" s="392"/>
      <c r="E65" s="1086" t="s">
        <v>1846</v>
      </c>
      <c r="F65" s="392"/>
      <c r="G65" s="1084" t="s">
        <v>2254</v>
      </c>
    </row>
    <row r="66" spans="1:7" s="42" customFormat="1" ht="12" customHeight="1">
      <c r="A66" s="104"/>
      <c r="B66" s="392"/>
      <c r="C66" s="418"/>
      <c r="D66" s="392"/>
      <c r="E66" s="770" t="s">
        <v>1847</v>
      </c>
      <c r="F66" s="771"/>
      <c r="G66" s="1084" t="s">
        <v>2254</v>
      </c>
    </row>
    <row r="67" spans="1:7" s="42" customFormat="1" ht="12" customHeight="1">
      <c r="A67" s="104"/>
      <c r="B67" s="392"/>
      <c r="C67" s="418"/>
      <c r="D67" s="392"/>
      <c r="E67" s="441" t="s">
        <v>1848</v>
      </c>
      <c r="F67" s="399"/>
      <c r="G67" s="1084" t="s">
        <v>2254</v>
      </c>
    </row>
    <row r="68" spans="1:7" s="42" customFormat="1" ht="12" customHeight="1">
      <c r="A68" s="104"/>
      <c r="B68" s="392"/>
      <c r="C68" s="392"/>
      <c r="D68" s="392"/>
      <c r="E68" s="1086" t="s">
        <v>1902</v>
      </c>
      <c r="F68" s="398"/>
      <c r="G68" s="1084" t="s">
        <v>2254</v>
      </c>
    </row>
    <row r="69" spans="1:7" s="42" customFormat="1" ht="12" customHeight="1">
      <c r="A69" s="104"/>
      <c r="B69" s="392"/>
      <c r="C69" s="392"/>
      <c r="D69" s="392"/>
      <c r="E69" s="1086" t="s">
        <v>1849</v>
      </c>
      <c r="F69" s="398"/>
      <c r="G69" s="1084" t="s">
        <v>2254</v>
      </c>
    </row>
    <row r="70" spans="1:7" s="42" customFormat="1" ht="12" customHeight="1">
      <c r="A70" s="104"/>
      <c r="B70" s="392"/>
      <c r="C70" s="392"/>
      <c r="D70" s="392"/>
      <c r="E70" s="398" t="s">
        <v>1850</v>
      </c>
      <c r="F70" s="398"/>
      <c r="G70" s="1084" t="s">
        <v>2254</v>
      </c>
    </row>
    <row r="71" spans="1:7" s="42" customFormat="1" ht="12" customHeight="1">
      <c r="A71" s="104"/>
      <c r="B71" s="392"/>
      <c r="C71" s="392"/>
      <c r="D71" s="392"/>
      <c r="E71" s="398" t="s">
        <v>320</v>
      </c>
      <c r="F71" s="398"/>
      <c r="G71" s="1084" t="s">
        <v>2254</v>
      </c>
    </row>
    <row r="72" spans="1:7" s="42" customFormat="1" ht="12" customHeight="1">
      <c r="A72" s="104"/>
      <c r="B72" s="392"/>
      <c r="C72" s="392"/>
      <c r="D72" s="392"/>
      <c r="E72" s="398" t="s">
        <v>641</v>
      </c>
      <c r="F72" s="398"/>
      <c r="G72" s="1084" t="s">
        <v>2254</v>
      </c>
    </row>
    <row r="73" spans="1:7" s="42" customFormat="1" ht="12" customHeight="1">
      <c r="A73" s="104"/>
      <c r="B73" s="392"/>
      <c r="C73" s="413"/>
      <c r="D73" s="413"/>
      <c r="E73" s="396" t="s">
        <v>1904</v>
      </c>
      <c r="F73" s="400"/>
      <c r="G73" s="1084" t="s">
        <v>2254</v>
      </c>
    </row>
    <row r="74" spans="1:7" s="42" customFormat="1" ht="12" customHeight="1">
      <c r="A74" s="104"/>
      <c r="B74" s="392"/>
      <c r="C74" s="392"/>
      <c r="D74" s="392"/>
      <c r="E74" s="398" t="s">
        <v>3513</v>
      </c>
      <c r="F74" s="398"/>
      <c r="G74" s="1084" t="s">
        <v>2254</v>
      </c>
    </row>
    <row r="75" spans="1:7" s="42" customFormat="1" ht="6" customHeight="1">
      <c r="A75" s="104"/>
      <c r="B75" s="392"/>
      <c r="C75" s="392"/>
      <c r="D75" s="392"/>
      <c r="E75" s="1086"/>
      <c r="F75" s="398"/>
      <c r="G75" s="147"/>
    </row>
    <row r="76" spans="1:7" s="42" customFormat="1" ht="12" customHeight="1">
      <c r="A76" s="387">
        <v>6</v>
      </c>
      <c r="B76" s="412" t="s">
        <v>1024</v>
      </c>
      <c r="C76" s="241"/>
      <c r="D76" s="392"/>
      <c r="E76" s="392" t="s">
        <v>3505</v>
      </c>
      <c r="F76" s="392"/>
      <c r="G76" s="1084" t="s">
        <v>2254</v>
      </c>
    </row>
    <row r="77" spans="1:7" s="42" customFormat="1" ht="12" customHeight="1">
      <c r="A77" s="104"/>
      <c r="B77" s="392"/>
      <c r="C77" s="413"/>
      <c r="D77" s="413"/>
      <c r="E77" s="396" t="s">
        <v>3860</v>
      </c>
      <c r="F77" s="400"/>
      <c r="G77" s="1084" t="s">
        <v>2254</v>
      </c>
    </row>
    <row r="78" spans="1:7" s="42" customFormat="1" ht="12" customHeight="1">
      <c r="A78" s="104"/>
      <c r="B78" s="392"/>
      <c r="C78" s="413"/>
      <c r="D78" s="413"/>
      <c r="E78" s="396" t="s">
        <v>3861</v>
      </c>
      <c r="F78" s="400"/>
      <c r="G78" s="1084" t="s">
        <v>2254</v>
      </c>
    </row>
    <row r="79" spans="1:7" s="42" customFormat="1" ht="12" customHeight="1">
      <c r="A79" s="104"/>
      <c r="B79" s="392"/>
      <c r="C79" s="392"/>
      <c r="D79" s="392"/>
      <c r="E79" s="392" t="s">
        <v>3862</v>
      </c>
      <c r="F79" s="392"/>
      <c r="G79" s="1084" t="s">
        <v>2254</v>
      </c>
    </row>
    <row r="80" spans="1:7" s="42" customFormat="1" ht="6" customHeight="1">
      <c r="A80" s="100"/>
      <c r="B80" s="394"/>
      <c r="C80" s="394"/>
      <c r="D80" s="394"/>
      <c r="E80" s="394"/>
      <c r="F80" s="395"/>
      <c r="G80" s="312"/>
    </row>
    <row r="81" spans="1:7" s="42" customFormat="1" ht="12" customHeight="1">
      <c r="A81" s="387">
        <v>7</v>
      </c>
      <c r="B81" s="408" t="s">
        <v>2691</v>
      </c>
      <c r="C81" s="241"/>
      <c r="D81" s="392"/>
      <c r="E81" s="398" t="s">
        <v>1424</v>
      </c>
      <c r="F81" s="398"/>
      <c r="G81" s="1084" t="s">
        <v>3925</v>
      </c>
    </row>
    <row r="82" spans="1:7" s="42" customFormat="1" ht="6" customHeight="1">
      <c r="A82" s="104"/>
      <c r="B82" s="241"/>
      <c r="C82" s="711"/>
      <c r="D82" s="392"/>
      <c r="E82" s="398"/>
      <c r="F82" s="398"/>
      <c r="G82" s="147"/>
    </row>
    <row r="83" spans="1:7" s="42" customFormat="1" ht="12" customHeight="1">
      <c r="A83" s="387">
        <v>8</v>
      </c>
      <c r="B83" s="408" t="s">
        <v>3426</v>
      </c>
      <c r="C83" s="241"/>
      <c r="D83" s="392"/>
      <c r="E83" s="398" t="s">
        <v>1903</v>
      </c>
      <c r="F83" s="398"/>
      <c r="G83" s="1084" t="s">
        <v>3925</v>
      </c>
    </row>
    <row r="84" spans="1:7" s="42" customFormat="1" ht="12" customHeight="1">
      <c r="A84" s="104"/>
      <c r="B84" s="241"/>
      <c r="C84" s="711"/>
      <c r="D84" s="392"/>
      <c r="E84" s="398" t="s">
        <v>3796</v>
      </c>
      <c r="F84" s="398"/>
      <c r="G84" s="1084" t="s">
        <v>2254</v>
      </c>
    </row>
    <row r="85" spans="1:7" s="42" customFormat="1" ht="6" customHeight="1">
      <c r="A85" s="104"/>
      <c r="B85" s="711"/>
      <c r="C85" s="392"/>
      <c r="D85" s="392"/>
      <c r="E85" s="1086"/>
      <c r="F85" s="398"/>
      <c r="G85" s="314"/>
    </row>
    <row r="86" spans="1:7" s="42" customFormat="1" ht="12" customHeight="1">
      <c r="A86" s="387">
        <v>9</v>
      </c>
      <c r="B86" s="406" t="s">
        <v>3703</v>
      </c>
      <c r="C86" s="241"/>
      <c r="D86" s="392"/>
      <c r="E86" s="1086" t="s">
        <v>3881</v>
      </c>
      <c r="F86" s="398"/>
      <c r="G86" s="1084" t="s">
        <v>3925</v>
      </c>
    </row>
    <row r="87" spans="1:7" s="42" customFormat="1" ht="6" customHeight="1">
      <c r="A87" s="100"/>
      <c r="B87" s="394"/>
      <c r="C87" s="241"/>
      <c r="D87" s="394"/>
      <c r="E87" s="394"/>
      <c r="F87" s="395"/>
      <c r="G87" s="312"/>
    </row>
    <row r="88" spans="1:7" s="42" customFormat="1" ht="13.9" customHeight="1">
      <c r="A88" s="387">
        <v>10</v>
      </c>
      <c r="B88" s="406" t="s">
        <v>733</v>
      </c>
      <c r="C88" s="241"/>
      <c r="D88" s="392"/>
      <c r="E88" s="392" t="s">
        <v>312</v>
      </c>
      <c r="F88" s="392"/>
      <c r="G88" s="1084" t="s">
        <v>2254</v>
      </c>
    </row>
    <row r="89" spans="1:7" s="42" customFormat="1" ht="6" customHeight="1">
      <c r="A89" s="100"/>
      <c r="B89" s="394"/>
      <c r="C89" s="241"/>
      <c r="D89" s="394"/>
      <c r="E89" s="394"/>
      <c r="F89" s="395"/>
      <c r="G89" s="312"/>
    </row>
    <row r="90" spans="1:7" s="42" customFormat="1" ht="12" customHeight="1">
      <c r="A90" s="387">
        <v>11</v>
      </c>
      <c r="B90" s="406" t="s">
        <v>331</v>
      </c>
      <c r="C90" s="241"/>
      <c r="D90" s="392"/>
      <c r="E90" s="757" t="s">
        <v>3886</v>
      </c>
      <c r="F90" s="1088"/>
      <c r="G90" s="1084" t="s">
        <v>3925</v>
      </c>
    </row>
    <row r="91" spans="1:7" s="42" customFormat="1" ht="12" customHeight="1">
      <c r="A91" s="107"/>
      <c r="B91" s="392"/>
      <c r="C91" s="391"/>
      <c r="D91" s="1086"/>
      <c r="E91" s="392" t="s">
        <v>305</v>
      </c>
      <c r="F91" s="392"/>
      <c r="G91" s="1084" t="s">
        <v>2254</v>
      </c>
    </row>
    <row r="92" spans="1:7" s="42" customFormat="1" ht="12" customHeight="1">
      <c r="A92" s="387">
        <v>12</v>
      </c>
      <c r="B92" s="406" t="s">
        <v>1601</v>
      </c>
      <c r="C92" s="241"/>
      <c r="D92" s="392"/>
      <c r="E92" s="396" t="s">
        <v>3464</v>
      </c>
      <c r="F92" s="398"/>
      <c r="G92" s="1084" t="s">
        <v>3925</v>
      </c>
    </row>
    <row r="93" spans="1:7" s="42" customFormat="1" ht="12" customHeight="1">
      <c r="A93" s="104"/>
      <c r="B93" s="396"/>
      <c r="C93" s="241"/>
      <c r="D93" s="396"/>
      <c r="E93" s="396" t="s">
        <v>725</v>
      </c>
      <c r="F93" s="402"/>
      <c r="G93" s="1084" t="s">
        <v>3925</v>
      </c>
    </row>
    <row r="94" spans="1:7" s="42" customFormat="1" ht="12" customHeight="1">
      <c r="A94" s="104"/>
      <c r="B94" s="392"/>
      <c r="C94" s="241"/>
      <c r="D94" s="392"/>
      <c r="E94" s="396" t="s">
        <v>3882</v>
      </c>
      <c r="F94" s="398"/>
      <c r="G94" s="1084" t="s">
        <v>2254</v>
      </c>
    </row>
    <row r="95" spans="1:7" s="42" customFormat="1" ht="6" customHeight="1">
      <c r="A95" s="100"/>
      <c r="B95" s="394"/>
      <c r="C95" s="394"/>
      <c r="D95" s="394"/>
      <c r="E95" s="394"/>
      <c r="F95" s="395"/>
      <c r="G95" s="229"/>
    </row>
    <row r="96" spans="1:7" s="42" customFormat="1" ht="12" customHeight="1">
      <c r="A96" s="387">
        <v>13</v>
      </c>
      <c r="B96" s="406" t="s">
        <v>683</v>
      </c>
      <c r="C96" s="241"/>
      <c r="D96" s="396"/>
      <c r="E96" s="392" t="s">
        <v>839</v>
      </c>
      <c r="F96" s="392"/>
      <c r="G96" s="1084" t="s">
        <v>3925</v>
      </c>
    </row>
    <row r="97" spans="1:7" s="42" customFormat="1" ht="12" customHeight="1">
      <c r="A97" s="104"/>
      <c r="B97" s="241"/>
      <c r="C97" s="241"/>
      <c r="D97" s="392"/>
      <c r="E97" s="392" t="s">
        <v>3331</v>
      </c>
      <c r="F97" s="392"/>
      <c r="G97" s="1084" t="s">
        <v>2254</v>
      </c>
    </row>
    <row r="98" spans="1:7" s="42" customFormat="1" ht="12" customHeight="1">
      <c r="A98" s="104"/>
      <c r="B98" s="392"/>
      <c r="C98" s="241"/>
      <c r="D98" s="392"/>
      <c r="E98" s="392" t="s">
        <v>3271</v>
      </c>
      <c r="F98" s="392"/>
      <c r="G98" s="1084" t="s">
        <v>2254</v>
      </c>
    </row>
    <row r="99" spans="1:7" s="42" customFormat="1" ht="12" customHeight="1">
      <c r="A99" s="104"/>
      <c r="B99" s="391"/>
      <c r="C99" s="241"/>
      <c r="D99" s="392"/>
      <c r="E99" s="396" t="s">
        <v>3272</v>
      </c>
      <c r="F99" s="402"/>
      <c r="G99" s="1084" t="s">
        <v>2254</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0" t="s">
        <v>71</v>
      </c>
      <c r="F101" s="750"/>
      <c r="G101" s="1084" t="s">
        <v>3925</v>
      </c>
    </row>
    <row r="102" spans="1:7" s="42" customFormat="1" ht="12" customHeight="1">
      <c r="A102" s="104"/>
      <c r="B102" s="391"/>
      <c r="C102" s="241"/>
      <c r="D102" s="396"/>
      <c r="E102" s="750" t="s">
        <v>909</v>
      </c>
      <c r="F102" s="751"/>
      <c r="G102" s="1084" t="s">
        <v>3925</v>
      </c>
    </row>
    <row r="103" spans="1:7" s="42" customFormat="1" ht="6" customHeight="1">
      <c r="A103" s="100"/>
      <c r="B103" s="394"/>
      <c r="C103" s="241"/>
      <c r="D103" s="394"/>
      <c r="E103" s="394"/>
      <c r="F103" s="395"/>
      <c r="G103" s="312"/>
    </row>
    <row r="104" spans="1:7" s="42" customFormat="1" ht="12" customHeight="1">
      <c r="A104" s="387">
        <v>15</v>
      </c>
      <c r="B104" s="406" t="s">
        <v>2658</v>
      </c>
      <c r="C104" s="241"/>
      <c r="D104" s="392"/>
      <c r="E104" s="396" t="s">
        <v>3506</v>
      </c>
      <c r="F104" s="402"/>
      <c r="G104" s="1084" t="s">
        <v>2254</v>
      </c>
    </row>
    <row r="105" spans="1:7" s="42" customFormat="1" ht="12" customHeight="1">
      <c r="A105" s="104"/>
      <c r="B105" s="396"/>
      <c r="C105" s="241"/>
      <c r="D105" s="396"/>
      <c r="E105" s="397" t="s">
        <v>3767</v>
      </c>
      <c r="F105" s="392"/>
      <c r="G105" s="1084" t="s">
        <v>2254</v>
      </c>
    </row>
    <row r="106" spans="1:7" s="42" customFormat="1" ht="12" customHeight="1">
      <c r="A106" s="104"/>
      <c r="B106" s="392"/>
      <c r="C106" s="241"/>
      <c r="D106" s="1086"/>
      <c r="E106" s="392" t="s">
        <v>3507</v>
      </c>
      <c r="F106" s="392"/>
      <c r="G106" s="1084" t="s">
        <v>3925</v>
      </c>
    </row>
    <row r="107" spans="1:7" s="42" customFormat="1" ht="12" customHeight="1">
      <c r="A107" s="104"/>
      <c r="B107" s="391"/>
      <c r="C107" s="241"/>
      <c r="D107" s="392"/>
      <c r="E107" s="392" t="s">
        <v>1652</v>
      </c>
      <c r="F107" s="392"/>
      <c r="G107" s="1084" t="s">
        <v>3925</v>
      </c>
    </row>
    <row r="108" spans="1:7" s="42" customFormat="1" ht="12" customHeight="1">
      <c r="A108" s="104"/>
      <c r="B108" s="392"/>
      <c r="C108" s="241"/>
      <c r="D108" s="392"/>
      <c r="E108" s="396" t="s">
        <v>1653</v>
      </c>
      <c r="F108" s="402"/>
      <c r="G108" s="1084" t="s">
        <v>3925</v>
      </c>
    </row>
    <row r="109" spans="1:7" s="42" customFormat="1" ht="12" customHeight="1">
      <c r="A109" s="104"/>
      <c r="B109" s="396"/>
      <c r="C109" s="241"/>
      <c r="D109" s="396"/>
      <c r="E109" s="396" t="s">
        <v>732</v>
      </c>
      <c r="F109" s="402"/>
      <c r="G109" s="1084" t="s">
        <v>2254</v>
      </c>
    </row>
    <row r="110" spans="1:7" s="42" customFormat="1" ht="12" customHeight="1">
      <c r="A110" s="104"/>
      <c r="B110" s="396"/>
      <c r="C110" s="241"/>
      <c r="D110" s="396"/>
      <c r="E110" s="396" t="s">
        <v>3465</v>
      </c>
      <c r="F110" s="402"/>
      <c r="G110" s="1084" t="s">
        <v>2254</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1910</v>
      </c>
      <c r="F112" s="396"/>
      <c r="G112" s="1084" t="s">
        <v>3925</v>
      </c>
    </row>
    <row r="113" spans="1:7" s="42" customFormat="1" ht="12" customHeight="1">
      <c r="A113" s="104"/>
      <c r="B113" s="772"/>
      <c r="C113" s="773"/>
      <c r="D113" s="773"/>
      <c r="E113" s="396" t="s">
        <v>1911</v>
      </c>
      <c r="F113" s="396"/>
      <c r="G113" s="1084" t="s">
        <v>2254</v>
      </c>
    </row>
    <row r="114" spans="1:7" s="42" customFormat="1" ht="12" customHeight="1">
      <c r="A114" s="104"/>
      <c r="B114" s="772"/>
      <c r="C114" s="773"/>
      <c r="D114" s="773"/>
      <c r="E114" s="396" t="s">
        <v>1914</v>
      </c>
      <c r="F114" s="396"/>
      <c r="G114" s="1084" t="s">
        <v>2254</v>
      </c>
    </row>
    <row r="115" spans="1:7" s="42" customFormat="1" ht="6" customHeight="1">
      <c r="A115" s="100"/>
      <c r="B115" s="394"/>
      <c r="C115" s="394"/>
      <c r="D115" s="394"/>
      <c r="E115" s="394"/>
      <c r="F115" s="395"/>
      <c r="G115" s="312"/>
    </row>
    <row r="116" spans="1:7" s="42" customFormat="1" ht="12" customHeight="1">
      <c r="A116" s="387">
        <v>17</v>
      </c>
      <c r="B116" s="406" t="s">
        <v>1912</v>
      </c>
      <c r="C116" s="241"/>
      <c r="D116" s="392"/>
      <c r="E116" s="392" t="s">
        <v>3547</v>
      </c>
      <c r="F116" s="398"/>
      <c r="G116" s="1084" t="s">
        <v>2254</v>
      </c>
    </row>
    <row r="117" spans="1:7" s="42" customFormat="1" ht="12" customHeight="1">
      <c r="A117" s="104"/>
      <c r="B117" s="602" t="s">
        <v>3081</v>
      </c>
      <c r="C117" s="241"/>
      <c r="D117" s="1089"/>
      <c r="E117" s="403" t="s">
        <v>3548</v>
      </c>
      <c r="F117" s="398"/>
      <c r="G117" s="1084" t="s">
        <v>2254</v>
      </c>
    </row>
    <row r="118" spans="1:7" s="42" customFormat="1" ht="6" customHeight="1">
      <c r="A118" s="100"/>
      <c r="B118" s="394"/>
      <c r="C118" s="394"/>
      <c r="D118" s="394"/>
      <c r="E118" s="394"/>
      <c r="F118" s="395"/>
      <c r="G118" s="311"/>
    </row>
    <row r="119" spans="1:7" s="42" customFormat="1" ht="12" customHeight="1">
      <c r="A119" s="387">
        <v>18</v>
      </c>
      <c r="B119" s="406" t="s">
        <v>3143</v>
      </c>
      <c r="C119" s="414"/>
      <c r="D119" s="396"/>
      <c r="E119" s="393" t="s">
        <v>3144</v>
      </c>
      <c r="F119" s="392"/>
      <c r="G119" s="1084" t="s">
        <v>3925</v>
      </c>
    </row>
    <row r="120" spans="1:7" s="42" customFormat="1" ht="12" customHeight="1">
      <c r="A120" s="387"/>
      <c r="B120" s="602" t="s">
        <v>3396</v>
      </c>
      <c r="C120" s="406"/>
      <c r="D120" s="392"/>
      <c r="E120" s="393" t="s">
        <v>2528</v>
      </c>
      <c r="F120" s="392"/>
      <c r="G120" s="1084" t="s">
        <v>3925</v>
      </c>
    </row>
    <row r="121" spans="1:7" s="42" customFormat="1" ht="12" customHeight="1">
      <c r="A121" s="104"/>
      <c r="B121" s="241"/>
      <c r="C121" s="392"/>
      <c r="D121" s="392"/>
      <c r="E121" s="392" t="s">
        <v>3305</v>
      </c>
      <c r="F121" s="392"/>
      <c r="G121" s="1084" t="s">
        <v>3925</v>
      </c>
    </row>
    <row r="122" spans="1:7" s="42" customFormat="1" ht="12" customHeight="1">
      <c r="A122" s="104"/>
      <c r="B122" s="392"/>
      <c r="C122" s="392"/>
      <c r="D122" s="392"/>
      <c r="E122" s="392" t="s">
        <v>3883</v>
      </c>
      <c r="F122" s="392"/>
      <c r="G122" s="1084" t="s">
        <v>3925</v>
      </c>
    </row>
    <row r="123" spans="1:7" s="42" customFormat="1" ht="6" customHeight="1">
      <c r="A123" s="100"/>
      <c r="B123" s="394"/>
      <c r="C123" s="394"/>
      <c r="D123" s="394"/>
      <c r="E123" s="394"/>
      <c r="F123" s="395"/>
      <c r="G123" s="311"/>
    </row>
    <row r="124" spans="1:7" s="42" customFormat="1" ht="12.6" customHeight="1">
      <c r="A124" s="387">
        <v>19</v>
      </c>
      <c r="B124" s="414" t="s">
        <v>2867</v>
      </c>
      <c r="C124" s="1086"/>
      <c r="D124" s="1086"/>
      <c r="E124" s="396" t="s">
        <v>3520</v>
      </c>
      <c r="F124" s="396"/>
      <c r="G124" s="1084" t="s">
        <v>3925</v>
      </c>
    </row>
    <row r="125" spans="1:7" s="42" customFormat="1" ht="12" customHeight="1">
      <c r="A125" s="104"/>
      <c r="B125" s="396"/>
      <c r="C125" s="391"/>
      <c r="D125" s="396"/>
      <c r="E125" s="396" t="s">
        <v>891</v>
      </c>
      <c r="F125" s="396"/>
      <c r="G125" s="1084" t="s">
        <v>3925</v>
      </c>
    </row>
    <row r="126" spans="1:7" s="42" customFormat="1" ht="12" customHeight="1">
      <c r="A126" s="104"/>
      <c r="B126" s="396"/>
      <c r="C126" s="391"/>
      <c r="D126" s="396"/>
      <c r="E126" s="396" t="s">
        <v>3521</v>
      </c>
      <c r="F126" s="396"/>
      <c r="G126" s="1084" t="s">
        <v>2254</v>
      </c>
    </row>
    <row r="127" spans="1:7" s="42" customFormat="1" ht="12" customHeight="1">
      <c r="A127" s="104"/>
      <c r="B127" s="396"/>
      <c r="C127" s="415"/>
      <c r="D127" s="396"/>
      <c r="E127" s="396" t="s">
        <v>3522</v>
      </c>
      <c r="F127" s="396"/>
      <c r="G127" s="1084" t="s">
        <v>2254</v>
      </c>
    </row>
    <row r="128" spans="1:7" s="42" customFormat="1" ht="12" customHeight="1">
      <c r="A128" s="104"/>
      <c r="B128" s="396"/>
      <c r="C128" s="396"/>
      <c r="D128" s="416"/>
      <c r="E128" s="396" t="s">
        <v>3523</v>
      </c>
      <c r="F128" s="396"/>
      <c r="G128" s="1084" t="s">
        <v>2254</v>
      </c>
    </row>
    <row r="129" spans="1:7" s="42" customFormat="1" ht="12" customHeight="1">
      <c r="A129" s="104"/>
      <c r="B129" s="396"/>
      <c r="C129" s="396"/>
      <c r="D129" s="416"/>
      <c r="E129" s="396" t="s">
        <v>3524</v>
      </c>
      <c r="F129" s="396"/>
      <c r="G129" s="1084" t="s">
        <v>3925</v>
      </c>
    </row>
    <row r="130" spans="1:7" s="1090" customFormat="1" ht="12" customHeight="1">
      <c r="A130" s="104"/>
      <c r="B130" s="396"/>
      <c r="C130" s="396"/>
      <c r="D130" s="416"/>
      <c r="E130" s="396" t="s">
        <v>3544</v>
      </c>
      <c r="F130" s="396"/>
      <c r="G130" s="1084" t="s">
        <v>2254</v>
      </c>
    </row>
    <row r="131" spans="1:7" s="42" customFormat="1" ht="24.6" customHeight="1">
      <c r="A131" s="107"/>
      <c r="B131" s="396"/>
      <c r="C131" s="396"/>
      <c r="D131" s="396"/>
      <c r="E131" s="750" t="s">
        <v>3545</v>
      </c>
      <c r="F131" s="751"/>
      <c r="G131" s="1084" t="s">
        <v>2254</v>
      </c>
    </row>
    <row r="132" spans="1:7" s="42" customFormat="1" ht="12.6" customHeight="1">
      <c r="A132" s="387">
        <v>20</v>
      </c>
      <c r="B132" s="414" t="s">
        <v>824</v>
      </c>
      <c r="C132" s="1086"/>
      <c r="D132" s="1086"/>
      <c r="E132" s="396" t="s">
        <v>468</v>
      </c>
      <c r="F132" s="396"/>
      <c r="G132" s="1084" t="s">
        <v>2254</v>
      </c>
    </row>
    <row r="133" spans="1:7" s="42" customFormat="1" ht="12" customHeight="1">
      <c r="A133" s="104"/>
      <c r="B133" s="396"/>
      <c r="C133" s="391"/>
      <c r="D133" s="396"/>
      <c r="E133" s="396" t="s">
        <v>3664</v>
      </c>
      <c r="F133" s="396"/>
      <c r="G133" s="1084" t="s">
        <v>2254</v>
      </c>
    </row>
    <row r="134" spans="1:7" s="42" customFormat="1" ht="12" customHeight="1">
      <c r="A134" s="104"/>
      <c r="B134" s="396"/>
      <c r="C134" s="415"/>
      <c r="D134" s="396"/>
      <c r="E134" s="396" t="s">
        <v>723</v>
      </c>
      <c r="F134" s="396"/>
      <c r="G134" s="1084" t="s">
        <v>2254</v>
      </c>
    </row>
    <row r="135" spans="1:7" s="42" customFormat="1" ht="12" customHeight="1">
      <c r="A135" s="104"/>
      <c r="B135" s="396"/>
      <c r="C135" s="396"/>
      <c r="D135" s="416"/>
      <c r="E135" s="396" t="s">
        <v>724</v>
      </c>
      <c r="F135" s="396"/>
      <c r="G135" s="1084" t="s">
        <v>2254</v>
      </c>
    </row>
    <row r="136" spans="1:7" s="42" customFormat="1" ht="12" customHeight="1">
      <c r="A136" s="104"/>
      <c r="B136" s="396"/>
      <c r="C136" s="396"/>
      <c r="D136" s="416"/>
      <c r="E136" s="396" t="s">
        <v>990</v>
      </c>
      <c r="F136" s="396"/>
      <c r="G136" s="1084" t="s">
        <v>2254</v>
      </c>
    </row>
    <row r="137" spans="1:7" s="1090" customFormat="1" ht="12" customHeight="1">
      <c r="A137" s="104"/>
      <c r="B137" s="396"/>
      <c r="C137" s="396"/>
      <c r="D137" s="416"/>
      <c r="E137" s="396" t="s">
        <v>2293</v>
      </c>
      <c r="F137" s="396"/>
      <c r="G137" s="1084" t="s">
        <v>2254</v>
      </c>
    </row>
    <row r="138" spans="1:7" s="42" customFormat="1" ht="12" customHeight="1">
      <c r="A138" s="104"/>
      <c r="B138" s="396"/>
      <c r="C138" s="396"/>
      <c r="D138" s="396"/>
      <c r="E138" s="711" t="s">
        <v>3574</v>
      </c>
      <c r="F138" s="402"/>
      <c r="G138" s="1084" t="s">
        <v>2254</v>
      </c>
    </row>
    <row r="139" spans="1:7" s="42" customFormat="1" ht="6" customHeight="1">
      <c r="A139" s="100"/>
      <c r="B139" s="394"/>
      <c r="C139" s="394"/>
      <c r="D139" s="394"/>
      <c r="E139" s="394"/>
      <c r="F139" s="395"/>
      <c r="G139" s="312"/>
    </row>
    <row r="140" spans="1:7" ht="11.45" customHeight="1">
      <c r="A140" s="387">
        <v>21</v>
      </c>
      <c r="B140" s="414" t="s">
        <v>2530</v>
      </c>
      <c r="C140" s="1086"/>
      <c r="D140" s="1086"/>
      <c r="E140" s="396" t="s">
        <v>3202</v>
      </c>
      <c r="F140" s="396"/>
      <c r="G140" s="1084" t="s">
        <v>2254</v>
      </c>
    </row>
    <row r="141" spans="1:7" s="42" customFormat="1" ht="11.45" customHeight="1">
      <c r="A141" s="104"/>
      <c r="B141" s="241"/>
      <c r="C141" s="241"/>
      <c r="D141" s="396"/>
      <c r="E141" s="396" t="s">
        <v>2838</v>
      </c>
      <c r="F141" s="396"/>
      <c r="G141" s="1084" t="s">
        <v>2254</v>
      </c>
    </row>
    <row r="142" spans="1:7" s="42" customFormat="1" ht="11.45" customHeight="1">
      <c r="A142" s="104"/>
      <c r="B142" s="396"/>
      <c r="C142" s="396"/>
      <c r="D142" s="396"/>
      <c r="E142" s="396" t="s">
        <v>3078</v>
      </c>
      <c r="F142" s="396"/>
      <c r="G142" s="1084" t="s">
        <v>2254</v>
      </c>
    </row>
    <row r="143" spans="1:7" s="42" customFormat="1" ht="11.45" customHeight="1">
      <c r="A143" s="104"/>
      <c r="B143" s="396"/>
      <c r="C143" s="396"/>
      <c r="D143" s="396"/>
      <c r="E143" s="396" t="s">
        <v>1915</v>
      </c>
      <c r="F143" s="396"/>
      <c r="G143" s="1084" t="s">
        <v>2254</v>
      </c>
    </row>
    <row r="144" spans="1:7" s="42" customFormat="1" ht="11.45" customHeight="1">
      <c r="A144" s="104"/>
      <c r="B144" s="396"/>
      <c r="C144" s="396"/>
      <c r="D144" s="396"/>
      <c r="E144" s="396" t="s">
        <v>1913</v>
      </c>
      <c r="F144" s="396"/>
      <c r="G144" s="1084" t="s">
        <v>2254</v>
      </c>
    </row>
    <row r="145" spans="1:7" s="42" customFormat="1" ht="5.45" customHeight="1">
      <c r="A145" s="100"/>
      <c r="B145" s="394"/>
      <c r="C145" s="394"/>
      <c r="D145" s="394"/>
      <c r="E145" s="394"/>
      <c r="F145" s="395"/>
      <c r="G145" s="312"/>
    </row>
    <row r="146" spans="1:7" s="42" customFormat="1" ht="12" customHeight="1">
      <c r="A146" s="387">
        <v>22</v>
      </c>
      <c r="B146" s="414" t="s">
        <v>520</v>
      </c>
      <c r="C146" s="1086"/>
      <c r="D146" s="1086"/>
      <c r="E146" s="396" t="s">
        <v>2197</v>
      </c>
      <c r="F146" s="392"/>
      <c r="G146" s="1084" t="s">
        <v>2254</v>
      </c>
    </row>
    <row r="147" spans="1:7" s="42" customFormat="1" ht="12" customHeight="1">
      <c r="A147" s="104"/>
      <c r="B147" s="241"/>
      <c r="C147" s="241"/>
      <c r="D147" s="241"/>
      <c r="E147" s="396" t="s">
        <v>3310</v>
      </c>
      <c r="F147" s="392"/>
      <c r="G147" s="1084" t="s">
        <v>2254</v>
      </c>
    </row>
    <row r="148" spans="1:7" s="42" customFormat="1" ht="12" customHeight="1">
      <c r="A148" s="104"/>
      <c r="B148" s="241"/>
      <c r="C148" s="241"/>
      <c r="D148" s="241"/>
      <c r="E148" s="396" t="s">
        <v>3343</v>
      </c>
      <c r="F148" s="392"/>
      <c r="G148" s="1084" t="s">
        <v>2254</v>
      </c>
    </row>
    <row r="149" spans="1:7" s="42" customFormat="1" ht="12" customHeight="1">
      <c r="A149" s="104"/>
      <c r="B149" s="241"/>
      <c r="C149" s="396"/>
      <c r="D149" s="396"/>
      <c r="E149" s="396" t="s">
        <v>2198</v>
      </c>
      <c r="F149" s="392"/>
      <c r="G149" s="1084" t="s">
        <v>2254</v>
      </c>
    </row>
    <row r="150" spans="1:7" s="42" customFormat="1" ht="12" customHeight="1">
      <c r="A150" s="104"/>
      <c r="B150" s="396"/>
      <c r="C150" s="396"/>
      <c r="D150" s="396"/>
      <c r="E150" s="396" t="s">
        <v>2199</v>
      </c>
      <c r="F150" s="392"/>
      <c r="G150" s="1084" t="s">
        <v>2254</v>
      </c>
    </row>
    <row r="151" spans="1:7" s="42" customFormat="1" ht="12" customHeight="1">
      <c r="A151" s="104"/>
      <c r="B151" s="396"/>
      <c r="C151" s="396"/>
      <c r="D151" s="396"/>
      <c r="E151" s="396" t="s">
        <v>3338</v>
      </c>
      <c r="F151" s="392"/>
      <c r="G151" s="1084" t="s">
        <v>2254</v>
      </c>
    </row>
    <row r="152" spans="1:7" s="42" customFormat="1" ht="12" customHeight="1">
      <c r="A152" s="104"/>
      <c r="B152" s="396"/>
      <c r="C152" s="396"/>
      <c r="D152" s="396"/>
      <c r="E152" s="396" t="s">
        <v>3339</v>
      </c>
      <c r="F152" s="392"/>
      <c r="G152" s="1084" t="s">
        <v>2254</v>
      </c>
    </row>
    <row r="153" spans="1:7" s="42" customFormat="1" ht="12" customHeight="1">
      <c r="A153" s="104"/>
      <c r="B153" s="396"/>
      <c r="C153" s="396"/>
      <c r="D153" s="396"/>
      <c r="E153" s="396" t="s">
        <v>2196</v>
      </c>
      <c r="F153" s="392"/>
      <c r="G153" s="1084" t="s">
        <v>2254</v>
      </c>
    </row>
    <row r="154" spans="1:7" s="42" customFormat="1" ht="12" customHeight="1">
      <c r="A154" s="104"/>
      <c r="B154" s="711"/>
      <c r="C154" s="415"/>
      <c r="D154" s="396"/>
      <c r="E154" s="397" t="s">
        <v>2859</v>
      </c>
      <c r="F154" s="392"/>
      <c r="G154" s="1084" t="s">
        <v>3925</v>
      </c>
    </row>
    <row r="155" spans="1:7" s="42" customFormat="1" ht="5.45" customHeight="1">
      <c r="A155" s="100"/>
      <c r="B155" s="394"/>
      <c r="C155" s="394"/>
      <c r="D155" s="394"/>
      <c r="E155" s="394"/>
      <c r="F155" s="395"/>
      <c r="G155" s="312"/>
    </row>
    <row r="156" spans="1:7" s="42" customFormat="1" ht="12" customHeight="1">
      <c r="A156" s="387">
        <v>23</v>
      </c>
      <c r="B156" s="1091" t="s">
        <v>1916</v>
      </c>
      <c r="C156" s="1092"/>
      <c r="D156" s="1092"/>
      <c r="E156" s="1086" t="s">
        <v>1409</v>
      </c>
      <c r="F156" s="392"/>
      <c r="G156" s="1084" t="s">
        <v>2254</v>
      </c>
    </row>
    <row r="157" spans="1:7" s="42" customFormat="1" ht="12" customHeight="1">
      <c r="A157" s="104"/>
      <c r="B157" s="1093"/>
      <c r="C157" s="1092"/>
      <c r="D157" s="1092"/>
      <c r="E157" s="1086" t="s">
        <v>1410</v>
      </c>
      <c r="F157" s="392"/>
      <c r="G157" s="1084" t="s">
        <v>2254</v>
      </c>
    </row>
    <row r="158" spans="1:7" s="42" customFormat="1" ht="12" customHeight="1">
      <c r="A158" s="104"/>
      <c r="B158" s="1093"/>
      <c r="C158" s="1092"/>
      <c r="D158" s="1092"/>
      <c r="E158" s="1086" t="s">
        <v>1411</v>
      </c>
      <c r="F158" s="392"/>
      <c r="G158" s="1084" t="s">
        <v>2254</v>
      </c>
    </row>
    <row r="159" spans="1:7" s="42" customFormat="1" ht="24.6" customHeight="1">
      <c r="A159" s="104"/>
      <c r="B159" s="1094"/>
      <c r="C159" s="141"/>
      <c r="D159" s="141"/>
      <c r="E159" s="1095" t="s">
        <v>3508</v>
      </c>
      <c r="F159" s="1096"/>
      <c r="G159" s="1084" t="s">
        <v>2254</v>
      </c>
    </row>
    <row r="160" spans="1:7" s="42" customFormat="1" ht="5.45" customHeight="1">
      <c r="A160" s="100"/>
      <c r="B160" s="394"/>
      <c r="C160" s="394"/>
      <c r="D160" s="394"/>
      <c r="E160" s="394"/>
      <c r="F160" s="395"/>
      <c r="G160" s="312"/>
    </row>
    <row r="161" spans="1:7" s="42" customFormat="1" ht="12.6" customHeight="1">
      <c r="A161" s="104"/>
      <c r="B161" s="409" t="s">
        <v>3501</v>
      </c>
      <c r="C161" s="1097"/>
      <c r="D161" s="1098"/>
      <c r="E161" s="1086"/>
      <c r="F161" s="392"/>
      <c r="G161" s="106"/>
    </row>
    <row r="162" spans="1:7" s="42" customFormat="1" ht="12" customHeight="1">
      <c r="A162" s="387">
        <v>24</v>
      </c>
      <c r="B162" s="1087" t="s">
        <v>1026</v>
      </c>
      <c r="C162" s="241"/>
      <c r="D162" s="1086"/>
      <c r="E162" s="398" t="s">
        <v>3502</v>
      </c>
      <c r="F162" s="392"/>
      <c r="G162" s="1084" t="s">
        <v>3925</v>
      </c>
    </row>
    <row r="163" spans="1:7" s="42" customFormat="1" ht="12" customHeight="1">
      <c r="A163" s="104"/>
      <c r="B163" s="241"/>
      <c r="C163" s="711"/>
      <c r="D163" s="1086"/>
      <c r="E163" s="757" t="s">
        <v>867</v>
      </c>
      <c r="F163" s="751"/>
      <c r="G163" s="1084" t="s">
        <v>3925</v>
      </c>
    </row>
    <row r="164" spans="1:7" s="42" customFormat="1" ht="12" customHeight="1">
      <c r="A164" s="104"/>
      <c r="B164" s="401"/>
      <c r="C164" s="1086"/>
      <c r="D164" s="1086"/>
      <c r="E164" s="398" t="s">
        <v>37</v>
      </c>
      <c r="F164" s="392"/>
      <c r="G164" s="1084" t="s">
        <v>3925</v>
      </c>
    </row>
    <row r="165" spans="1:7" s="42" customFormat="1" ht="24.6" customHeight="1">
      <c r="A165" s="104"/>
      <c r="B165" s="401"/>
      <c r="C165" s="1086"/>
      <c r="D165" s="1086"/>
      <c r="E165" s="757" t="s">
        <v>688</v>
      </c>
      <c r="F165" s="751"/>
      <c r="G165" s="1084" t="s">
        <v>2254</v>
      </c>
    </row>
    <row r="166" spans="1:7" s="42" customFormat="1" ht="12" customHeight="1">
      <c r="A166" s="104"/>
      <c r="B166" s="401"/>
      <c r="C166" s="1086"/>
      <c r="D166" s="1086"/>
      <c r="E166" s="757" t="s">
        <v>689</v>
      </c>
      <c r="F166" s="751"/>
      <c r="G166" s="1084" t="s">
        <v>2254</v>
      </c>
    </row>
    <row r="167" spans="1:7" s="42" customFormat="1" ht="5.45" customHeight="1">
      <c r="A167" s="104"/>
      <c r="B167" s="401"/>
      <c r="C167" s="1086"/>
      <c r="D167" s="1086"/>
      <c r="E167" s="712"/>
      <c r="F167" s="712"/>
      <c r="G167" s="1099"/>
    </row>
    <row r="168" spans="1:7" s="42" customFormat="1" ht="13.9" customHeight="1">
      <c r="A168" s="387">
        <v>25</v>
      </c>
      <c r="B168" s="1100" t="s">
        <v>628</v>
      </c>
      <c r="C168" s="241"/>
      <c r="D168" s="1087"/>
      <c r="E168" s="757" t="s">
        <v>2655</v>
      </c>
      <c r="F168" s="751"/>
      <c r="G168" s="1084" t="s">
        <v>3925</v>
      </c>
    </row>
    <row r="169" spans="1:7" s="42" customFormat="1" ht="13.9" customHeight="1">
      <c r="A169" s="389"/>
      <c r="B169" s="1100"/>
      <c r="C169" s="241"/>
      <c r="D169" s="1087"/>
      <c r="E169" s="757" t="s">
        <v>629</v>
      </c>
      <c r="F169" s="751"/>
      <c r="G169" s="1084" t="s">
        <v>3925</v>
      </c>
    </row>
    <row r="170" spans="1:7" s="42" customFormat="1" ht="12" customHeight="1">
      <c r="A170" s="387">
        <v>26</v>
      </c>
      <c r="B170" s="1087" t="s">
        <v>690</v>
      </c>
      <c r="C170" s="241"/>
      <c r="D170" s="1087"/>
      <c r="E170" s="712" t="s">
        <v>691</v>
      </c>
      <c r="F170" s="708"/>
      <c r="G170" s="1084" t="s">
        <v>2254</v>
      </c>
    </row>
    <row r="171" spans="1:7" s="42" customFormat="1" ht="12" customHeight="1">
      <c r="A171" s="104"/>
      <c r="B171" s="1087"/>
      <c r="C171" s="241"/>
      <c r="E171" s="712" t="s">
        <v>630</v>
      </c>
      <c r="F171" s="708"/>
      <c r="G171" s="1084" t="s">
        <v>2254</v>
      </c>
    </row>
    <row r="172" spans="1:7" s="42" customFormat="1" ht="12" customHeight="1">
      <c r="A172" s="104"/>
      <c r="B172" s="408"/>
      <c r="C172" s="241"/>
      <c r="D172" s="1087"/>
      <c r="E172" s="757" t="s">
        <v>631</v>
      </c>
      <c r="F172" s="751"/>
      <c r="G172" s="1084" t="s">
        <v>2254</v>
      </c>
    </row>
    <row r="173" spans="1:7" s="42" customFormat="1" ht="12" customHeight="1">
      <c r="A173" s="104"/>
      <c r="B173" s="408"/>
      <c r="C173" s="241"/>
      <c r="D173" s="1087"/>
      <c r="E173" s="757" t="s">
        <v>632</v>
      </c>
      <c r="F173" s="751"/>
      <c r="G173" s="1084" t="s">
        <v>2254</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692</v>
      </c>
      <c r="F175" s="708"/>
      <c r="G175" s="1084" t="s">
        <v>2254</v>
      </c>
    </row>
    <row r="176" spans="1:7" s="42" customFormat="1" ht="12" customHeight="1">
      <c r="A176" s="104"/>
      <c r="B176" s="1087"/>
      <c r="C176" s="241"/>
      <c r="D176" s="1087"/>
      <c r="E176" s="757" t="s">
        <v>177</v>
      </c>
      <c r="F176" s="751"/>
      <c r="G176" s="1084" t="s">
        <v>2254</v>
      </c>
    </row>
    <row r="177" spans="1:7" s="42" customFormat="1" ht="12" customHeight="1">
      <c r="A177" s="104"/>
      <c r="B177" s="1087"/>
      <c r="C177" s="241"/>
      <c r="D177" s="1087"/>
      <c r="E177" s="398" t="s">
        <v>693</v>
      </c>
      <c r="F177" s="396"/>
      <c r="G177" s="1084" t="s">
        <v>2254</v>
      </c>
    </row>
    <row r="178" spans="1:7" s="42" customFormat="1" ht="12" customHeight="1">
      <c r="A178" s="104"/>
      <c r="B178" s="1087"/>
      <c r="C178" s="241"/>
      <c r="D178" s="1087"/>
      <c r="E178" s="398" t="s">
        <v>694</v>
      </c>
      <c r="F178" s="396"/>
      <c r="G178" s="1084" t="s">
        <v>2254</v>
      </c>
    </row>
    <row r="179" spans="1:7" s="42" customFormat="1" ht="12" customHeight="1">
      <c r="A179" s="387"/>
      <c r="B179" s="1087"/>
      <c r="C179" s="241"/>
      <c r="D179" s="1087"/>
      <c r="E179" s="1102" t="s">
        <v>695</v>
      </c>
      <c r="F179" s="396"/>
      <c r="G179" s="1084" t="s">
        <v>2254</v>
      </c>
    </row>
    <row r="180" spans="1:7" s="42" customFormat="1" ht="6" customHeight="1">
      <c r="A180" s="104"/>
      <c r="B180" s="1087"/>
      <c r="C180" s="241"/>
      <c r="D180" s="1087"/>
      <c r="E180" s="398"/>
      <c r="F180" s="398"/>
      <c r="G180" s="147"/>
    </row>
    <row r="181" spans="1:7" s="42" customFormat="1" ht="12" customHeight="1">
      <c r="A181" s="387">
        <v>28</v>
      </c>
      <c r="B181" s="1101" t="s">
        <v>3473</v>
      </c>
      <c r="C181" s="1087"/>
      <c r="D181" s="1087"/>
      <c r="E181" s="757" t="s">
        <v>178</v>
      </c>
      <c r="F181" s="1040"/>
      <c r="G181" s="1084" t="s">
        <v>2254</v>
      </c>
    </row>
    <row r="182" spans="1:7" s="42" customFormat="1" ht="12" customHeight="1">
      <c r="A182" s="387"/>
      <c r="B182" s="1101"/>
      <c r="C182" s="1087"/>
      <c r="D182" s="1087"/>
      <c r="E182" s="757" t="s">
        <v>179</v>
      </c>
      <c r="F182" s="1040"/>
      <c r="G182" s="1084" t="s">
        <v>2254</v>
      </c>
    </row>
    <row r="183" spans="1:7" s="42" customFormat="1" ht="25.15" customHeight="1">
      <c r="A183" s="104"/>
      <c r="B183" s="1087"/>
      <c r="C183" s="241"/>
      <c r="D183" s="1087"/>
      <c r="E183" s="757" t="s">
        <v>1620</v>
      </c>
      <c r="F183" s="751"/>
      <c r="G183" s="1084" t="s">
        <v>2254</v>
      </c>
    </row>
    <row r="184" spans="1:7" s="42" customFormat="1" ht="6" customHeight="1">
      <c r="A184" s="104"/>
      <c r="B184" s="1087"/>
      <c r="C184" s="241"/>
      <c r="D184" s="1087"/>
      <c r="E184" s="398"/>
      <c r="F184" s="396"/>
      <c r="G184" s="106"/>
    </row>
    <row r="185" spans="1:7" s="42" customFormat="1" ht="12" customHeight="1">
      <c r="A185" s="387">
        <v>29</v>
      </c>
      <c r="B185" s="1101" t="s">
        <v>406</v>
      </c>
      <c r="C185" s="241"/>
      <c r="D185" s="1087"/>
      <c r="E185" s="757" t="s">
        <v>633</v>
      </c>
      <c r="F185" s="751"/>
      <c r="G185" s="1084" t="s">
        <v>3925</v>
      </c>
    </row>
    <row r="186" spans="1:7" s="42" customFormat="1" ht="12" customHeight="1">
      <c r="A186" s="387"/>
      <c r="B186" s="1101"/>
      <c r="C186" s="241"/>
      <c r="D186" s="1087"/>
      <c r="E186" s="393" t="s">
        <v>1637</v>
      </c>
      <c r="F186" s="708"/>
      <c r="G186" s="1084" t="s">
        <v>3925</v>
      </c>
    </row>
    <row r="187" spans="1:7" s="42" customFormat="1" ht="6" customHeight="1">
      <c r="A187" s="100"/>
      <c r="B187" s="394"/>
      <c r="C187" s="1087"/>
      <c r="D187" s="1087"/>
      <c r="E187" s="1086"/>
      <c r="F187" s="396"/>
      <c r="G187" s="396"/>
    </row>
    <row r="188" spans="1:7" s="42" customFormat="1" ht="12" customHeight="1">
      <c r="A188" s="387">
        <v>30</v>
      </c>
      <c r="B188" s="1087" t="s">
        <v>3885</v>
      </c>
      <c r="C188" s="241"/>
      <c r="D188" s="1087"/>
      <c r="E188" s="1086" t="s">
        <v>1638</v>
      </c>
      <c r="F188" s="396"/>
      <c r="G188" s="1084" t="s">
        <v>3925</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656</v>
      </c>
      <c r="D191" s="1087"/>
      <c r="E191" s="1105" t="s">
        <v>3549</v>
      </c>
      <c r="F191" s="1106"/>
      <c r="G191" s="1084" t="s">
        <v>2254</v>
      </c>
    </row>
    <row r="192" spans="1:7" s="42" customFormat="1" ht="12" customHeight="1">
      <c r="A192" s="387"/>
      <c r="C192" s="1104"/>
      <c r="D192" s="1087"/>
      <c r="E192" s="1107" t="s">
        <v>1639</v>
      </c>
      <c r="F192" s="1108"/>
      <c r="G192" s="1084" t="s">
        <v>2254</v>
      </c>
    </row>
    <row r="193" spans="1:7" s="42" customFormat="1" ht="12" customHeight="1">
      <c r="A193" s="104"/>
      <c r="C193" s="241"/>
      <c r="D193" s="1087"/>
      <c r="E193" s="1109" t="s">
        <v>3550</v>
      </c>
      <c r="F193" s="1110"/>
      <c r="G193" s="1084" t="s">
        <v>2254</v>
      </c>
    </row>
    <row r="194" spans="1:7" s="42" customFormat="1" ht="12" customHeight="1">
      <c r="A194" s="104"/>
      <c r="C194" s="241"/>
      <c r="D194" s="1087"/>
      <c r="E194" s="1086" t="s">
        <v>3551</v>
      </c>
      <c r="F194" s="396"/>
      <c r="G194" s="1084" t="s">
        <v>2254</v>
      </c>
    </row>
    <row r="195" spans="1:7" s="42" customFormat="1" ht="5.45" customHeight="1">
      <c r="A195" s="100"/>
      <c r="B195" s="394"/>
      <c r="C195" s="395"/>
      <c r="D195" s="395"/>
      <c r="E195" s="394"/>
      <c r="F195" s="395"/>
      <c r="G195" s="312"/>
    </row>
    <row r="196" spans="1:7" s="42" customFormat="1" ht="12" customHeight="1">
      <c r="A196" s="104"/>
      <c r="C196" s="241" t="s">
        <v>540</v>
      </c>
      <c r="D196" s="1087"/>
      <c r="E196" s="1086" t="s">
        <v>3797</v>
      </c>
      <c r="F196" s="396"/>
      <c r="G196" s="1084" t="s">
        <v>2254</v>
      </c>
    </row>
    <row r="197" spans="1:7" s="42" customFormat="1" ht="12" customHeight="1">
      <c r="A197" s="104"/>
      <c r="B197" s="241"/>
      <c r="C197" s="241"/>
      <c r="D197" s="1087"/>
      <c r="E197" s="1086" t="s">
        <v>3383</v>
      </c>
      <c r="F197" s="396"/>
      <c r="G197" s="1084" t="s">
        <v>2254</v>
      </c>
    </row>
    <row r="198" spans="1:7" s="42" customFormat="1" ht="12" customHeight="1">
      <c r="A198" s="104"/>
      <c r="B198" s="1086"/>
      <c r="C198" s="408"/>
      <c r="D198" s="1087"/>
      <c r="E198" s="1086" t="s">
        <v>167</v>
      </c>
      <c r="F198" s="396"/>
      <c r="G198" s="1084" t="s">
        <v>2254</v>
      </c>
    </row>
    <row r="199" spans="1:7" s="42" customFormat="1" ht="12" customHeight="1">
      <c r="A199" s="104"/>
      <c r="B199" s="1086"/>
      <c r="C199" s="1087"/>
      <c r="D199" s="1087"/>
      <c r="E199" s="1086" t="s">
        <v>3884</v>
      </c>
      <c r="F199" s="396"/>
      <c r="G199" s="1084" t="s">
        <v>2254</v>
      </c>
    </row>
    <row r="200" spans="1:7" s="42" customFormat="1" ht="12" customHeight="1">
      <c r="A200" s="104"/>
      <c r="B200" s="711"/>
      <c r="C200" s="1087"/>
      <c r="D200" s="1087"/>
      <c r="E200" s="1086" t="s">
        <v>168</v>
      </c>
      <c r="F200" s="396"/>
      <c r="G200" s="1084" t="s">
        <v>2254</v>
      </c>
    </row>
    <row r="201" spans="1:7" s="42" customFormat="1" ht="5.45" customHeight="1">
      <c r="A201" s="100"/>
      <c r="B201" s="394"/>
      <c r="C201" s="395"/>
      <c r="D201" s="395"/>
      <c r="E201" s="394"/>
      <c r="F201" s="395"/>
      <c r="G201" s="312"/>
    </row>
    <row r="202" spans="1:7" s="42" customFormat="1" ht="12" customHeight="1">
      <c r="A202" s="104"/>
      <c r="B202" s="1087"/>
      <c r="C202" s="241" t="s">
        <v>541</v>
      </c>
      <c r="D202" s="1087"/>
      <c r="E202" s="1086" t="s">
        <v>2733</v>
      </c>
      <c r="F202" s="396"/>
      <c r="G202" s="1084" t="s">
        <v>2254</v>
      </c>
    </row>
    <row r="203" spans="1:7" s="42" customFormat="1" ht="12" customHeight="1">
      <c r="A203" s="104"/>
      <c r="B203" s="711"/>
      <c r="C203" s="1087"/>
      <c r="D203" s="1087"/>
      <c r="E203" s="1086" t="s">
        <v>2734</v>
      </c>
      <c r="F203" s="396"/>
      <c r="G203" s="1084" t="s">
        <v>2254</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2254</v>
      </c>
    </row>
    <row r="206" spans="1:7" s="42" customFormat="1" ht="12" customHeight="1">
      <c r="A206" s="104"/>
      <c r="B206" s="241"/>
      <c r="C206" s="241"/>
      <c r="D206" s="1087"/>
      <c r="E206" s="1086" t="s">
        <v>172</v>
      </c>
      <c r="F206" s="396"/>
      <c r="G206" s="1084" t="s">
        <v>2254</v>
      </c>
    </row>
    <row r="207" spans="1:7" s="42" customFormat="1" ht="12" customHeight="1">
      <c r="A207" s="104"/>
      <c r="B207" s="1086"/>
      <c r="C207" s="408"/>
      <c r="D207" s="1087"/>
      <c r="E207" s="1086" t="s">
        <v>3509</v>
      </c>
      <c r="F207" s="396"/>
      <c r="G207" s="1084" t="s">
        <v>2254</v>
      </c>
    </row>
    <row r="208" spans="1:7" s="42" customFormat="1" ht="12" customHeight="1">
      <c r="A208" s="104"/>
      <c r="B208" s="1086"/>
      <c r="C208" s="1087"/>
      <c r="D208" s="1087"/>
      <c r="E208" s="1086" t="s">
        <v>173</v>
      </c>
      <c r="F208" s="396"/>
      <c r="G208" s="1084" t="s">
        <v>2254</v>
      </c>
    </row>
    <row r="209" spans="1:7" s="42" customFormat="1" ht="12" customHeight="1">
      <c r="A209" s="387"/>
      <c r="B209" s="711"/>
      <c r="C209" s="1087"/>
      <c r="D209" s="1087"/>
      <c r="E209" s="1086" t="s">
        <v>174</v>
      </c>
      <c r="F209" s="396"/>
      <c r="G209" s="1084" t="s">
        <v>2254</v>
      </c>
    </row>
    <row r="210" spans="1:7" s="42" customFormat="1" ht="12" customHeight="1">
      <c r="A210" s="107"/>
      <c r="B210" s="711"/>
      <c r="C210" s="1087"/>
      <c r="D210" s="1087"/>
      <c r="E210" s="1086" t="s">
        <v>175</v>
      </c>
      <c r="F210" s="396"/>
      <c r="G210" s="1084" t="s">
        <v>2254</v>
      </c>
    </row>
    <row r="211" spans="1:7" s="42" customFormat="1" ht="12" customHeight="1">
      <c r="A211" s="387">
        <v>32</v>
      </c>
      <c r="B211" s="1087" t="s">
        <v>3362</v>
      </c>
      <c r="C211" s="241"/>
      <c r="D211" s="1087"/>
      <c r="E211" s="1086" t="s">
        <v>176</v>
      </c>
      <c r="F211" s="396"/>
      <c r="G211" s="1084" t="s">
        <v>2254</v>
      </c>
    </row>
    <row r="212" spans="1:7" s="42" customFormat="1" ht="6" customHeight="1">
      <c r="A212" s="104"/>
      <c r="B212" s="711"/>
      <c r="C212" s="1087"/>
      <c r="D212" s="1087"/>
      <c r="E212" s="1086"/>
      <c r="F212" s="396"/>
      <c r="G212" s="313"/>
    </row>
    <row r="213" spans="1:7" s="42" customFormat="1" ht="12" customHeight="1">
      <c r="A213" s="387">
        <v>33</v>
      </c>
      <c r="B213" s="1087" t="s">
        <v>2842</v>
      </c>
      <c r="C213" s="241"/>
      <c r="D213" s="1087"/>
      <c r="E213" s="757" t="s">
        <v>180</v>
      </c>
      <c r="F213" s="751"/>
      <c r="G213" s="1084" t="s">
        <v>2254</v>
      </c>
    </row>
    <row r="214" spans="1:7" s="42" customFormat="1" ht="12" customHeight="1">
      <c r="A214" s="387"/>
      <c r="B214" s="241"/>
      <c r="C214" s="241"/>
      <c r="D214" s="1087"/>
      <c r="E214" s="757" t="s">
        <v>181</v>
      </c>
      <c r="F214" s="751"/>
      <c r="G214" s="1084" t="s">
        <v>2254</v>
      </c>
    </row>
    <row r="215" spans="1:7" s="42" customFormat="1" ht="12" customHeight="1">
      <c r="A215" s="387"/>
      <c r="B215" s="241"/>
      <c r="C215" s="241"/>
      <c r="D215" s="1087"/>
      <c r="E215" s="393" t="s">
        <v>3510</v>
      </c>
      <c r="F215" s="708"/>
      <c r="G215" s="1084" t="s">
        <v>2254</v>
      </c>
    </row>
    <row r="216" spans="1:7" s="42" customFormat="1" ht="6" customHeight="1">
      <c r="A216" s="104"/>
      <c r="B216" s="711"/>
      <c r="C216" s="1087"/>
      <c r="D216" s="1087"/>
      <c r="E216" s="1086"/>
      <c r="F216" s="396"/>
      <c r="G216" s="654"/>
    </row>
    <row r="217" spans="1:7" s="42" customFormat="1" ht="12.6" customHeight="1">
      <c r="A217" s="387">
        <v>34</v>
      </c>
      <c r="B217" s="1087" t="s">
        <v>2670</v>
      </c>
      <c r="C217" s="1087"/>
      <c r="D217" s="1087"/>
      <c r="E217" s="1086"/>
      <c r="F217" s="396"/>
      <c r="G217" s="601"/>
    </row>
    <row r="218" spans="1:7" s="42" customFormat="1" ht="12" customHeight="1">
      <c r="A218" s="104"/>
      <c r="B218" s="241"/>
      <c r="C218" s="1086" t="s">
        <v>2672</v>
      </c>
      <c r="D218" s="1087"/>
      <c r="E218" s="1086" t="s">
        <v>182</v>
      </c>
      <c r="F218" s="396"/>
      <c r="G218" s="1084" t="s">
        <v>2254</v>
      </c>
    </row>
    <row r="219" spans="1:7" s="42" customFormat="1" ht="12" customHeight="1">
      <c r="A219" s="104"/>
      <c r="B219" s="1086"/>
      <c r="C219" s="1086" t="s">
        <v>2673</v>
      </c>
      <c r="D219" s="1087"/>
      <c r="E219" s="396" t="s">
        <v>148</v>
      </c>
      <c r="F219" s="396"/>
      <c r="G219" s="1084" t="s">
        <v>2254</v>
      </c>
    </row>
    <row r="220" spans="1:7" s="42" customFormat="1" ht="12" customHeight="1">
      <c r="A220" s="104"/>
      <c r="B220" s="1086"/>
      <c r="C220" s="711" t="s">
        <v>2671</v>
      </c>
      <c r="D220" s="1087"/>
      <c r="E220" s="1086" t="s">
        <v>183</v>
      </c>
      <c r="F220" s="396"/>
      <c r="G220" s="1084" t="s">
        <v>2254</v>
      </c>
    </row>
    <row r="221" spans="1:7" s="42" customFormat="1" ht="6" customHeight="1">
      <c r="A221" s="104"/>
      <c r="B221" s="711"/>
      <c r="C221" s="1087"/>
      <c r="D221" s="1087"/>
      <c r="E221" s="1086"/>
      <c r="F221" s="396"/>
      <c r="G221" s="313"/>
    </row>
    <row r="222" spans="1:7" s="42" customFormat="1" ht="12" customHeight="1">
      <c r="A222" s="387">
        <v>35</v>
      </c>
      <c r="B222" s="1087" t="s">
        <v>1907</v>
      </c>
      <c r="C222" s="241"/>
      <c r="D222" s="1087"/>
      <c r="E222" s="1086" t="s">
        <v>1908</v>
      </c>
      <c r="F222" s="396"/>
      <c r="G222" s="1084" t="s">
        <v>2254</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1909</v>
      </c>
      <c r="F224" s="396"/>
      <c r="G224" s="1084" t="s">
        <v>2254</v>
      </c>
    </row>
    <row r="225" spans="1:7" s="42" customFormat="1" ht="6" customHeight="1">
      <c r="A225" s="104"/>
      <c r="B225" s="711"/>
      <c r="C225" s="1087"/>
      <c r="D225" s="1087"/>
      <c r="E225" s="1086"/>
      <c r="F225" s="396"/>
      <c r="G225" s="106"/>
    </row>
    <row r="226" spans="1:7" s="42" customFormat="1" ht="12" customHeight="1">
      <c r="A226" s="387">
        <v>37</v>
      </c>
      <c r="B226" s="1087" t="s">
        <v>2736</v>
      </c>
      <c r="C226" s="241"/>
      <c r="D226" s="1087"/>
      <c r="E226" s="1086" t="s">
        <v>527</v>
      </c>
      <c r="F226" s="396"/>
      <c r="G226" s="1084" t="s">
        <v>2254</v>
      </c>
    </row>
    <row r="227" spans="1:7" s="42" customFormat="1" ht="12" customHeight="1">
      <c r="A227" s="104"/>
      <c r="B227" s="1086"/>
      <c r="C227" s="1087"/>
      <c r="D227" s="1087"/>
      <c r="E227" s="396" t="s">
        <v>528</v>
      </c>
      <c r="F227" s="396"/>
      <c r="G227" s="1084" t="s">
        <v>2254</v>
      </c>
    </row>
    <row r="228" spans="1:7" s="42" customFormat="1" ht="12" customHeight="1">
      <c r="A228" s="104"/>
      <c r="B228" s="1086"/>
      <c r="C228" s="408"/>
      <c r="D228" s="1087"/>
      <c r="E228" s="1086" t="s">
        <v>529</v>
      </c>
      <c r="F228" s="396"/>
      <c r="G228" s="1084" t="s">
        <v>2254</v>
      </c>
    </row>
    <row r="229" spans="1:7" s="42" customFormat="1" ht="12" customHeight="1">
      <c r="A229" s="104"/>
      <c r="B229" s="711"/>
      <c r="C229" s="1087"/>
      <c r="D229" s="1087"/>
      <c r="E229" s="1111" t="s">
        <v>530</v>
      </c>
      <c r="F229" s="396"/>
      <c r="G229" s="1084" t="s">
        <v>2254</v>
      </c>
    </row>
    <row r="230" spans="1:7" s="42" customFormat="1" ht="12" customHeight="1">
      <c r="A230" s="104"/>
      <c r="B230" s="1086"/>
      <c r="E230" s="1086" t="s">
        <v>35</v>
      </c>
      <c r="F230" s="396"/>
      <c r="G230" s="1084" t="s">
        <v>2254</v>
      </c>
    </row>
    <row r="231" spans="1:7" s="42" customFormat="1" ht="12" customHeight="1">
      <c r="A231" s="104"/>
      <c r="B231" s="711"/>
      <c r="E231" s="1111" t="s">
        <v>36</v>
      </c>
      <c r="F231" s="396"/>
      <c r="G231" s="1084" t="s">
        <v>2254</v>
      </c>
    </row>
    <row r="232" spans="1:7" s="42" customFormat="1" ht="6" customHeight="1">
      <c r="A232" s="104"/>
      <c r="B232" s="711"/>
      <c r="C232" s="1087"/>
      <c r="D232" s="1087"/>
      <c r="E232" s="1086"/>
      <c r="F232" s="396"/>
      <c r="G232" s="106"/>
    </row>
    <row r="233" spans="1:7" s="42" customFormat="1" ht="12" customHeight="1">
      <c r="A233" s="387">
        <v>38</v>
      </c>
      <c r="B233" s="1087" t="s">
        <v>3552</v>
      </c>
      <c r="C233" s="241"/>
      <c r="D233" s="1087"/>
      <c r="E233" s="1086" t="s">
        <v>3511</v>
      </c>
      <c r="F233" s="396"/>
      <c r="G233" s="1084" t="s">
        <v>3925</v>
      </c>
    </row>
    <row r="234" spans="1:7" s="42" customFormat="1" ht="12" customHeight="1">
      <c r="A234" s="104"/>
      <c r="B234" s="1086"/>
      <c r="C234" s="1087"/>
      <c r="D234" s="1087"/>
      <c r="E234" s="396" t="s">
        <v>3512</v>
      </c>
      <c r="F234" s="396"/>
      <c r="G234" s="1084" t="s">
        <v>2254</v>
      </c>
    </row>
    <row r="235" spans="1:7" s="42" customFormat="1" ht="6" customHeight="1">
      <c r="A235" s="104"/>
      <c r="B235" s="417"/>
      <c r="C235" s="1112"/>
      <c r="D235" s="1112"/>
      <c r="E235" s="1113"/>
      <c r="F235" s="106"/>
      <c r="G235" s="106"/>
    </row>
    <row r="236" spans="1:7" s="42" customFormat="1" ht="13.15" customHeight="1">
      <c r="A236" s="387">
        <v>39</v>
      </c>
      <c r="B236" s="1087" t="s">
        <v>2364</v>
      </c>
      <c r="E236" s="1114"/>
      <c r="F236" s="1114"/>
      <c r="G236" s="1084"/>
    </row>
    <row r="237" spans="1:7" s="42" customFormat="1" ht="12.6" customHeight="1">
      <c r="A237" s="104"/>
      <c r="C237" s="1115" t="s">
        <v>1027</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3127</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March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48" zoomScale="85" zoomScaleNormal="85" workbookViewId="0">
      <selection activeCell="A170" sqref="A170:J170"/>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2011-043 Calypso, Palmetto, Fulton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951</v>
      </c>
      <c r="B3" s="5" t="s">
        <v>3572</v>
      </c>
      <c r="C3" s="2"/>
      <c r="D3" s="167" t="s">
        <v>328</v>
      </c>
      <c r="E3" s="2"/>
      <c r="F3" s="2"/>
      <c r="G3" s="167"/>
      <c r="H3" s="167"/>
      <c r="I3" s="167"/>
      <c r="J3" s="167"/>
      <c r="K3" s="167"/>
      <c r="L3" s="167"/>
      <c r="N3" s="707" t="s">
        <v>887</v>
      </c>
      <c r="O3" s="983" t="str">
        <f>'Part I-Project Information'!$J$26</f>
        <v>Atlanta-Sandy Springs-Marietta</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717</v>
      </c>
      <c r="EZ3" s="655" t="s">
        <v>3687</v>
      </c>
      <c r="FA3" s="655" t="s">
        <v>3688</v>
      </c>
      <c r="FB3" s="655" t="s">
        <v>3689</v>
      </c>
      <c r="FC3" s="655" t="s">
        <v>3690</v>
      </c>
      <c r="FD3" s="656"/>
      <c r="FE3" s="656"/>
      <c r="FF3" s="656"/>
      <c r="FG3" s="656"/>
      <c r="FH3" s="656"/>
      <c r="FI3" s="655" t="s">
        <v>717</v>
      </c>
      <c r="FJ3" s="655" t="s">
        <v>3687</v>
      </c>
      <c r="FK3" s="655" t="s">
        <v>3688</v>
      </c>
      <c r="FL3" s="655" t="s">
        <v>3689</v>
      </c>
      <c r="FM3" s="655" t="s">
        <v>3690</v>
      </c>
      <c r="FN3" s="655" t="s">
        <v>717</v>
      </c>
      <c r="FO3" s="655" t="s">
        <v>3687</v>
      </c>
      <c r="FP3" s="655" t="s">
        <v>3688</v>
      </c>
      <c r="FQ3" s="655" t="s">
        <v>3689</v>
      </c>
      <c r="FR3" s="655" t="s">
        <v>3690</v>
      </c>
      <c r="FS3" s="655" t="s">
        <v>717</v>
      </c>
      <c r="FT3" s="655" t="s">
        <v>3687</v>
      </c>
      <c r="FU3" s="655" t="s">
        <v>3688</v>
      </c>
      <c r="FV3" s="655" t="s">
        <v>3689</v>
      </c>
      <c r="FW3" s="655" t="s">
        <v>3690</v>
      </c>
      <c r="FX3" s="655" t="s">
        <v>717</v>
      </c>
      <c r="FY3" s="655" t="s">
        <v>3687</v>
      </c>
      <c r="FZ3" s="655" t="s">
        <v>3688</v>
      </c>
      <c r="GA3" s="655" t="s">
        <v>3689</v>
      </c>
      <c r="GB3" s="655" t="s">
        <v>3690</v>
      </c>
      <c r="GC3" s="655" t="s">
        <v>717</v>
      </c>
      <c r="GD3" s="655" t="s">
        <v>3687</v>
      </c>
      <c r="GE3" s="655" t="s">
        <v>3688</v>
      </c>
      <c r="GF3" s="655" t="s">
        <v>3689</v>
      </c>
      <c r="GG3" s="655" t="s">
        <v>3690</v>
      </c>
      <c r="GH3" s="655" t="s">
        <v>717</v>
      </c>
      <c r="GI3" s="655" t="s">
        <v>3687</v>
      </c>
      <c r="GJ3" s="655" t="s">
        <v>3688</v>
      </c>
      <c r="GK3" s="655" t="s">
        <v>3689</v>
      </c>
      <c r="GL3" s="655" t="s">
        <v>3690</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1514</v>
      </c>
      <c r="U4" s="965" t="s">
        <v>1248</v>
      </c>
      <c r="V4" s="965" t="s">
        <v>1249</v>
      </c>
      <c r="W4" s="965" t="s">
        <v>1250</v>
      </c>
      <c r="X4" s="965" t="s">
        <v>1251</v>
      </c>
      <c r="Y4" s="965" t="s">
        <v>1515</v>
      </c>
      <c r="Z4" s="965" t="s">
        <v>3453</v>
      </c>
      <c r="AA4" s="965" t="s">
        <v>3454</v>
      </c>
      <c r="AB4" s="965" t="s">
        <v>3455</v>
      </c>
      <c r="AC4" s="965" t="s">
        <v>3456</v>
      </c>
      <c r="AD4" s="965" t="s">
        <v>1516</v>
      </c>
      <c r="AE4" s="965" t="s">
        <v>3457</v>
      </c>
      <c r="AF4" s="965" t="s">
        <v>3458</v>
      </c>
      <c r="AG4" s="965" t="s">
        <v>3459</v>
      </c>
      <c r="AH4" s="965" t="s">
        <v>3460</v>
      </c>
      <c r="AI4" s="965" t="s">
        <v>152</v>
      </c>
      <c r="AJ4" s="965" t="s">
        <v>3461</v>
      </c>
      <c r="AK4" s="965" t="s">
        <v>3462</v>
      </c>
      <c r="AL4" s="965" t="s">
        <v>3463</v>
      </c>
      <c r="AM4" s="965" t="s">
        <v>1791</v>
      </c>
      <c r="AN4" s="965" t="s">
        <v>854</v>
      </c>
      <c r="AO4" s="965" t="s">
        <v>855</v>
      </c>
      <c r="AP4" s="965" t="s">
        <v>892</v>
      </c>
      <c r="AQ4" s="965" t="s">
        <v>893</v>
      </c>
      <c r="AR4" s="965" t="s">
        <v>894</v>
      </c>
      <c r="AS4" s="965" t="s">
        <v>895</v>
      </c>
      <c r="AT4" s="965" t="s">
        <v>896</v>
      </c>
      <c r="AU4" s="965" t="s">
        <v>897</v>
      </c>
      <c r="AV4" s="965" t="s">
        <v>898</v>
      </c>
      <c r="AW4" s="965" t="s">
        <v>899</v>
      </c>
      <c r="AX4" s="965" t="s">
        <v>900</v>
      </c>
      <c r="AY4" s="965" t="s">
        <v>901</v>
      </c>
      <c r="AZ4" s="965" t="s">
        <v>1527</v>
      </c>
      <c r="BA4" s="965" t="s">
        <v>1528</v>
      </c>
      <c r="BB4" s="965" t="s">
        <v>1529</v>
      </c>
      <c r="BC4" s="965" t="s">
        <v>737</v>
      </c>
      <c r="BD4" s="965" t="s">
        <v>738</v>
      </c>
      <c r="BE4" s="965" t="s">
        <v>739</v>
      </c>
      <c r="BF4" s="965" t="s">
        <v>740</v>
      </c>
      <c r="BG4" s="965" t="s">
        <v>741</v>
      </c>
      <c r="BH4" s="965" t="s">
        <v>1473</v>
      </c>
      <c r="BI4" s="965" t="s">
        <v>1474</v>
      </c>
      <c r="BJ4" s="965" t="s">
        <v>1475</v>
      </c>
      <c r="BK4" s="965" t="s">
        <v>1476</v>
      </c>
      <c r="BL4" s="965" t="s">
        <v>1477</v>
      </c>
      <c r="BM4" s="965" t="s">
        <v>1478</v>
      </c>
      <c r="BN4" s="965" t="s">
        <v>1479</v>
      </c>
      <c r="BO4" s="965" t="s">
        <v>1480</v>
      </c>
      <c r="BP4" s="965" t="s">
        <v>1481</v>
      </c>
      <c r="BQ4" s="965" t="s">
        <v>1482</v>
      </c>
      <c r="BR4" s="965" t="s">
        <v>3677</v>
      </c>
      <c r="BS4" s="965" t="s">
        <v>3678</v>
      </c>
      <c r="BT4" s="965" t="s">
        <v>3679</v>
      </c>
      <c r="BU4" s="965" t="s">
        <v>3680</v>
      </c>
      <c r="BV4" s="965" t="s">
        <v>3681</v>
      </c>
      <c r="BW4" s="965" t="s">
        <v>132</v>
      </c>
      <c r="BX4" s="965" t="s">
        <v>1794</v>
      </c>
      <c r="BY4" s="965" t="s">
        <v>1795</v>
      </c>
      <c r="BZ4" s="965" t="s">
        <v>1875</v>
      </c>
      <c r="CA4" s="965" t="s">
        <v>1876</v>
      </c>
      <c r="CB4" s="964" t="s">
        <v>155</v>
      </c>
      <c r="CC4" s="964" t="s">
        <v>1877</v>
      </c>
      <c r="CD4" s="964" t="s">
        <v>1878</v>
      </c>
      <c r="CE4" s="964" t="s">
        <v>1879</v>
      </c>
      <c r="CF4" s="964" t="s">
        <v>1880</v>
      </c>
      <c r="CG4" s="964" t="s">
        <v>154</v>
      </c>
      <c r="CH4" s="964" t="s">
        <v>1506</v>
      </c>
      <c r="CI4" s="964" t="s">
        <v>1507</v>
      </c>
      <c r="CJ4" s="964" t="s">
        <v>1508</v>
      </c>
      <c r="CK4" s="964" t="s">
        <v>1509</v>
      </c>
      <c r="CL4" s="964" t="s">
        <v>153</v>
      </c>
      <c r="CM4" s="964" t="s">
        <v>1510</v>
      </c>
      <c r="CN4" s="964" t="s">
        <v>1511</v>
      </c>
      <c r="CO4" s="964" t="s">
        <v>1512</v>
      </c>
      <c r="CP4" s="964" t="s">
        <v>1513</v>
      </c>
      <c r="CQ4" s="964" t="s">
        <v>1392</v>
      </c>
      <c r="CR4" s="964" t="s">
        <v>1393</v>
      </c>
      <c r="CS4" s="964" t="s">
        <v>1394</v>
      </c>
      <c r="CT4" s="964" t="s">
        <v>1395</v>
      </c>
      <c r="CU4" s="964" t="s">
        <v>1396</v>
      </c>
      <c r="CV4" s="964" t="s">
        <v>1557</v>
      </c>
      <c r="CW4" s="964" t="s">
        <v>1558</v>
      </c>
      <c r="CX4" s="964" t="s">
        <v>1559</v>
      </c>
      <c r="CY4" s="964" t="s">
        <v>1560</v>
      </c>
      <c r="CZ4" s="964" t="s">
        <v>3676</v>
      </c>
      <c r="DA4" s="964" t="s">
        <v>2156</v>
      </c>
      <c r="DB4" s="964" t="s">
        <v>2157</v>
      </c>
      <c r="DC4" s="964" t="s">
        <v>2158</v>
      </c>
      <c r="DD4" s="964" t="s">
        <v>2159</v>
      </c>
      <c r="DE4" s="964" t="s">
        <v>2160</v>
      </c>
      <c r="DF4" s="964" t="s">
        <v>646</v>
      </c>
      <c r="DG4" s="964" t="s">
        <v>647</v>
      </c>
      <c r="DH4" s="964" t="s">
        <v>648</v>
      </c>
      <c r="DI4" s="964" t="s">
        <v>649</v>
      </c>
      <c r="DJ4" s="964" t="s">
        <v>650</v>
      </c>
      <c r="DK4" s="964" t="s">
        <v>19</v>
      </c>
      <c r="DL4" s="964" t="s">
        <v>20</v>
      </c>
      <c r="DM4" s="964" t="s">
        <v>21</v>
      </c>
      <c r="DN4" s="964" t="s">
        <v>22</v>
      </c>
      <c r="DO4" s="964" t="s">
        <v>23</v>
      </c>
      <c r="DP4" s="964" t="s">
        <v>285</v>
      </c>
      <c r="DQ4" s="964" t="s">
        <v>286</v>
      </c>
      <c r="DR4" s="964" t="s">
        <v>287</v>
      </c>
      <c r="DS4" s="964" t="s">
        <v>2849</v>
      </c>
      <c r="DT4" s="964" t="s">
        <v>2850</v>
      </c>
      <c r="DU4" s="964" t="s">
        <v>2851</v>
      </c>
      <c r="DV4" s="964" t="s">
        <v>910</v>
      </c>
      <c r="DW4" s="964" t="s">
        <v>911</v>
      </c>
      <c r="DX4" s="964" t="s">
        <v>912</v>
      </c>
      <c r="DY4" s="964" t="s">
        <v>913</v>
      </c>
      <c r="DZ4" s="964" t="s">
        <v>24</v>
      </c>
      <c r="EA4" s="964" t="s">
        <v>25</v>
      </c>
      <c r="EB4" s="964" t="s">
        <v>26</v>
      </c>
      <c r="EC4" s="964" t="s">
        <v>27</v>
      </c>
      <c r="ED4" s="964" t="s">
        <v>28</v>
      </c>
      <c r="EE4" s="964" t="s">
        <v>734</v>
      </c>
      <c r="EF4" s="964" t="s">
        <v>642</v>
      </c>
      <c r="EG4" s="964" t="s">
        <v>643</v>
      </c>
      <c r="EH4" s="964" t="s">
        <v>644</v>
      </c>
      <c r="EI4" s="964" t="s">
        <v>645</v>
      </c>
      <c r="EJ4" s="964" t="s">
        <v>3322</v>
      </c>
      <c r="EK4" s="964" t="s">
        <v>3323</v>
      </c>
      <c r="EL4" s="964" t="s">
        <v>3324</v>
      </c>
      <c r="EM4" s="964" t="s">
        <v>2214</v>
      </c>
      <c r="EN4" s="964" t="s">
        <v>2215</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2529</v>
      </c>
      <c r="GN4" s="964" t="s">
        <v>3812</v>
      </c>
      <c r="GO4" s="964" t="s">
        <v>3813</v>
      </c>
      <c r="GP4" s="964" t="s">
        <v>491</v>
      </c>
      <c r="GQ4" s="964" t="s">
        <v>492</v>
      </c>
      <c r="GR4" s="964" t="s">
        <v>493</v>
      </c>
      <c r="GS4" s="964" t="s">
        <v>494</v>
      </c>
      <c r="GT4" s="964" t="s">
        <v>495</v>
      </c>
      <c r="GU4" s="964" t="s">
        <v>496</v>
      </c>
      <c r="GV4" s="964" t="s">
        <v>497</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2899</v>
      </c>
      <c r="D5" s="2"/>
      <c r="E5" s="5"/>
      <c r="F5" s="2"/>
      <c r="G5" s="1302"/>
      <c r="O5" s="2"/>
      <c r="P5" s="657" t="s">
        <v>1659</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2840</v>
      </c>
      <c r="D6" s="2"/>
      <c r="E6" s="5"/>
      <c r="G6" s="1303"/>
      <c r="J6" s="737" t="s">
        <v>3646</v>
      </c>
      <c r="O6" s="2"/>
      <c r="P6" s="658">
        <f>VLOOKUP('Part I-Project Information'!$J$26,'DCA Underwriting Assumptions'!$C$77:$D$187,2)</f>
        <v>68300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
      </c>
      <c r="B7" s="5"/>
      <c r="C7" s="2"/>
      <c r="D7" s="5"/>
      <c r="E7" s="2"/>
      <c r="F7" s="2"/>
      <c r="G7" s="2"/>
      <c r="H7" s="2"/>
      <c r="I7" s="2"/>
      <c r="J7" s="3" t="s">
        <v>3647</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2213</v>
      </c>
      <c r="C8" s="737" t="s">
        <v>228</v>
      </c>
      <c r="D8" s="737" t="s">
        <v>840</v>
      </c>
      <c r="E8" s="737" t="s">
        <v>2211</v>
      </c>
      <c r="F8" s="737" t="s">
        <v>2211</v>
      </c>
      <c r="G8" s="737" t="s">
        <v>3618</v>
      </c>
      <c r="H8" s="737" t="s">
        <v>3616</v>
      </c>
      <c r="I8" s="737" t="s">
        <v>1381</v>
      </c>
      <c r="J8" s="737" t="s">
        <v>3648</v>
      </c>
      <c r="K8" s="981" t="s">
        <v>186</v>
      </c>
      <c r="L8" s="981"/>
      <c r="M8" s="737" t="s">
        <v>3573</v>
      </c>
      <c r="N8" s="737" t="s">
        <v>826</v>
      </c>
      <c r="O8" s="737" t="s">
        <v>488</v>
      </c>
      <c r="P8" s="984" t="s">
        <v>1666</v>
      </c>
      <c r="Q8" s="984"/>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2188</v>
      </c>
      <c r="EU8" s="445" t="s">
        <v>3687</v>
      </c>
      <c r="EV8" s="445" t="s">
        <v>3688</v>
      </c>
      <c r="EW8" s="445" t="s">
        <v>3689</v>
      </c>
      <c r="EX8" s="445" t="s">
        <v>3690</v>
      </c>
      <c r="EY8" s="964" t="s">
        <v>3777</v>
      </c>
      <c r="EZ8" s="964" t="s">
        <v>3777</v>
      </c>
      <c r="FA8" s="964" t="s">
        <v>3777</v>
      </c>
      <c r="FB8" s="964" t="s">
        <v>3777</v>
      </c>
      <c r="FC8" s="964" t="s">
        <v>3777</v>
      </c>
      <c r="FD8" s="445" t="s">
        <v>717</v>
      </c>
      <c r="FE8" s="445" t="s">
        <v>3687</v>
      </c>
      <c r="FF8" s="445" t="s">
        <v>3688</v>
      </c>
      <c r="FG8" s="445" t="s">
        <v>3689</v>
      </c>
      <c r="FH8" s="445" t="s">
        <v>3690</v>
      </c>
      <c r="FI8" s="964" t="s">
        <v>3779</v>
      </c>
      <c r="FJ8" s="964" t="s">
        <v>3779</v>
      </c>
      <c r="FK8" s="964" t="s">
        <v>3779</v>
      </c>
      <c r="FL8" s="964" t="s">
        <v>3779</v>
      </c>
      <c r="FM8" s="964" t="s">
        <v>3779</v>
      </c>
      <c r="FN8" s="964" t="s">
        <v>460</v>
      </c>
      <c r="FO8" s="964" t="s">
        <v>460</v>
      </c>
      <c r="FP8" s="964" t="s">
        <v>460</v>
      </c>
      <c r="FQ8" s="964" t="s">
        <v>460</v>
      </c>
      <c r="FR8" s="964" t="s">
        <v>460</v>
      </c>
      <c r="FS8" s="964" t="s">
        <v>461</v>
      </c>
      <c r="FT8" s="964" t="s">
        <v>461</v>
      </c>
      <c r="FU8" s="964" t="s">
        <v>461</v>
      </c>
      <c r="FV8" s="964" t="s">
        <v>461</v>
      </c>
      <c r="FW8" s="964" t="s">
        <v>461</v>
      </c>
      <c r="FX8" s="964" t="s">
        <v>462</v>
      </c>
      <c r="FY8" s="964" t="s">
        <v>462</v>
      </c>
      <c r="FZ8" s="964" t="s">
        <v>462</v>
      </c>
      <c r="GA8" s="964" t="s">
        <v>462</v>
      </c>
      <c r="GB8" s="964" t="s">
        <v>462</v>
      </c>
      <c r="GC8" s="964" t="s">
        <v>463</v>
      </c>
      <c r="GD8" s="964" t="s">
        <v>463</v>
      </c>
      <c r="GE8" s="964" t="s">
        <v>463</v>
      </c>
      <c r="GF8" s="964" t="s">
        <v>463</v>
      </c>
      <c r="GG8" s="964" t="s">
        <v>463</v>
      </c>
      <c r="GH8" s="964" t="s">
        <v>2187</v>
      </c>
      <c r="GI8" s="964" t="s">
        <v>2187</v>
      </c>
      <c r="GJ8" s="964" t="s">
        <v>2187</v>
      </c>
      <c r="GK8" s="964" t="s">
        <v>2187</v>
      </c>
      <c r="GL8" s="964" t="s">
        <v>2187</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1997</v>
      </c>
      <c r="C9" s="737" t="s">
        <v>227</v>
      </c>
      <c r="D9" s="737" t="s">
        <v>229</v>
      </c>
      <c r="E9" s="737" t="s">
        <v>2212</v>
      </c>
      <c r="F9" s="737" t="s">
        <v>1964</v>
      </c>
      <c r="G9" s="737" t="s">
        <v>1965</v>
      </c>
      <c r="H9" s="737" t="s">
        <v>3617</v>
      </c>
      <c r="I9" s="737" t="s">
        <v>1382</v>
      </c>
      <c r="J9" s="684" t="s">
        <v>451</v>
      </c>
      <c r="K9" s="737" t="s">
        <v>2282</v>
      </c>
      <c r="L9" s="737" t="s">
        <v>833</v>
      </c>
      <c r="M9" s="737" t="s">
        <v>2211</v>
      </c>
      <c r="N9" s="737" t="s">
        <v>1997</v>
      </c>
      <c r="O9" s="737" t="s">
        <v>489</v>
      </c>
      <c r="P9" s="738" t="s">
        <v>1664</v>
      </c>
      <c r="Q9" s="738" t="s">
        <v>1665</v>
      </c>
      <c r="R9" s="738"/>
      <c r="S9" s="738" t="s">
        <v>657</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3776</v>
      </c>
      <c r="EV9" s="445" t="s">
        <v>3776</v>
      </c>
      <c r="EW9" s="445" t="s">
        <v>3776</v>
      </c>
      <c r="EX9" s="445" t="s">
        <v>3776</v>
      </c>
      <c r="EY9" s="964"/>
      <c r="EZ9" s="964"/>
      <c r="FA9" s="964"/>
      <c r="FB9" s="964"/>
      <c r="FC9" s="964"/>
      <c r="FD9" s="445" t="s">
        <v>3778</v>
      </c>
      <c r="FE9" s="445" t="s">
        <v>3778</v>
      </c>
      <c r="FF9" s="445" t="s">
        <v>3778</v>
      </c>
      <c r="FG9" s="445" t="s">
        <v>3778</v>
      </c>
      <c r="FH9" s="445" t="s">
        <v>3778</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3</v>
      </c>
      <c r="D10" s="1306">
        <v>2</v>
      </c>
      <c r="E10" s="1307">
        <v>7</v>
      </c>
      <c r="F10" s="1307">
        <v>1300</v>
      </c>
      <c r="G10" s="1307">
        <v>933</v>
      </c>
      <c r="H10" s="1307">
        <v>782</v>
      </c>
      <c r="I10" s="1307">
        <v>192</v>
      </c>
      <c r="J10" s="1308"/>
      <c r="K10" s="226">
        <f>MAX(0,H10-I10)</f>
        <v>590</v>
      </c>
      <c r="L10" s="226">
        <f t="shared" ref="L10:L47" si="0">MAX(0,E10*K10)</f>
        <v>4130</v>
      </c>
      <c r="M10" s="1309" t="s">
        <v>3924</v>
      </c>
      <c r="N10" s="1309" t="s">
        <v>48</v>
      </c>
      <c r="O10" s="1309" t="s">
        <v>3436</v>
      </c>
      <c r="P10" s="581">
        <f>IF(H10="","",H10*12/0.3)</f>
        <v>31280</v>
      </c>
      <c r="Q10" s="582">
        <f>IF(H10="","",P10/($P$6*VLOOKUP(C10,'DCA Underwriting Assumptions'!$J$77:$K$82,2,FALSE)))</f>
        <v>0.44036490595787814</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t="str">
        <f t="shared" ref="AA10:AA47" si="8">IF(AND(C10=2,B10="50% AMI",NOT(M10="Common")),E10,"")</f>
        <v/>
      </c>
      <c r="AB10" s="113">
        <f t="shared" ref="AB10:AB47" si="9">IF(AND(C10=3,B10="50% AMI",NOT(M10="Common")),E10,"")</f>
        <v>7</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t="str">
        <f t="shared" ref="CD10:CD47" si="33">IF(OR(AND(C10=2,B10="50% AMI",NOT(M10="Common")),AND(C10=2,B10="HOME 50% AMI",NOT(M10="Common"))),E10*F10,"")</f>
        <v/>
      </c>
      <c r="CE10" s="113">
        <f t="shared" ref="CE10:CE47" si="34">IF(OR(AND(C10=3,B10="50% AMI",NOT(M10="Common")),AND(C10=3,B10="HOME 50% AMI",NOT(M10="Common"))),E10*F10,"")</f>
        <v>9100</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f t="shared" ref="DD10:DD47" si="59">IF(AND($C10=3, $O10="New Construction",NOT($B10="Unrestricted"),NOT($B10="NSP 120% AMI"),NOT($B10="N/A-CS"),NOT($M10="Common")),$E10,"")</f>
        <v>7</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t="str">
        <f t="shared" ref="EU10:EU47" si="102">IF(AND($C10=1, NOT(OR($N10="SF Detached",$N10="Mfd Home",$N10="Duplex",$N10="Townhome"))),$E10,"")</f>
        <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f t="shared" ref="FQ10:FQ47" si="124">IF(AND($C10=3, $N10="Townhome"),$E10,"")</f>
        <v>7</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133</v>
      </c>
      <c r="C11" s="1311">
        <v>4</v>
      </c>
      <c r="D11" s="1312">
        <v>2.5</v>
      </c>
      <c r="E11" s="1313">
        <v>3</v>
      </c>
      <c r="F11" s="1313">
        <v>1415</v>
      </c>
      <c r="G11" s="1313">
        <v>1041</v>
      </c>
      <c r="H11" s="1313">
        <v>911</v>
      </c>
      <c r="I11" s="1313">
        <v>231</v>
      </c>
      <c r="J11" s="1314"/>
      <c r="K11" s="227">
        <f t="shared" ref="K11:K27" si="172">MAX(0,H11-I11)</f>
        <v>680</v>
      </c>
      <c r="L11" s="227">
        <f t="shared" si="0"/>
        <v>2040</v>
      </c>
      <c r="M11" s="1315" t="s">
        <v>3924</v>
      </c>
      <c r="N11" s="1315" t="s">
        <v>48</v>
      </c>
      <c r="O11" s="1315" t="s">
        <v>3436</v>
      </c>
      <c r="P11" s="581">
        <f>IF(H11="","",H11*12/0.3)</f>
        <v>36440</v>
      </c>
      <c r="Q11" s="582">
        <f>IF(H11="","",P11/($P$6*VLOOKUP(C11,'DCA Underwriting Assumptions'!$J$77:$K$82,2,FALSE)))</f>
        <v>0.45993840561417682</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t="str">
        <f t="shared" si="8"/>
        <v/>
      </c>
      <c r="AB11" s="113" t="str">
        <f t="shared" si="9"/>
        <v/>
      </c>
      <c r="AC11" s="113">
        <f t="shared" si="10"/>
        <v>3</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t="str">
        <f t="shared" si="33"/>
        <v/>
      </c>
      <c r="CE11" s="113" t="str">
        <f t="shared" si="34"/>
        <v/>
      </c>
      <c r="CF11" s="113">
        <f t="shared" si="35"/>
        <v>4245</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f t="shared" si="60"/>
        <v>3</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f t="shared" si="125"/>
        <v>3</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1792</v>
      </c>
      <c r="C12" s="1311">
        <v>3</v>
      </c>
      <c r="D12" s="1312">
        <v>2</v>
      </c>
      <c r="E12" s="1313">
        <v>39</v>
      </c>
      <c r="F12" s="1313">
        <v>1300</v>
      </c>
      <c r="G12" s="1313">
        <v>1120</v>
      </c>
      <c r="H12" s="1313">
        <v>892</v>
      </c>
      <c r="I12" s="1313">
        <v>192</v>
      </c>
      <c r="J12" s="1314"/>
      <c r="K12" s="227">
        <f t="shared" si="172"/>
        <v>700</v>
      </c>
      <c r="L12" s="227">
        <f t="shared" si="0"/>
        <v>27300</v>
      </c>
      <c r="M12" s="1315" t="s">
        <v>3924</v>
      </c>
      <c r="N12" s="1315" t="s">
        <v>48</v>
      </c>
      <c r="O12" s="1315" t="s">
        <v>3436</v>
      </c>
      <c r="P12" s="581">
        <f>IF(H12="","",H12*12/0.3)</f>
        <v>35680</v>
      </c>
      <c r="Q12" s="582">
        <f>IF(H12="","",P12/($P$6*VLOOKUP(C12,'DCA Underwriting Assumptions'!$J$77:$K$82,2,FALSE)))</f>
        <v>0.50230881856064868</v>
      </c>
      <c r="R12" s="738"/>
      <c r="S12" s="659"/>
      <c r="T12" s="113" t="str">
        <f t="shared" si="1"/>
        <v/>
      </c>
      <c r="U12" s="113" t="str">
        <f t="shared" si="2"/>
        <v/>
      </c>
      <c r="V12" s="113" t="str">
        <f t="shared" si="3"/>
        <v/>
      </c>
      <c r="W12" s="113">
        <f t="shared" si="4"/>
        <v>39</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f t="shared" si="29"/>
        <v>50700</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f t="shared" si="59"/>
        <v>39</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f t="shared" si="124"/>
        <v>39</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1792</v>
      </c>
      <c r="C13" s="1311">
        <v>4</v>
      </c>
      <c r="D13" s="1312">
        <v>2.5</v>
      </c>
      <c r="E13" s="1313">
        <v>13</v>
      </c>
      <c r="F13" s="1313">
        <v>1415</v>
      </c>
      <c r="G13" s="1313">
        <v>1249</v>
      </c>
      <c r="H13" s="1313">
        <v>1111</v>
      </c>
      <c r="I13" s="1313">
        <v>231</v>
      </c>
      <c r="J13" s="1314"/>
      <c r="K13" s="227">
        <f t="shared" si="172"/>
        <v>880</v>
      </c>
      <c r="L13" s="227">
        <f t="shared" si="0"/>
        <v>11440</v>
      </c>
      <c r="M13" s="1315" t="s">
        <v>3924</v>
      </c>
      <c r="N13" s="1315" t="s">
        <v>48</v>
      </c>
      <c r="O13" s="1315" t="s">
        <v>3436</v>
      </c>
      <c r="P13" s="581">
        <f>IF(H13="","",H13*12/0.3)</f>
        <v>44440</v>
      </c>
      <c r="Q13" s="582">
        <f>IF(H13="","",P13/($P$6*VLOOKUP(C13,'DCA Underwriting Assumptions'!$J$77:$K$82,2,FALSE)))</f>
        <v>0.56091280860301918</v>
      </c>
      <c r="R13" s="738"/>
      <c r="S13" s="659"/>
      <c r="T13" s="113" t="str">
        <f t="shared" si="1"/>
        <v/>
      </c>
      <c r="U13" s="113" t="str">
        <f t="shared" si="2"/>
        <v/>
      </c>
      <c r="V13" s="113" t="str">
        <f t="shared" si="3"/>
        <v/>
      </c>
      <c r="W13" s="113" t="str">
        <f t="shared" si="4"/>
        <v/>
      </c>
      <c r="X13" s="113">
        <f t="shared" si="5"/>
        <v>13</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f t="shared" si="30"/>
        <v>18395</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f t="shared" si="60"/>
        <v>13</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f t="shared" si="125"/>
        <v>13</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c r="C14" s="1311"/>
      <c r="D14" s="1312"/>
      <c r="E14" s="1313"/>
      <c r="F14" s="1313"/>
      <c r="G14" s="1313"/>
      <c r="H14" s="1313"/>
      <c r="I14" s="1313"/>
      <c r="J14" s="1314"/>
      <c r="K14" s="227">
        <f t="shared" si="172"/>
        <v>0</v>
      </c>
      <c r="L14" s="227">
        <f t="shared" si="0"/>
        <v>0</v>
      </c>
      <c r="M14" s="1315"/>
      <c r="N14" s="1315"/>
      <c r="O14" s="1315"/>
      <c r="P14" s="581" t="str">
        <f>IF(H14="","",H14*12/0.3)</f>
        <v/>
      </c>
      <c r="Q14" s="582" t="str">
        <f>IF(H14="","",P14/($P$6*VLOOKUP(C14,'DCA Underwriting Assumptions'!$J$77:$K$82,2,FALSE)))</f>
        <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c r="C15" s="1311"/>
      <c r="D15" s="1312"/>
      <c r="E15" s="1313"/>
      <c r="F15" s="1313"/>
      <c r="G15" s="1313"/>
      <c r="H15" s="1313"/>
      <c r="I15" s="1313"/>
      <c r="J15" s="1314"/>
      <c r="K15" s="227">
        <f t="shared" si="172"/>
        <v>0</v>
      </c>
      <c r="L15" s="227">
        <f t="shared" si="0"/>
        <v>0</v>
      </c>
      <c r="M15" s="1315"/>
      <c r="N15" s="1315"/>
      <c r="O15" s="1315"/>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1635</v>
      </c>
      <c r="E48" s="170">
        <f>SUM(E10:E47)</f>
        <v>62</v>
      </c>
      <c r="F48" s="171">
        <f>(E10*F10+E11*F11+E12*F12+E13*F13+E14*F14+E15*F15+E16*F16+E17*F17+E18*F18+E19*F19+E20*F20+E21*F21+E22*F22+E23*F23+E24*F24+E25*F25+E26*F26+E27*F27+E28*F28+E29*F29+E30*F30+E31*F31+E32*F32+E33*F33+E34*F34+E35*F35+E36*F36+E37*F37+E38*F38+E39*F39+E40*F40+E41*F41+E42*F42+E43*F43+E44*F44+E45*F45+E46*F46+E47*F47)</f>
        <v>82440</v>
      </c>
      <c r="G48" s="162"/>
      <c r="H48" s="163"/>
      <c r="I48" s="163"/>
      <c r="J48" s="163"/>
      <c r="K48" s="15" t="s">
        <v>2003</v>
      </c>
      <c r="L48" s="169">
        <f>SUM(L10:L47)</f>
        <v>44910</v>
      </c>
      <c r="M48" s="2"/>
      <c r="N48" s="42"/>
      <c r="O48" s="2"/>
      <c r="P48" s="122"/>
      <c r="Q48" s="122"/>
      <c r="R48" s="738"/>
      <c r="S48" s="446"/>
      <c r="T48" s="446">
        <f t="shared" ref="T48:CI48" si="206">SUM(T10:T47)</f>
        <v>0</v>
      </c>
      <c r="U48" s="446">
        <f t="shared" si="206"/>
        <v>0</v>
      </c>
      <c r="V48" s="446">
        <f t="shared" si="206"/>
        <v>0</v>
      </c>
      <c r="W48" s="446">
        <f t="shared" si="206"/>
        <v>39</v>
      </c>
      <c r="X48" s="446">
        <f t="shared" si="206"/>
        <v>13</v>
      </c>
      <c r="Y48" s="446">
        <f t="shared" si="206"/>
        <v>0</v>
      </c>
      <c r="Z48" s="446">
        <f t="shared" si="206"/>
        <v>0</v>
      </c>
      <c r="AA48" s="446">
        <f t="shared" si="206"/>
        <v>0</v>
      </c>
      <c r="AB48" s="446">
        <f t="shared" si="206"/>
        <v>7</v>
      </c>
      <c r="AC48" s="446">
        <f t="shared" si="206"/>
        <v>3</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0</v>
      </c>
      <c r="BY48" s="446">
        <f t="shared" si="206"/>
        <v>0</v>
      </c>
      <c r="BZ48" s="446">
        <f t="shared" si="206"/>
        <v>50700</v>
      </c>
      <c r="CA48" s="446">
        <f t="shared" si="206"/>
        <v>18395</v>
      </c>
      <c r="CB48" s="446">
        <f t="shared" si="206"/>
        <v>0</v>
      </c>
      <c r="CC48" s="446">
        <f t="shared" si="206"/>
        <v>0</v>
      </c>
      <c r="CD48" s="446">
        <f t="shared" si="206"/>
        <v>0</v>
      </c>
      <c r="CE48" s="446">
        <f t="shared" si="206"/>
        <v>9100</v>
      </c>
      <c r="CF48" s="446">
        <f t="shared" si="206"/>
        <v>4245</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46</v>
      </c>
      <c r="DE48" s="446">
        <f t="shared" si="208"/>
        <v>16</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0</v>
      </c>
      <c r="EV48" s="446">
        <f t="shared" si="209"/>
        <v>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46</v>
      </c>
      <c r="FR48" s="446">
        <f t="shared" si="209"/>
        <v>16</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1397</v>
      </c>
      <c r="L49" s="169">
        <f>L48*12</f>
        <v>538920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3649</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1230</v>
      </c>
      <c r="B54" s="16" t="s">
        <v>828</v>
      </c>
      <c r="O54" s="113"/>
      <c r="Q54" s="972" t="str">
        <f>IF(SUM(Q57:Q98)&gt;0,"ERROR Between Rent Schedule &amp; Unit Summary:", "")</f>
        <v/>
      </c>
      <c r="R54" s="678" t="s">
        <v>1230</v>
      </c>
      <c r="S54" s="678" t="s">
        <v>828</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1777</v>
      </c>
      <c r="H56" s="164" t="s">
        <v>866</v>
      </c>
      <c r="I56" s="164" t="s">
        <v>829</v>
      </c>
      <c r="J56" s="164" t="s">
        <v>830</v>
      </c>
      <c r="K56" s="164" t="s">
        <v>831</v>
      </c>
      <c r="L56" s="164" t="s">
        <v>832</v>
      </c>
      <c r="M56" s="164" t="s">
        <v>833</v>
      </c>
      <c r="O56" s="113"/>
      <c r="Q56" s="973"/>
      <c r="R56" s="172"/>
      <c r="S56" s="678" t="s">
        <v>1777</v>
      </c>
      <c r="T56" s="207"/>
      <c r="U56" s="207"/>
      <c r="V56" s="207"/>
      <c r="W56" s="207"/>
      <c r="X56" s="207"/>
      <c r="Y56" s="679" t="s">
        <v>866</v>
      </c>
      <c r="Z56" s="679" t="s">
        <v>829</v>
      </c>
      <c r="AA56" s="679" t="s">
        <v>830</v>
      </c>
      <c r="AB56" s="679" t="s">
        <v>831</v>
      </c>
      <c r="AC56" s="679" t="s">
        <v>832</v>
      </c>
      <c r="AD56" s="679" t="s">
        <v>833</v>
      </c>
      <c r="AE56" s="207"/>
      <c r="AF56" s="122"/>
      <c r="GU56" s="172"/>
      <c r="HJ56" s="113"/>
    </row>
    <row r="57" spans="1:221" ht="15" customHeight="1">
      <c r="C57" s="2" t="s">
        <v>1779</v>
      </c>
      <c r="D57" s="2"/>
      <c r="E57" s="2"/>
      <c r="F57" s="2"/>
      <c r="G57" s="46" t="s">
        <v>1792</v>
      </c>
      <c r="H57" s="381">
        <f>T48</f>
        <v>0</v>
      </c>
      <c r="I57" s="381">
        <f>U48</f>
        <v>0</v>
      </c>
      <c r="J57" s="381">
        <f>V48</f>
        <v>0</v>
      </c>
      <c r="K57" s="381">
        <f>W48</f>
        <v>39</v>
      </c>
      <c r="L57" s="381">
        <f>X48</f>
        <v>13</v>
      </c>
      <c r="M57" s="381">
        <f t="shared" ref="M57:M63" si="211">SUM(H57:L57)</f>
        <v>52</v>
      </c>
      <c r="N57" s="976" t="s">
        <v>1484</v>
      </c>
      <c r="O57" s="977"/>
      <c r="P57" s="739"/>
      <c r="Q57" s="680">
        <f t="shared" ref="Q57:Q63" si="212">ABS(M57-AD57)</f>
        <v>0</v>
      </c>
      <c r="S57" s="207"/>
      <c r="T57" s="447" t="s">
        <v>1779</v>
      </c>
      <c r="U57" s="447"/>
      <c r="V57" s="447"/>
      <c r="W57" s="447"/>
      <c r="X57" s="448" t="s">
        <v>1792</v>
      </c>
      <c r="Y57" s="449">
        <f>T48</f>
        <v>0</v>
      </c>
      <c r="Z57" s="449">
        <f>U48</f>
        <v>0</v>
      </c>
      <c r="AA57" s="449">
        <f>V48</f>
        <v>0</v>
      </c>
      <c r="AB57" s="449">
        <f>W48</f>
        <v>39</v>
      </c>
      <c r="AC57" s="449">
        <f>X48</f>
        <v>13</v>
      </c>
      <c r="AD57" s="449">
        <f t="shared" ref="AD57:AD63" si="213">SUM(Y57:AC57)</f>
        <v>52</v>
      </c>
      <c r="AE57" s="448" t="s">
        <v>1556</v>
      </c>
      <c r="AF57" s="122"/>
      <c r="GU57" s="172"/>
      <c r="HJ57" s="113"/>
    </row>
    <row r="58" spans="1:221" ht="15" customHeight="1">
      <c r="A58" s="963" t="s">
        <v>653</v>
      </c>
      <c r="B58" s="963"/>
      <c r="C58" s="5"/>
      <c r="D58" s="2"/>
      <c r="E58" s="2"/>
      <c r="F58" s="2"/>
      <c r="G58" s="46" t="s">
        <v>133</v>
      </c>
      <c r="H58" s="382">
        <f>Y48</f>
        <v>0</v>
      </c>
      <c r="I58" s="382">
        <f>Z48</f>
        <v>0</v>
      </c>
      <c r="J58" s="382">
        <f>AA48</f>
        <v>0</v>
      </c>
      <c r="K58" s="382">
        <f>AB48</f>
        <v>7</v>
      </c>
      <c r="L58" s="382">
        <f>AC48</f>
        <v>3</v>
      </c>
      <c r="M58" s="382">
        <f t="shared" si="211"/>
        <v>10</v>
      </c>
      <c r="N58" s="976"/>
      <c r="O58" s="977"/>
      <c r="P58" s="739"/>
      <c r="Q58" s="680">
        <f t="shared" si="212"/>
        <v>0</v>
      </c>
      <c r="S58" s="207"/>
      <c r="T58" s="231"/>
      <c r="U58" s="447"/>
      <c r="V58" s="447"/>
      <c r="W58" s="447"/>
      <c r="X58" s="448" t="s">
        <v>133</v>
      </c>
      <c r="Y58" s="449">
        <f>Y48</f>
        <v>0</v>
      </c>
      <c r="Z58" s="449">
        <f>Z48</f>
        <v>0</v>
      </c>
      <c r="AA58" s="449">
        <f>AA48</f>
        <v>0</v>
      </c>
      <c r="AB58" s="449">
        <f>AB48</f>
        <v>7</v>
      </c>
      <c r="AC58" s="449">
        <f>AC48</f>
        <v>3</v>
      </c>
      <c r="AD58" s="449">
        <f t="shared" si="213"/>
        <v>10</v>
      </c>
      <c r="AE58" s="448"/>
      <c r="AF58" s="122"/>
      <c r="GU58" s="172"/>
      <c r="HJ58" s="113"/>
    </row>
    <row r="59" spans="1:221" ht="15" customHeight="1">
      <c r="A59" s="963"/>
      <c r="B59" s="963"/>
      <c r="C59" s="5"/>
      <c r="D59" s="2"/>
      <c r="E59" s="2"/>
      <c r="F59" s="2"/>
      <c r="G59" s="46" t="s">
        <v>833</v>
      </c>
      <c r="H59" s="383">
        <f>SUM(H57:H58)</f>
        <v>0</v>
      </c>
      <c r="I59" s="383">
        <f>SUM(I57:I58)</f>
        <v>0</v>
      </c>
      <c r="J59" s="383">
        <f>SUM(J57:J58)</f>
        <v>0</v>
      </c>
      <c r="K59" s="383">
        <f>SUM(K57:K58)</f>
        <v>46</v>
      </c>
      <c r="L59" s="383">
        <f>SUM(L57:L58)</f>
        <v>16</v>
      </c>
      <c r="M59" s="383">
        <f t="shared" si="211"/>
        <v>62</v>
      </c>
      <c r="N59" s="386"/>
      <c r="O59" s="113"/>
      <c r="Q59" s="680">
        <f t="shared" si="212"/>
        <v>0</v>
      </c>
      <c r="S59" s="207"/>
      <c r="T59" s="231"/>
      <c r="U59" s="447"/>
      <c r="V59" s="447"/>
      <c r="W59" s="447"/>
      <c r="X59" s="448" t="s">
        <v>833</v>
      </c>
      <c r="Y59" s="449">
        <f>SUM(Y57:Y58)</f>
        <v>0</v>
      </c>
      <c r="Z59" s="449">
        <f>SUM(Z57:Z58)</f>
        <v>0</v>
      </c>
      <c r="AA59" s="449">
        <f>SUM(AA57:AA58)</f>
        <v>0</v>
      </c>
      <c r="AB59" s="449">
        <f>SUM(AB57:AB58)</f>
        <v>46</v>
      </c>
      <c r="AC59" s="449">
        <f>SUM(AC57:AC58)</f>
        <v>16</v>
      </c>
      <c r="AD59" s="449">
        <f t="shared" si="213"/>
        <v>62</v>
      </c>
      <c r="AE59" s="448"/>
      <c r="AF59" s="122"/>
      <c r="GU59" s="172"/>
      <c r="HJ59" s="113"/>
    </row>
    <row r="60" spans="1:221" ht="15" customHeight="1">
      <c r="A60" s="963"/>
      <c r="B60" s="963"/>
      <c r="C60" s="2" t="s">
        <v>397</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397</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3"/>
      <c r="B61" s="963"/>
      <c r="C61" s="2" t="s">
        <v>1780</v>
      </c>
      <c r="D61" s="2"/>
      <c r="E61" s="2"/>
      <c r="F61" s="2"/>
      <c r="G61" s="46"/>
      <c r="H61" s="383">
        <f>SUM(H59:H60)</f>
        <v>0</v>
      </c>
      <c r="I61" s="383">
        <f>SUM(I59:I60)</f>
        <v>0</v>
      </c>
      <c r="J61" s="383">
        <f>SUM(J59:J60)</f>
        <v>0</v>
      </c>
      <c r="K61" s="383">
        <f>SUM(K59:K60)</f>
        <v>46</v>
      </c>
      <c r="L61" s="383">
        <f>SUM(L59:L60)</f>
        <v>16</v>
      </c>
      <c r="M61" s="383">
        <f t="shared" si="211"/>
        <v>62</v>
      </c>
      <c r="N61" s="68"/>
      <c r="O61" s="113"/>
      <c r="Q61" s="680">
        <f t="shared" si="212"/>
        <v>0</v>
      </c>
      <c r="S61" s="207"/>
      <c r="T61" s="447" t="s">
        <v>1780</v>
      </c>
      <c r="U61" s="447"/>
      <c r="V61" s="447"/>
      <c r="W61" s="447"/>
      <c r="X61" s="448"/>
      <c r="Y61" s="449">
        <f>SUM(Y59:Y60)</f>
        <v>0</v>
      </c>
      <c r="Z61" s="449">
        <f>SUM(Z59:Z60)</f>
        <v>0</v>
      </c>
      <c r="AA61" s="449">
        <f>SUM(AA59:AA60)</f>
        <v>0</v>
      </c>
      <c r="AB61" s="449">
        <f>SUM(AB59:AB60)</f>
        <v>46</v>
      </c>
      <c r="AC61" s="449">
        <f>SUM(AC59:AC60)</f>
        <v>16</v>
      </c>
      <c r="AD61" s="449">
        <f t="shared" si="213"/>
        <v>62</v>
      </c>
      <c r="AE61" s="450"/>
      <c r="AF61" s="122"/>
      <c r="GU61" s="172"/>
      <c r="HJ61" s="113"/>
    </row>
    <row r="62" spans="1:221" ht="15" customHeight="1">
      <c r="A62" s="963"/>
      <c r="B62" s="963"/>
      <c r="C62" s="2" t="s">
        <v>3798</v>
      </c>
      <c r="D62" s="2"/>
      <c r="E62" s="2"/>
      <c r="F62" s="2"/>
      <c r="G62" s="46"/>
      <c r="H62" s="383">
        <f>BR48</f>
        <v>0</v>
      </c>
      <c r="I62" s="383">
        <f>BS48</f>
        <v>0</v>
      </c>
      <c r="J62" s="383">
        <f>BT48</f>
        <v>0</v>
      </c>
      <c r="K62" s="383">
        <f>BU48</f>
        <v>0</v>
      </c>
      <c r="L62" s="383">
        <f>BV48</f>
        <v>0</v>
      </c>
      <c r="M62" s="383">
        <f t="shared" si="211"/>
        <v>0</v>
      </c>
      <c r="N62" s="65" t="s">
        <v>3329</v>
      </c>
      <c r="O62" s="113"/>
      <c r="Q62" s="680">
        <f t="shared" si="212"/>
        <v>0</v>
      </c>
      <c r="S62" s="207"/>
      <c r="T62" s="447" t="s">
        <v>3798</v>
      </c>
      <c r="U62" s="447"/>
      <c r="V62" s="447"/>
      <c r="W62" s="447"/>
      <c r="X62" s="448"/>
      <c r="Y62" s="449">
        <f>BR48</f>
        <v>0</v>
      </c>
      <c r="Z62" s="449">
        <f>BS48</f>
        <v>0</v>
      </c>
      <c r="AA62" s="449">
        <f>BT48</f>
        <v>0</v>
      </c>
      <c r="AB62" s="449">
        <f>BU48</f>
        <v>0</v>
      </c>
      <c r="AC62" s="449">
        <f>BV48</f>
        <v>0</v>
      </c>
      <c r="AD62" s="449">
        <f t="shared" si="213"/>
        <v>0</v>
      </c>
      <c r="AE62" s="448" t="s">
        <v>841</v>
      </c>
      <c r="AF62" s="122"/>
      <c r="GU62" s="172"/>
      <c r="HJ62" s="113"/>
    </row>
    <row r="63" spans="1:221" ht="15" customHeight="1">
      <c r="A63" s="963"/>
      <c r="B63" s="963"/>
      <c r="C63" s="2" t="s">
        <v>833</v>
      </c>
      <c r="D63" s="2"/>
      <c r="E63" s="2"/>
      <c r="F63" s="2"/>
      <c r="G63" s="46"/>
      <c r="H63" s="383">
        <f>SUM(H61:H62)</f>
        <v>0</v>
      </c>
      <c r="I63" s="383">
        <f>SUM(I61:I62)</f>
        <v>0</v>
      </c>
      <c r="J63" s="383">
        <f>SUM(J61:J62)</f>
        <v>0</v>
      </c>
      <c r="K63" s="383">
        <f>SUM(K61:K62)</f>
        <v>46</v>
      </c>
      <c r="L63" s="383">
        <f>SUM(L61:L62)</f>
        <v>16</v>
      </c>
      <c r="M63" s="383">
        <f t="shared" si="211"/>
        <v>62</v>
      </c>
      <c r="O63" s="113"/>
      <c r="Q63" s="680">
        <f t="shared" si="212"/>
        <v>0</v>
      </c>
      <c r="S63" s="207"/>
      <c r="T63" s="447" t="s">
        <v>833</v>
      </c>
      <c r="U63" s="447"/>
      <c r="V63" s="447"/>
      <c r="W63" s="447"/>
      <c r="X63" s="448"/>
      <c r="Y63" s="449">
        <f>SUM(Y61:Y62)</f>
        <v>0</v>
      </c>
      <c r="Z63" s="449">
        <f>SUM(Z61:Z62)</f>
        <v>0</v>
      </c>
      <c r="AA63" s="449">
        <f>SUM(AA61:AA62)</f>
        <v>0</v>
      </c>
      <c r="AB63" s="449">
        <f>SUM(AB61:AB62)</f>
        <v>46</v>
      </c>
      <c r="AC63" s="449">
        <f>SUM(AC61:AC62)</f>
        <v>16</v>
      </c>
      <c r="AD63" s="449">
        <f t="shared" si="213"/>
        <v>62</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1530</v>
      </c>
      <c r="D65" s="2"/>
      <c r="E65" s="147"/>
      <c r="F65" s="2"/>
      <c r="G65" s="46" t="s">
        <v>1792</v>
      </c>
      <c r="H65" s="381">
        <f>AX48</f>
        <v>0</v>
      </c>
      <c r="I65" s="381">
        <f>AY48</f>
        <v>0</v>
      </c>
      <c r="J65" s="381">
        <f>AZ48</f>
        <v>0</v>
      </c>
      <c r="K65" s="381">
        <f>BA48</f>
        <v>0</v>
      </c>
      <c r="L65" s="381">
        <f>BB48</f>
        <v>0</v>
      </c>
      <c r="M65" s="381">
        <f>SUM(H65:L65)</f>
        <v>0</v>
      </c>
      <c r="N65" s="65"/>
      <c r="O65" s="113"/>
      <c r="Q65" s="680">
        <f>ABS(M65-AD65)</f>
        <v>0</v>
      </c>
      <c r="S65" s="207"/>
      <c r="T65" s="447" t="s">
        <v>1530</v>
      </c>
      <c r="U65" s="447"/>
      <c r="V65" s="451"/>
      <c r="W65" s="447"/>
      <c r="X65" s="448" t="s">
        <v>1792</v>
      </c>
      <c r="Y65" s="449">
        <f>AX48</f>
        <v>0</v>
      </c>
      <c r="Z65" s="449">
        <f>AY48</f>
        <v>0</v>
      </c>
      <c r="AA65" s="449">
        <f>AZ48</f>
        <v>0</v>
      </c>
      <c r="AB65" s="449">
        <f>BA48</f>
        <v>0</v>
      </c>
      <c r="AC65" s="449">
        <f>BB48</f>
        <v>0</v>
      </c>
      <c r="AD65" s="449">
        <f>SUM(Y65:AC65)</f>
        <v>0</v>
      </c>
      <c r="AE65" s="448"/>
      <c r="AF65" s="122"/>
      <c r="GU65" s="172"/>
      <c r="HJ65" s="113"/>
    </row>
    <row r="66" spans="1:218" ht="15" customHeight="1">
      <c r="A66" s="963"/>
      <c r="B66" s="963"/>
      <c r="C66" s="46" t="s">
        <v>3799</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3799</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63"/>
      <c r="B67" s="963"/>
      <c r="C67" s="5"/>
      <c r="D67" s="2"/>
      <c r="E67" s="147"/>
      <c r="F67" s="2"/>
      <c r="G67" s="46" t="s">
        <v>833</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833</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1483</v>
      </c>
      <c r="D69" s="2"/>
      <c r="E69" s="147"/>
      <c r="F69" s="2"/>
      <c r="G69" s="46" t="s">
        <v>1792</v>
      </c>
      <c r="H69" s="381">
        <f>BM48</f>
        <v>0</v>
      </c>
      <c r="I69" s="381">
        <f>BN48</f>
        <v>0</v>
      </c>
      <c r="J69" s="381">
        <f>BO48</f>
        <v>0</v>
      </c>
      <c r="K69" s="381">
        <f>BP48</f>
        <v>0</v>
      </c>
      <c r="L69" s="381">
        <f>BQ48</f>
        <v>0</v>
      </c>
      <c r="M69" s="381">
        <f>SUM(H69:L69)</f>
        <v>0</v>
      </c>
      <c r="N69" s="65"/>
      <c r="O69" s="113"/>
      <c r="Q69" s="680">
        <f>ABS(M69-AD69)</f>
        <v>0</v>
      </c>
      <c r="S69" s="207"/>
      <c r="T69" s="122" t="s">
        <v>1483</v>
      </c>
      <c r="U69" s="447"/>
      <c r="V69" s="451"/>
      <c r="W69" s="447"/>
      <c r="X69" s="448" t="s">
        <v>1792</v>
      </c>
      <c r="Y69" s="449">
        <f>BM48</f>
        <v>0</v>
      </c>
      <c r="Z69" s="449">
        <f>BN48</f>
        <v>0</v>
      </c>
      <c r="AA69" s="449">
        <f>BO48</f>
        <v>0</v>
      </c>
      <c r="AB69" s="449">
        <f>BP48</f>
        <v>0</v>
      </c>
      <c r="AC69" s="449">
        <f>BQ48</f>
        <v>0</v>
      </c>
      <c r="AD69" s="449">
        <f>SUM(Y69:AC69)</f>
        <v>0</v>
      </c>
      <c r="AE69" s="448"/>
      <c r="AF69" s="122"/>
      <c r="GU69" s="172"/>
      <c r="HJ69" s="113"/>
    </row>
    <row r="70" spans="1:218" ht="15" customHeight="1">
      <c r="A70" s="963"/>
      <c r="B70" s="963"/>
      <c r="C70" s="46" t="s">
        <v>3799</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3799</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63"/>
      <c r="B71" s="963"/>
      <c r="C71" s="5"/>
      <c r="D71" s="2"/>
      <c r="E71" s="147"/>
      <c r="F71" s="2"/>
      <c r="G71" s="46" t="s">
        <v>833</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833</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3"/>
      <c r="B72" s="963"/>
      <c r="C72" s="2" t="s">
        <v>44</v>
      </c>
      <c r="D72" s="2"/>
      <c r="E72" s="147"/>
      <c r="F72" s="2"/>
      <c r="G72" s="46"/>
      <c r="H72" s="15"/>
      <c r="I72" s="15"/>
      <c r="J72" s="15"/>
      <c r="K72" s="15"/>
      <c r="L72" s="15"/>
      <c r="M72" s="15"/>
      <c r="O72" s="113"/>
      <c r="Q72" s="680"/>
      <c r="S72" s="207"/>
      <c r="T72" s="447" t="s">
        <v>3236</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3436</v>
      </c>
      <c r="F73" s="2"/>
      <c r="G73" s="46" t="s">
        <v>2155</v>
      </c>
      <c r="H73" s="381">
        <f>DA48</f>
        <v>0</v>
      </c>
      <c r="I73" s="381">
        <f>DB48</f>
        <v>0</v>
      </c>
      <c r="J73" s="381">
        <f>DC48</f>
        <v>0</v>
      </c>
      <c r="K73" s="381">
        <f>DD48</f>
        <v>46</v>
      </c>
      <c r="L73" s="381">
        <f>DE48</f>
        <v>16</v>
      </c>
      <c r="M73" s="381">
        <f t="shared" ref="M73:M83" si="214">SUM(H73:L73)</f>
        <v>62</v>
      </c>
      <c r="N73" s="31"/>
      <c r="O73" s="113"/>
      <c r="Q73" s="680">
        <f t="shared" ref="Q73:Q81" si="215">ABS(M73-AD73)</f>
        <v>0</v>
      </c>
      <c r="S73" s="207"/>
      <c r="T73" s="447"/>
      <c r="U73" s="447"/>
      <c r="V73" s="451" t="s">
        <v>3436</v>
      </c>
      <c r="W73" s="447"/>
      <c r="X73" s="448" t="s">
        <v>2155</v>
      </c>
      <c r="Y73" s="449">
        <f>DA48</f>
        <v>0</v>
      </c>
      <c r="Z73" s="449">
        <f>DB48</f>
        <v>0</v>
      </c>
      <c r="AA73" s="449">
        <f>DC48</f>
        <v>0</v>
      </c>
      <c r="AB73" s="449">
        <f>DD48</f>
        <v>46</v>
      </c>
      <c r="AC73" s="449">
        <f>DE48</f>
        <v>16</v>
      </c>
      <c r="AD73" s="449">
        <f t="shared" ref="AD73:AD81" si="216">SUM(Y73:AC73)</f>
        <v>62</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397</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2154</v>
      </c>
      <c r="Y74" s="449">
        <f>DF48</f>
        <v>0</v>
      </c>
      <c r="Z74" s="449">
        <f>DG48</f>
        <v>0</v>
      </c>
      <c r="AA74" s="449">
        <f>DH48</f>
        <v>0</v>
      </c>
      <c r="AB74" s="449">
        <f>DI48</f>
        <v>0</v>
      </c>
      <c r="AC74" s="449">
        <f>DJ48</f>
        <v>0</v>
      </c>
      <c r="AD74" s="449">
        <f t="shared" si="216"/>
        <v>0</v>
      </c>
      <c r="AE74" s="450"/>
      <c r="AF74" s="122"/>
      <c r="GU74" s="172"/>
      <c r="HJ74" s="113"/>
    </row>
    <row r="75" spans="1:218" ht="15" customHeight="1">
      <c r="A75" s="963"/>
      <c r="B75" s="963"/>
      <c r="C75" s="5"/>
      <c r="D75" s="2"/>
      <c r="E75" s="147"/>
      <c r="F75" s="2"/>
      <c r="G75" s="46" t="s">
        <v>34</v>
      </c>
      <c r="H75" s="383">
        <f>SUM(H73:H74)+DK48</f>
        <v>0</v>
      </c>
      <c r="I75" s="383">
        <f>SUM(I73:I74)+DL48</f>
        <v>0</v>
      </c>
      <c r="J75" s="383">
        <f>SUM(J73:J74)+DM48</f>
        <v>0</v>
      </c>
      <c r="K75" s="383">
        <f>SUM(K73:K74)+DN48</f>
        <v>46</v>
      </c>
      <c r="L75" s="383">
        <f>SUM(L73:L74)+DO48</f>
        <v>16</v>
      </c>
      <c r="M75" s="383">
        <f t="shared" si="214"/>
        <v>62</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46</v>
      </c>
      <c r="AC75" s="449">
        <f>SUM(AC73:AC74)+DO48</f>
        <v>16</v>
      </c>
      <c r="AD75" s="449">
        <f t="shared" si="216"/>
        <v>62</v>
      </c>
      <c r="AE75" s="448"/>
      <c r="AF75" s="122"/>
      <c r="GU75" s="172"/>
      <c r="HJ75" s="113"/>
    </row>
    <row r="76" spans="1:218" ht="15" customHeight="1">
      <c r="A76" s="963"/>
      <c r="B76" s="963"/>
      <c r="C76" s="2"/>
      <c r="D76" s="2"/>
      <c r="E76" s="140" t="s">
        <v>3238</v>
      </c>
      <c r="F76" s="2"/>
      <c r="G76" s="46" t="s">
        <v>2155</v>
      </c>
      <c r="H76" s="381">
        <f>DP48</f>
        <v>0</v>
      </c>
      <c r="I76" s="381">
        <f>DQ48</f>
        <v>0</v>
      </c>
      <c r="J76" s="381">
        <f>DR48</f>
        <v>0</v>
      </c>
      <c r="K76" s="381">
        <f>DS48</f>
        <v>0</v>
      </c>
      <c r="L76" s="381">
        <f>DT48</f>
        <v>0</v>
      </c>
      <c r="M76" s="381">
        <f t="shared" si="214"/>
        <v>0</v>
      </c>
      <c r="N76" s="31"/>
      <c r="O76" s="113"/>
      <c r="Q76" s="680">
        <f t="shared" si="215"/>
        <v>0</v>
      </c>
      <c r="S76" s="207"/>
      <c r="T76" s="447"/>
      <c r="U76" s="447"/>
      <c r="V76" s="451" t="s">
        <v>3238</v>
      </c>
      <c r="W76" s="447"/>
      <c r="X76" s="448" t="s">
        <v>2155</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397</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2154</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2132</v>
      </c>
      <c r="F79" s="980"/>
      <c r="G79" s="46" t="s">
        <v>2155</v>
      </c>
      <c r="H79" s="381">
        <f>EE48</f>
        <v>0</v>
      </c>
      <c r="I79" s="381">
        <f>EF48</f>
        <v>0</v>
      </c>
      <c r="J79" s="381">
        <f>EG48</f>
        <v>0</v>
      </c>
      <c r="K79" s="381">
        <f>EH48</f>
        <v>0</v>
      </c>
      <c r="L79" s="381">
        <f>EI48</f>
        <v>0</v>
      </c>
      <c r="M79" s="381">
        <f t="shared" si="214"/>
        <v>0</v>
      </c>
      <c r="N79" s="31"/>
      <c r="O79" s="113"/>
      <c r="Q79" s="680">
        <f t="shared" si="215"/>
        <v>0</v>
      </c>
      <c r="S79" s="207"/>
      <c r="T79" s="447"/>
      <c r="U79" s="447"/>
      <c r="V79" s="451" t="s">
        <v>3142</v>
      </c>
      <c r="W79" s="447"/>
      <c r="X79" s="448" t="s">
        <v>2155</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397</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2154</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469</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470</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0</v>
      </c>
      <c r="J85" s="381">
        <f>EV48</f>
        <v>0</v>
      </c>
      <c r="K85" s="381">
        <f>EW48</f>
        <v>0</v>
      </c>
      <c r="L85" s="381">
        <f>EX48</f>
        <v>0</v>
      </c>
      <c r="M85" s="381">
        <f>SUM(H85:L85)</f>
        <v>0</v>
      </c>
      <c r="N85" s="31"/>
      <c r="O85" s="113"/>
      <c r="Q85" s="680">
        <f>ABS(M85-AD85)</f>
        <v>0</v>
      </c>
      <c r="S85" s="207"/>
      <c r="T85" s="122"/>
      <c r="U85" s="122"/>
      <c r="V85" s="451" t="s">
        <v>46</v>
      </c>
      <c r="W85" s="122"/>
      <c r="X85" s="448"/>
      <c r="Y85" s="449">
        <f>ET48</f>
        <v>0</v>
      </c>
      <c r="Z85" s="449">
        <f>EU48</f>
        <v>0</v>
      </c>
      <c r="AA85" s="449">
        <f>EV48</f>
        <v>0</v>
      </c>
      <c r="AB85" s="449">
        <f>EW48</f>
        <v>0</v>
      </c>
      <c r="AC85" s="449">
        <f>EX48</f>
        <v>0</v>
      </c>
      <c r="AD85" s="449">
        <f>SUM(Y85:AC85)</f>
        <v>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46</v>
      </c>
      <c r="L87" s="382">
        <f>FR48</f>
        <v>16</v>
      </c>
      <c r="M87" s="382">
        <f>SUM(H87:L87)</f>
        <v>62</v>
      </c>
      <c r="N87" s="31"/>
      <c r="O87" s="113"/>
      <c r="Q87" s="680">
        <f>ABS(M87-AD87)</f>
        <v>0</v>
      </c>
      <c r="S87" s="207"/>
      <c r="T87" s="122"/>
      <c r="U87" s="122"/>
      <c r="V87" s="451" t="s">
        <v>48</v>
      </c>
      <c r="W87" s="122"/>
      <c r="X87" s="448"/>
      <c r="Y87" s="449">
        <f>FN48</f>
        <v>0</v>
      </c>
      <c r="Z87" s="449">
        <f>FO48</f>
        <v>0</v>
      </c>
      <c r="AA87" s="449">
        <f>FP48</f>
        <v>0</v>
      </c>
      <c r="AB87" s="449">
        <f>FQ48</f>
        <v>46</v>
      </c>
      <c r="AC87" s="449">
        <f>FR48</f>
        <v>16</v>
      </c>
      <c r="AD87" s="449">
        <f>SUM(Y87:AC87)</f>
        <v>62</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863</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863</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864</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864</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3270</v>
      </c>
      <c r="C91" s="2"/>
      <c r="D91" s="2"/>
      <c r="E91" s="2"/>
      <c r="F91" s="2"/>
      <c r="G91" s="46"/>
      <c r="H91" s="2"/>
      <c r="I91" s="2"/>
      <c r="J91" s="2"/>
      <c r="K91" s="2"/>
      <c r="L91" s="2"/>
      <c r="M91" s="2"/>
      <c r="O91" s="113"/>
      <c r="Q91" s="680"/>
      <c r="R91" s="172"/>
      <c r="S91" s="678" t="s">
        <v>1778</v>
      </c>
      <c r="T91" s="447"/>
      <c r="U91" s="447"/>
      <c r="V91" s="447"/>
      <c r="W91" s="447"/>
      <c r="X91" s="448"/>
      <c r="Y91" s="447"/>
      <c r="Z91" s="447"/>
      <c r="AA91" s="447"/>
      <c r="AB91" s="447"/>
      <c r="AC91" s="447"/>
      <c r="AD91" s="447"/>
      <c r="AE91" s="207"/>
      <c r="AF91" s="122"/>
      <c r="GU91" s="172"/>
      <c r="HJ91" s="113"/>
    </row>
    <row r="92" spans="1:218" ht="15" customHeight="1">
      <c r="C92" s="6" t="s">
        <v>3237</v>
      </c>
      <c r="D92" s="2"/>
      <c r="E92" s="2"/>
      <c r="F92" s="2"/>
      <c r="G92" s="46" t="s">
        <v>1792</v>
      </c>
      <c r="H92" s="223">
        <f>BW48</f>
        <v>0</v>
      </c>
      <c r="I92" s="223">
        <f>BX48</f>
        <v>0</v>
      </c>
      <c r="J92" s="223">
        <f>BY48</f>
        <v>0</v>
      </c>
      <c r="K92" s="223">
        <f>BZ48</f>
        <v>50700</v>
      </c>
      <c r="L92" s="223">
        <f>CA48</f>
        <v>18395</v>
      </c>
      <c r="M92" s="223">
        <f t="shared" ref="M92:M98" si="217">SUM(H92:L92)</f>
        <v>69095</v>
      </c>
      <c r="O92" s="113"/>
      <c r="Q92" s="680">
        <f t="shared" ref="Q92:Q98" si="218">ABS(M92-AD92)</f>
        <v>0</v>
      </c>
      <c r="S92" s="207"/>
      <c r="T92" s="447" t="s">
        <v>3237</v>
      </c>
      <c r="U92" s="447"/>
      <c r="V92" s="447"/>
      <c r="W92" s="447"/>
      <c r="X92" s="448" t="s">
        <v>1792</v>
      </c>
      <c r="Y92" s="449">
        <f>BW48</f>
        <v>0</v>
      </c>
      <c r="Z92" s="449">
        <f>BX48</f>
        <v>0</v>
      </c>
      <c r="AA92" s="449">
        <f>BY48</f>
        <v>0</v>
      </c>
      <c r="AB92" s="449">
        <f>BZ48</f>
        <v>50700</v>
      </c>
      <c r="AC92" s="449">
        <f>CA48</f>
        <v>18395</v>
      </c>
      <c r="AD92" s="449">
        <f t="shared" ref="AD92:AD98" si="219">SUM(Y92:AC92)</f>
        <v>69095</v>
      </c>
      <c r="AE92" s="207"/>
      <c r="AF92" s="122"/>
      <c r="GU92" s="172"/>
      <c r="HJ92" s="113"/>
    </row>
    <row r="93" spans="1:218" ht="15" customHeight="1">
      <c r="C93" s="5"/>
      <c r="D93" s="2"/>
      <c r="E93" s="2"/>
      <c r="F93" s="2"/>
      <c r="G93" s="46" t="s">
        <v>133</v>
      </c>
      <c r="H93" s="225">
        <f>CB48</f>
        <v>0</v>
      </c>
      <c r="I93" s="225">
        <f>CC48</f>
        <v>0</v>
      </c>
      <c r="J93" s="225">
        <f>CD48</f>
        <v>0</v>
      </c>
      <c r="K93" s="225">
        <f>CE48</f>
        <v>9100</v>
      </c>
      <c r="L93" s="225">
        <f>CF48</f>
        <v>4245</v>
      </c>
      <c r="M93" s="225">
        <f t="shared" si="217"/>
        <v>13345</v>
      </c>
      <c r="N93" s="6"/>
      <c r="O93" s="113"/>
      <c r="Q93" s="680">
        <f t="shared" si="218"/>
        <v>0</v>
      </c>
      <c r="S93" s="207"/>
      <c r="T93" s="231"/>
      <c r="U93" s="447"/>
      <c r="V93" s="447"/>
      <c r="W93" s="447"/>
      <c r="X93" s="448" t="s">
        <v>133</v>
      </c>
      <c r="Y93" s="449">
        <f>CB48</f>
        <v>0</v>
      </c>
      <c r="Z93" s="449">
        <f>CC48</f>
        <v>0</v>
      </c>
      <c r="AA93" s="449">
        <f>CD48</f>
        <v>0</v>
      </c>
      <c r="AB93" s="449">
        <f>CE48</f>
        <v>9100</v>
      </c>
      <c r="AC93" s="449">
        <f>CF48</f>
        <v>4245</v>
      </c>
      <c r="AD93" s="449">
        <f t="shared" si="219"/>
        <v>13345</v>
      </c>
      <c r="AE93" s="447"/>
      <c r="AF93" s="122"/>
      <c r="GU93" s="172"/>
      <c r="HJ93" s="113"/>
    </row>
    <row r="94" spans="1:218" ht="15" customHeight="1">
      <c r="C94" s="5"/>
      <c r="D94" s="2"/>
      <c r="E94" s="2"/>
      <c r="F94" s="2"/>
      <c r="G94" s="46" t="s">
        <v>833</v>
      </c>
      <c r="H94" s="222">
        <f>SUM(H92:H93)</f>
        <v>0</v>
      </c>
      <c r="I94" s="222">
        <f>SUM(I92:I93)</f>
        <v>0</v>
      </c>
      <c r="J94" s="222">
        <f>SUM(J92:J93)</f>
        <v>0</v>
      </c>
      <c r="K94" s="222">
        <f>SUM(K92:K93)</f>
        <v>59800</v>
      </c>
      <c r="L94" s="222">
        <f>SUM(L92:L93)</f>
        <v>22640</v>
      </c>
      <c r="M94" s="222">
        <f t="shared" si="217"/>
        <v>82440</v>
      </c>
      <c r="N94" s="6"/>
      <c r="O94" s="113"/>
      <c r="Q94" s="680">
        <f t="shared" si="218"/>
        <v>0</v>
      </c>
      <c r="S94" s="207"/>
      <c r="T94" s="231"/>
      <c r="U94" s="447"/>
      <c r="V94" s="447"/>
      <c r="W94" s="447"/>
      <c r="X94" s="448" t="s">
        <v>833</v>
      </c>
      <c r="Y94" s="449">
        <f>SUM(Y92:Y93)</f>
        <v>0</v>
      </c>
      <c r="Z94" s="449">
        <f>SUM(Z92:Z93)</f>
        <v>0</v>
      </c>
      <c r="AA94" s="449">
        <f>SUM(AA92:AA93)</f>
        <v>0</v>
      </c>
      <c r="AB94" s="449">
        <f>SUM(AB92:AB93)</f>
        <v>59800</v>
      </c>
      <c r="AC94" s="449">
        <f>SUM(AC92:AC93)</f>
        <v>22640</v>
      </c>
      <c r="AD94" s="449">
        <f t="shared" si="219"/>
        <v>82440</v>
      </c>
      <c r="AE94" s="447"/>
      <c r="AF94" s="122"/>
      <c r="GU94" s="172"/>
      <c r="HJ94" s="113"/>
    </row>
    <row r="95" spans="1:218" ht="15" customHeight="1">
      <c r="C95" s="2" t="s">
        <v>397</v>
      </c>
      <c r="D95" s="2"/>
      <c r="E95" s="2"/>
      <c r="F95" s="2"/>
      <c r="G95" s="2"/>
      <c r="H95" s="222">
        <f>CL48</f>
        <v>0</v>
      </c>
      <c r="I95" s="222">
        <f>CM48</f>
        <v>0</v>
      </c>
      <c r="J95" s="222">
        <f>CN48</f>
        <v>0</v>
      </c>
      <c r="K95" s="222">
        <f>CO48</f>
        <v>0</v>
      </c>
      <c r="L95" s="222">
        <f>CP48</f>
        <v>0</v>
      </c>
      <c r="M95" s="222">
        <f t="shared" si="217"/>
        <v>0</v>
      </c>
      <c r="O95" s="113"/>
      <c r="Q95" s="680">
        <f t="shared" si="218"/>
        <v>0</v>
      </c>
      <c r="S95" s="207"/>
      <c r="T95" s="122" t="s">
        <v>397</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1780</v>
      </c>
      <c r="D96" s="2"/>
      <c r="E96" s="2"/>
      <c r="F96" s="2"/>
      <c r="G96" s="2"/>
      <c r="H96" s="222">
        <f>SUM(H94:H95)</f>
        <v>0</v>
      </c>
      <c r="I96" s="222">
        <f>SUM(I94:I95)</f>
        <v>0</v>
      </c>
      <c r="J96" s="222">
        <f>SUM(J94:J95)</f>
        <v>0</v>
      </c>
      <c r="K96" s="222">
        <f>SUM(K94:K95)</f>
        <v>59800</v>
      </c>
      <c r="L96" s="222">
        <f>SUM(L94:L95)</f>
        <v>22640</v>
      </c>
      <c r="M96" s="222">
        <f t="shared" si="217"/>
        <v>82440</v>
      </c>
      <c r="O96" s="113"/>
      <c r="Q96" s="680">
        <f t="shared" si="218"/>
        <v>0</v>
      </c>
      <c r="S96" s="207"/>
      <c r="T96" s="447" t="s">
        <v>1780</v>
      </c>
      <c r="U96" s="447"/>
      <c r="V96" s="447"/>
      <c r="W96" s="447"/>
      <c r="X96" s="447"/>
      <c r="Y96" s="449">
        <f>SUM(Y94:Y95)</f>
        <v>0</v>
      </c>
      <c r="Z96" s="449">
        <f>SUM(Z94:Z95)</f>
        <v>0</v>
      </c>
      <c r="AA96" s="449">
        <f>SUM(AA94:AA95)</f>
        <v>0</v>
      </c>
      <c r="AB96" s="449">
        <f>SUM(AB94:AB95)</f>
        <v>59800</v>
      </c>
      <c r="AC96" s="449">
        <f>SUM(AC94:AC95)</f>
        <v>22640</v>
      </c>
      <c r="AD96" s="449">
        <f t="shared" si="219"/>
        <v>82440</v>
      </c>
      <c r="AE96" s="207"/>
      <c r="AF96" s="122"/>
      <c r="GU96" s="172"/>
      <c r="HJ96" s="113"/>
    </row>
    <row r="97" spans="1:220" ht="15" customHeight="1">
      <c r="C97" s="6" t="s">
        <v>3798</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833</v>
      </c>
      <c r="D98" s="2"/>
      <c r="E98" s="2"/>
      <c r="F98" s="2"/>
      <c r="G98" s="2"/>
      <c r="H98" s="222">
        <f>SUM(H96:H97)</f>
        <v>0</v>
      </c>
      <c r="I98" s="222">
        <f>SUM(I96:I97)</f>
        <v>0</v>
      </c>
      <c r="J98" s="222">
        <f>SUM(J96:J97)</f>
        <v>0</v>
      </c>
      <c r="K98" s="222">
        <f>SUM(K96:K97)</f>
        <v>59800</v>
      </c>
      <c r="L98" s="222">
        <f>SUM(L96:L97)</f>
        <v>22640</v>
      </c>
      <c r="M98" s="222">
        <f t="shared" si="217"/>
        <v>82440</v>
      </c>
      <c r="O98" s="113"/>
      <c r="Q98" s="680">
        <f t="shared" si="218"/>
        <v>0</v>
      </c>
      <c r="S98" s="207"/>
      <c r="T98" s="447" t="s">
        <v>833</v>
      </c>
      <c r="U98" s="447"/>
      <c r="V98" s="447"/>
      <c r="W98" s="447"/>
      <c r="X98" s="447"/>
      <c r="Y98" s="449">
        <f>SUM(Y96:Y97)</f>
        <v>0</v>
      </c>
      <c r="Z98" s="449">
        <f>SUM(Z96:Z97)</f>
        <v>0</v>
      </c>
      <c r="AA98" s="449">
        <f>SUM(AA96:AA97)</f>
        <v>0</v>
      </c>
      <c r="AB98" s="449">
        <f>SUM(AB96:AB97)</f>
        <v>59800</v>
      </c>
      <c r="AC98" s="449">
        <f>SUM(AC96:AC97)</f>
        <v>22640</v>
      </c>
      <c r="AD98" s="449">
        <f t="shared" si="219"/>
        <v>82440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1232</v>
      </c>
      <c r="B100" s="16" t="s">
        <v>288</v>
      </c>
      <c r="P100" s="9"/>
      <c r="Q100" s="682"/>
      <c r="FW100" s="113"/>
      <c r="GN100" s="445"/>
      <c r="GT100" s="113"/>
      <c r="GU100" s="172"/>
      <c r="HJ100" s="113"/>
      <c r="HL100" s="172"/>
    </row>
    <row r="101" spans="1:220" ht="9" customHeight="1">
      <c r="P101" s="682"/>
    </row>
    <row r="102" spans="1:220" ht="12.6" customHeight="1">
      <c r="B102" s="16" t="s">
        <v>1633</v>
      </c>
      <c r="D102" s="147"/>
      <c r="E102" s="184"/>
      <c r="G102" s="974">
        <f>0.02*L49</f>
        <v>10778.4</v>
      </c>
      <c r="H102" s="975"/>
      <c r="I102" s="145" t="s">
        <v>3753</v>
      </c>
      <c r="P102" s="575"/>
    </row>
    <row r="103" spans="1:220" ht="15" customHeight="1">
      <c r="B103" s="16"/>
      <c r="D103" s="147"/>
      <c r="E103" s="184"/>
      <c r="G103" s="303"/>
      <c r="H103" s="303"/>
      <c r="I103" s="145"/>
      <c r="P103" s="575"/>
    </row>
    <row r="104" spans="1:220" ht="13.9" customHeight="1">
      <c r="B104" s="16" t="s">
        <v>2170</v>
      </c>
      <c r="I104" s="16"/>
      <c r="K104" s="43"/>
    </row>
    <row r="105" spans="1:220" ht="15" customHeight="1">
      <c r="B105" s="16"/>
      <c r="I105" s="16"/>
      <c r="K105" s="43"/>
    </row>
    <row r="106" spans="1:220" ht="13.9" customHeight="1">
      <c r="B106" s="569" t="s">
        <v>3419</v>
      </c>
      <c r="G106" s="571">
        <v>1</v>
      </c>
      <c r="H106" s="571">
        <v>2</v>
      </c>
      <c r="I106" s="571">
        <v>3</v>
      </c>
      <c r="J106" s="571">
        <v>4</v>
      </c>
      <c r="K106" s="572">
        <v>5</v>
      </c>
      <c r="L106" s="571">
        <v>6</v>
      </c>
      <c r="M106" s="571">
        <v>7</v>
      </c>
      <c r="N106" s="571">
        <v>8</v>
      </c>
      <c r="O106" s="571">
        <v>9</v>
      </c>
      <c r="P106" s="571">
        <v>10</v>
      </c>
    </row>
    <row r="107" spans="1:220" ht="15" customHeight="1">
      <c r="B107" s="9" t="s">
        <v>1634</v>
      </c>
      <c r="G107" s="1324"/>
      <c r="H107" s="1324"/>
      <c r="I107" s="1324"/>
      <c r="J107" s="1324"/>
      <c r="K107" s="1325"/>
      <c r="L107" s="1324"/>
      <c r="M107" s="1324"/>
      <c r="N107" s="1324"/>
      <c r="O107" s="1324"/>
      <c r="P107" s="1324"/>
    </row>
    <row r="108" spans="1:220" ht="15" customHeight="1">
      <c r="B108" s="9" t="s">
        <v>1231</v>
      </c>
      <c r="C108" s="1326"/>
      <c r="D108" s="1327"/>
      <c r="E108" s="1327"/>
      <c r="F108" s="1328"/>
      <c r="G108" s="1329"/>
      <c r="H108" s="1329"/>
      <c r="I108" s="1329"/>
      <c r="J108" s="1329"/>
      <c r="K108" s="1330"/>
      <c r="L108" s="1329"/>
      <c r="M108" s="1329"/>
      <c r="N108" s="1329"/>
      <c r="O108" s="1329"/>
      <c r="P108" s="1329"/>
    </row>
    <row r="109" spans="1:220" ht="15" customHeight="1">
      <c r="C109" s="121" t="s">
        <v>1524</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980</v>
      </c>
      <c r="G111" s="44"/>
      <c r="P111" s="9"/>
    </row>
    <row r="112" spans="1:220" ht="15" customHeight="1">
      <c r="B112" s="9" t="s">
        <v>2200</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827</v>
      </c>
      <c r="G113" s="1324"/>
      <c r="H113" s="1324"/>
      <c r="I113" s="1324"/>
      <c r="J113" s="1324"/>
      <c r="K113" s="1325"/>
      <c r="L113" s="1324"/>
      <c r="M113" s="1324"/>
      <c r="N113" s="1324"/>
      <c r="O113" s="1324"/>
      <c r="P113" s="1324"/>
    </row>
    <row r="114" spans="2:16" ht="15" customHeight="1">
      <c r="B114" s="9" t="s">
        <v>1231</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3419</v>
      </c>
      <c r="G117" s="571">
        <v>11</v>
      </c>
      <c r="H117" s="571">
        <v>12</v>
      </c>
      <c r="I117" s="571">
        <v>13</v>
      </c>
      <c r="J117" s="571">
        <v>14</v>
      </c>
      <c r="K117" s="571">
        <v>15</v>
      </c>
      <c r="L117" s="571">
        <v>16</v>
      </c>
      <c r="M117" s="571">
        <v>17</v>
      </c>
      <c r="N117" s="571">
        <v>18</v>
      </c>
      <c r="O117" s="571">
        <v>19</v>
      </c>
      <c r="P117" s="571">
        <v>20</v>
      </c>
    </row>
    <row r="118" spans="2:16" ht="15" customHeight="1">
      <c r="B118" s="9" t="s">
        <v>1634</v>
      </c>
      <c r="G118" s="1324"/>
      <c r="H118" s="1324"/>
      <c r="I118" s="1324"/>
      <c r="J118" s="1324"/>
      <c r="K118" s="1325"/>
      <c r="L118" s="1324"/>
      <c r="M118" s="1324"/>
      <c r="N118" s="1324"/>
      <c r="O118" s="1324"/>
      <c r="P118" s="1324"/>
    </row>
    <row r="119" spans="2:16" ht="15" customHeight="1">
      <c r="B119" s="9" t="s">
        <v>1231</v>
      </c>
      <c r="C119" s="1326"/>
      <c r="D119" s="1327"/>
      <c r="E119" s="1327"/>
      <c r="F119" s="1328"/>
      <c r="G119" s="1329"/>
      <c r="H119" s="1329"/>
      <c r="I119" s="1329"/>
      <c r="J119" s="1329"/>
      <c r="K119" s="1330"/>
      <c r="L119" s="1329"/>
      <c r="M119" s="1329"/>
      <c r="N119" s="1329"/>
      <c r="O119" s="1329"/>
      <c r="P119" s="1329"/>
    </row>
    <row r="120" spans="2:16" ht="15" customHeight="1">
      <c r="C120" s="121" t="s">
        <v>1524</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980</v>
      </c>
      <c r="G122" s="44"/>
      <c r="P122" s="9"/>
    </row>
    <row r="123" spans="2:16" ht="15" customHeight="1">
      <c r="B123" s="9" t="s">
        <v>2200</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827</v>
      </c>
      <c r="G124" s="1324"/>
      <c r="H124" s="1324"/>
      <c r="I124" s="1324"/>
      <c r="J124" s="1324"/>
      <c r="K124" s="1325"/>
      <c r="L124" s="1324"/>
      <c r="M124" s="1324"/>
      <c r="N124" s="1324"/>
      <c r="O124" s="1324"/>
      <c r="P124" s="1324"/>
    </row>
    <row r="125" spans="2:16" ht="15" customHeight="1">
      <c r="B125" s="9" t="s">
        <v>1231</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3419</v>
      </c>
      <c r="G128" s="571">
        <v>21</v>
      </c>
      <c r="H128" s="571">
        <v>22</v>
      </c>
      <c r="I128" s="571">
        <v>23</v>
      </c>
      <c r="J128" s="571">
        <v>24</v>
      </c>
      <c r="K128" s="571">
        <v>25</v>
      </c>
      <c r="L128" s="571">
        <v>26</v>
      </c>
      <c r="M128" s="571">
        <v>27</v>
      </c>
      <c r="N128" s="571">
        <v>28</v>
      </c>
      <c r="O128" s="571">
        <v>29</v>
      </c>
      <c r="P128" s="571">
        <v>30</v>
      </c>
    </row>
    <row r="129" spans="1:219" ht="15" customHeight="1">
      <c r="B129" s="9" t="s">
        <v>1634</v>
      </c>
      <c r="G129" s="1324"/>
      <c r="H129" s="1324"/>
      <c r="I129" s="1324"/>
      <c r="J129" s="1324"/>
      <c r="K129" s="1325"/>
      <c r="L129" s="1324"/>
      <c r="M129" s="1324"/>
      <c r="N129" s="1324"/>
      <c r="O129" s="1324"/>
      <c r="P129" s="1324"/>
    </row>
    <row r="130" spans="1:219" ht="15" customHeight="1">
      <c r="B130" s="9" t="s">
        <v>1231</v>
      </c>
      <c r="C130" s="1326"/>
      <c r="D130" s="1327"/>
      <c r="E130" s="1327"/>
      <c r="F130" s="1328"/>
      <c r="G130" s="1329"/>
      <c r="H130" s="1329"/>
      <c r="I130" s="1329"/>
      <c r="J130" s="1329"/>
      <c r="K130" s="1330"/>
      <c r="L130" s="1329"/>
      <c r="M130" s="1329"/>
      <c r="N130" s="1329"/>
      <c r="O130" s="1329"/>
      <c r="P130" s="1329"/>
    </row>
    <row r="131" spans="1:219" ht="15" customHeight="1">
      <c r="C131" s="121" t="s">
        <v>1524</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980</v>
      </c>
      <c r="G133" s="44"/>
      <c r="P133" s="9"/>
    </row>
    <row r="134" spans="1:219" ht="15" customHeight="1">
      <c r="B134" s="9" t="s">
        <v>2200</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827</v>
      </c>
      <c r="G135" s="1324"/>
      <c r="H135" s="1324"/>
      <c r="I135" s="1324"/>
      <c r="J135" s="1324"/>
      <c r="K135" s="1325"/>
      <c r="L135" s="1324"/>
      <c r="M135" s="1324"/>
      <c r="N135" s="1324"/>
      <c r="O135" s="1324"/>
      <c r="P135" s="1324"/>
    </row>
    <row r="136" spans="1:219" ht="15" customHeight="1">
      <c r="B136" s="9" t="s">
        <v>1231</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2824</v>
      </c>
      <c r="B139" s="710" t="s">
        <v>1636</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1991</v>
      </c>
      <c r="C141" s="2"/>
      <c r="D141" s="2"/>
      <c r="E141" s="2"/>
      <c r="F141" s="31"/>
      <c r="G141" s="31"/>
      <c r="H141" s="2"/>
      <c r="I141" s="11" t="s">
        <v>2080</v>
      </c>
      <c r="J141" s="2"/>
      <c r="K141" s="2"/>
      <c r="L141" s="2"/>
      <c r="M141" s="2"/>
      <c r="N141" s="11" t="s">
        <v>2079</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3304</v>
      </c>
      <c r="C142" s="2"/>
      <c r="D142" s="2"/>
      <c r="E142" s="2"/>
      <c r="F142" s="1331">
        <f>35000+8000+4000</f>
        <v>47000</v>
      </c>
      <c r="G142" s="1332"/>
      <c r="H142" s="2"/>
      <c r="I142" s="2" t="s">
        <v>2081</v>
      </c>
      <c r="J142" s="2"/>
      <c r="K142" s="1331"/>
      <c r="L142" s="1332"/>
      <c r="M142" s="2"/>
      <c r="N142" s="2" t="s">
        <v>1525</v>
      </c>
      <c r="O142" s="2"/>
      <c r="P142" s="1333">
        <v>46506</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2070</v>
      </c>
      <c r="C143" s="2"/>
      <c r="D143" s="2"/>
      <c r="E143" s="2"/>
      <c r="F143" s="1331">
        <f>30000+5205+2000+4500</f>
        <v>41705</v>
      </c>
      <c r="G143" s="1332"/>
      <c r="H143" s="2"/>
      <c r="I143" s="2" t="s">
        <v>2082</v>
      </c>
      <c r="J143" s="2"/>
      <c r="K143" s="1331">
        <v>480</v>
      </c>
      <c r="L143" s="1332"/>
      <c r="M143" s="2"/>
      <c r="N143" s="2" t="s">
        <v>200</v>
      </c>
      <c r="O143" s="2"/>
      <c r="P143" s="1333">
        <v>17000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1917</v>
      </c>
      <c r="C144" s="2"/>
      <c r="D144" s="2"/>
      <c r="E144" s="2"/>
      <c r="F144" s="1331"/>
      <c r="G144" s="1332"/>
      <c r="H144" s="2"/>
      <c r="I144" s="2"/>
      <c r="J144" s="168" t="s">
        <v>249</v>
      </c>
      <c r="K144" s="970">
        <f>SUM(K142:L143)</f>
        <v>480</v>
      </c>
      <c r="L144" s="971"/>
      <c r="M144" s="2"/>
      <c r="N144" s="1334" t="s">
        <v>60</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60</v>
      </c>
      <c r="C145" s="1338"/>
      <c r="D145" s="1338"/>
      <c r="E145" s="1339"/>
      <c r="F145" s="1340"/>
      <c r="G145" s="1341"/>
      <c r="H145" s="2"/>
      <c r="I145" s="2"/>
      <c r="J145" s="2"/>
      <c r="K145" s="2"/>
      <c r="L145" s="2"/>
      <c r="M145" s="2"/>
      <c r="N145" s="13" t="s">
        <v>249</v>
      </c>
      <c r="O145" s="2"/>
      <c r="P145" s="665">
        <f>SUM(P142:P144)</f>
        <v>63506</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0">
        <f>SUM(F142:G145)</f>
        <v>88705</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1992</v>
      </c>
      <c r="C148" s="2"/>
      <c r="D148" s="10"/>
      <c r="E148" s="2"/>
      <c r="F148" s="2"/>
      <c r="G148" s="2"/>
      <c r="H148" s="2"/>
      <c r="I148" s="11" t="s">
        <v>1993</v>
      </c>
      <c r="J148" s="2"/>
      <c r="K148" s="2"/>
      <c r="L148" s="2"/>
      <c r="M148" s="2"/>
      <c r="N148" s="11" t="s">
        <v>2083</v>
      </c>
      <c r="O148" s="2"/>
      <c r="P148" s="664">
        <f>IF(OR('Part VII-Pro Forma'!$B$20 = "Choose Mgt Fee",'Part VII-Pro Forma'!$B$20 = "Choose One!"), 0,- 'Part VII-Pro Forma'!$B$20)</f>
        <v>26858</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2075</v>
      </c>
      <c r="C149" s="2"/>
      <c r="D149" s="10"/>
      <c r="E149" s="2"/>
      <c r="F149" s="1331">
        <v>10000</v>
      </c>
      <c r="G149" s="1332"/>
      <c r="H149" s="2"/>
      <c r="I149" s="2" t="s">
        <v>2365</v>
      </c>
      <c r="J149" s="2"/>
      <c r="K149" s="1342">
        <v>5000</v>
      </c>
      <c r="L149" s="1343"/>
      <c r="M149" s="2"/>
      <c r="N149" s="610">
        <f>+P148/(M63*0.93)</f>
        <v>465.79951439472768</v>
      </c>
      <c r="O149" s="30" t="s">
        <v>3863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2076</v>
      </c>
      <c r="C150" s="2"/>
      <c r="D150" s="10"/>
      <c r="E150" s="2"/>
      <c r="F150" s="1331">
        <v>6000</v>
      </c>
      <c r="G150" s="1332"/>
      <c r="H150" s="2"/>
      <c r="I150" s="2" t="s">
        <v>3141</v>
      </c>
      <c r="J150" s="2"/>
      <c r="K150" s="1344">
        <v>7000</v>
      </c>
      <c r="L150" s="1345"/>
      <c r="M150" s="2"/>
      <c r="N150" s="610">
        <f>+P148/(M63*0.93)/12</f>
        <v>38.816626199560638</v>
      </c>
      <c r="O150" s="30" t="s">
        <v>3864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2077</v>
      </c>
      <c r="C151" s="2"/>
      <c r="D151" s="10"/>
      <c r="E151" s="2"/>
      <c r="F151" s="1331"/>
      <c r="G151" s="1332"/>
      <c r="H151" s="2"/>
      <c r="I151" s="2" t="s">
        <v>2366</v>
      </c>
      <c r="J151" s="2"/>
      <c r="K151" s="1344">
        <v>6000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3489</v>
      </c>
      <c r="C152" s="2"/>
      <c r="D152" s="10"/>
      <c r="E152" s="2"/>
      <c r="F152" s="1331"/>
      <c r="G152" s="1332"/>
      <c r="H152" s="2"/>
      <c r="I152" s="1334" t="s">
        <v>60</v>
      </c>
      <c r="J152" s="1335"/>
      <c r="K152" s="1342"/>
      <c r="L152" s="1343"/>
      <c r="M152" s="2"/>
      <c r="N152" s="978" t="s">
        <v>3733</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2363</v>
      </c>
      <c r="C153" s="2"/>
      <c r="D153" s="10"/>
      <c r="E153" s="2"/>
      <c r="F153" s="1331">
        <v>1500</v>
      </c>
      <c r="G153" s="1332"/>
      <c r="H153" s="2"/>
      <c r="I153" s="11"/>
      <c r="J153" s="13" t="s">
        <v>249</v>
      </c>
      <c r="K153" s="968">
        <f>SUM(K149:K152)</f>
        <v>18000</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60</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0">
        <f>SUM(F149:G154)</f>
        <v>17500</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1994</v>
      </c>
      <c r="C157" s="2"/>
      <c r="D157" s="10"/>
      <c r="E157" s="2"/>
      <c r="F157" s="2"/>
      <c r="G157" s="2"/>
      <c r="H157" s="2"/>
      <c r="I157" s="11" t="s">
        <v>2078</v>
      </c>
      <c r="J157" s="717" t="s">
        <v>3555</v>
      </c>
      <c r="K157" s="2"/>
      <c r="L157" s="2"/>
      <c r="M157" s="2"/>
      <c r="N157" s="11" t="s">
        <v>3294</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2367</v>
      </c>
      <c r="C158" s="2"/>
      <c r="D158" s="10"/>
      <c r="E158" s="2"/>
      <c r="F158" s="1346">
        <v>6000</v>
      </c>
      <c r="G158" s="1347"/>
      <c r="H158" s="2"/>
      <c r="I158" s="2" t="s">
        <v>2071</v>
      </c>
      <c r="J158" s="662">
        <f>K158/12/$M$63</f>
        <v>9.67741935483871</v>
      </c>
      <c r="K158" s="1344">
        <v>7200</v>
      </c>
      <c r="L158" s="1345"/>
      <c r="M158" s="2"/>
      <c r="N158" s="368">
        <f>+$P$158/$M$63</f>
        <v>4435.3064516129034</v>
      </c>
      <c r="O158" s="30" t="s">
        <v>2111</v>
      </c>
      <c r="P158" s="663">
        <f>F146+F155+F166+K144+K153+K163+P145+P148</f>
        <v>274989</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2368</v>
      </c>
      <c r="C159" s="2"/>
      <c r="D159" s="10"/>
      <c r="E159" s="2"/>
      <c r="F159" s="1346">
        <v>6500</v>
      </c>
      <c r="G159" s="1347"/>
      <c r="H159" s="2"/>
      <c r="I159" s="2" t="s">
        <v>2072</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2369</v>
      </c>
      <c r="C160" s="2"/>
      <c r="D160" s="10"/>
      <c r="E160" s="2"/>
      <c r="F160" s="1346">
        <v>12000</v>
      </c>
      <c r="G160" s="1347"/>
      <c r="H160" s="2"/>
      <c r="I160" s="2" t="s">
        <v>3554</v>
      </c>
      <c r="J160" s="662">
        <f>K160/12/$M$63</f>
        <v>6.720430107526882</v>
      </c>
      <c r="K160" s="1344">
        <v>5000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1617</v>
      </c>
      <c r="C161" s="2"/>
      <c r="D161" s="10"/>
      <c r="E161" s="2"/>
      <c r="F161" s="1331">
        <v>1240</v>
      </c>
      <c r="G161" s="1332"/>
      <c r="H161" s="2"/>
      <c r="I161" s="2" t="s">
        <v>2074</v>
      </c>
      <c r="J161" s="2"/>
      <c r="K161" s="1344">
        <v>6500</v>
      </c>
      <c r="L161" s="1345"/>
      <c r="M161" s="2"/>
      <c r="N161" s="11" t="s">
        <v>1923</v>
      </c>
      <c r="O161" s="11"/>
      <c r="P161" s="664">
        <f>P162*M63</f>
        <v>15500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1618</v>
      </c>
      <c r="C162" s="2"/>
      <c r="D162" s="10"/>
      <c r="E162" s="2"/>
      <c r="F162" s="1331">
        <v>6500</v>
      </c>
      <c r="G162" s="1332"/>
      <c r="H162" s="2"/>
      <c r="I162" s="1334" t="s">
        <v>60</v>
      </c>
      <c r="J162" s="1335"/>
      <c r="K162" s="1342"/>
      <c r="L162" s="1343"/>
      <c r="M162" s="2"/>
      <c r="N162" s="30" t="s">
        <v>680</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1619</v>
      </c>
      <c r="C163" s="2"/>
      <c r="D163" s="10"/>
      <c r="E163" s="2"/>
      <c r="F163" s="1331"/>
      <c r="G163" s="1332"/>
      <c r="H163" s="2"/>
      <c r="I163" s="2"/>
      <c r="J163" s="13" t="s">
        <v>249</v>
      </c>
      <c r="K163" s="968">
        <f>SUM(K158:K162)</f>
        <v>18700</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1459</v>
      </c>
      <c r="C164" s="2"/>
      <c r="D164" s="10"/>
      <c r="E164" s="2"/>
      <c r="F164" s="1331">
        <v>9000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3295</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6">
        <f>SUM(F158:G165)</f>
        <v>41240</v>
      </c>
      <c r="G166" s="967"/>
      <c r="H166" s="2"/>
      <c r="I166" s="2"/>
      <c r="J166" s="14"/>
      <c r="K166" s="2"/>
      <c r="L166" s="2"/>
      <c r="M166" s="2"/>
      <c r="N166" s="2"/>
      <c r="O166" s="2"/>
      <c r="P166" s="663">
        <f>P158+P161</f>
        <v>290489</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2826</v>
      </c>
      <c r="B168" s="16" t="s">
        <v>880</v>
      </c>
      <c r="K168" s="16" t="s">
        <v>823</v>
      </c>
      <c r="L168" s="16" t="s">
        <v>2898</v>
      </c>
    </row>
    <row r="169" spans="1:219" ht="51.6" customHeight="1">
      <c r="A169" s="1290" t="s">
        <v>3950</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3951</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41" bottom="0.41" header="0.17"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March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94" zoomScale="90" zoomScaleNormal="90" workbookViewId="0">
      <selection activeCell="D99" sqref="D99"/>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2011-043 Calypso, Palmetto, Fulton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1671</v>
      </c>
    </row>
    <row r="4" spans="1:15" ht="2.4500000000000002" customHeight="1">
      <c r="A4" s="19"/>
      <c r="B4" s="19"/>
      <c r="C4" s="19"/>
      <c r="H4" s="19"/>
      <c r="I4" s="19"/>
    </row>
    <row r="5" spans="1:15">
      <c r="A5" s="19" t="s">
        <v>3296</v>
      </c>
      <c r="B5" s="108">
        <v>0.02</v>
      </c>
      <c r="C5" s="19"/>
      <c r="D5" s="19" t="s">
        <v>1366</v>
      </c>
      <c r="F5" s="19"/>
      <c r="G5" s="1280">
        <v>6000</v>
      </c>
      <c r="H5" s="132" t="s">
        <v>2972</v>
      </c>
      <c r="K5" s="138">
        <f>IF(($B$14+$B$15+$B$16+$B$17)=0,"",-B30/($B$14+$B$15+$B$16+$B$17))</f>
        <v>1.173664122585368E-2</v>
      </c>
    </row>
    <row r="6" spans="1:15">
      <c r="A6" s="19" t="s">
        <v>3297</v>
      </c>
      <c r="B6" s="108">
        <v>0.03</v>
      </c>
      <c r="C6" s="19"/>
      <c r="D6" s="19" t="s">
        <v>1367</v>
      </c>
      <c r="F6" s="19"/>
      <c r="G6" s="1280"/>
      <c r="H6" s="132" t="s">
        <v>3588</v>
      </c>
      <c r="K6" s="138">
        <f>IF(($B$14+$B$15+$B$16+$B$17)=0,"",-B32/($B$14+$B$15+$B$16+$B$17))</f>
        <v>0</v>
      </c>
    </row>
    <row r="7" spans="1:15">
      <c r="A7" s="19" t="s">
        <v>3299</v>
      </c>
      <c r="B7" s="108">
        <v>0.03</v>
      </c>
      <c r="C7" s="19"/>
      <c r="D7" s="110" t="s">
        <v>357</v>
      </c>
      <c r="G7" s="112"/>
      <c r="H7" s="132" t="s">
        <v>3589</v>
      </c>
      <c r="K7" s="138">
        <f>IF(($B$14+$B$15+$B$16+$B$17)=0,"",-B20/($B$14+$B$15+$B$16+$B$17))</f>
        <v>5.2537118340663026E-2</v>
      </c>
    </row>
    <row r="8" spans="1:15" ht="13.15" customHeight="1">
      <c r="A8" s="19" t="s">
        <v>3298</v>
      </c>
      <c r="B8" s="1281">
        <v>7.0000000000000007E-2</v>
      </c>
      <c r="C8" s="19"/>
      <c r="D8" s="109" t="s">
        <v>3790</v>
      </c>
      <c r="G8" s="1282" t="s">
        <v>3925</v>
      </c>
      <c r="H8" s="232" t="s">
        <v>2169</v>
      </c>
      <c r="K8" s="1283">
        <v>26858</v>
      </c>
    </row>
    <row r="9" spans="1:15">
      <c r="A9" s="19" t="s">
        <v>2130</v>
      </c>
      <c r="B9" s="108">
        <v>0.02</v>
      </c>
      <c r="D9" s="109" t="s">
        <v>2744</v>
      </c>
      <c r="G9" s="1282"/>
      <c r="H9" s="232" t="s">
        <v>3562</v>
      </c>
      <c r="K9" s="1284"/>
    </row>
    <row r="10" spans="1:15" ht="4.1500000000000004" customHeight="1"/>
    <row r="11" spans="1:15">
      <c r="A11" s="16" t="s">
        <v>101</v>
      </c>
    </row>
    <row r="12" spans="1:15" ht="2.4500000000000002" customHeight="1"/>
    <row r="13" spans="1:15" ht="14.45" customHeight="1">
      <c r="A13" s="16" t="s">
        <v>3754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3643</v>
      </c>
      <c r="B14" s="22">
        <f>'Part VI-Revenues &amp; Expenses'!L49</f>
        <v>538920</v>
      </c>
      <c r="C14" s="22">
        <f t="shared" ref="C14:K14" si="1">$B$14*(1+$B$5)^(C13-1)</f>
        <v>549698.4</v>
      </c>
      <c r="D14" s="22">
        <f t="shared" si="1"/>
        <v>560692.36800000002</v>
      </c>
      <c r="E14" s="22">
        <f t="shared" si="1"/>
        <v>571906.21535999991</v>
      </c>
      <c r="F14" s="22">
        <f t="shared" si="1"/>
        <v>583344.33966719999</v>
      </c>
      <c r="G14" s="22">
        <f t="shared" si="1"/>
        <v>595011.22646054404</v>
      </c>
      <c r="H14" s="22">
        <f t="shared" si="1"/>
        <v>606911.45098975487</v>
      </c>
      <c r="I14" s="22">
        <f t="shared" si="1"/>
        <v>619049.68000954983</v>
      </c>
      <c r="J14" s="22">
        <f t="shared" si="1"/>
        <v>631430.67360974092</v>
      </c>
      <c r="K14" s="23">
        <f t="shared" si="1"/>
        <v>644059.28708193579</v>
      </c>
    </row>
    <row r="15" spans="1:15" ht="13.15" customHeight="1">
      <c r="A15" s="24" t="s">
        <v>1633</v>
      </c>
      <c r="B15" s="25">
        <f>MIN(B14*B9,'Part VI-Revenues &amp; Expenses'!G102)</f>
        <v>10778.4</v>
      </c>
      <c r="C15" s="25">
        <f t="shared" ref="C15:K15" si="2">$B$15*(1+$B$5)^(C13-1)</f>
        <v>10993.967999999999</v>
      </c>
      <c r="D15" s="25">
        <f t="shared" si="2"/>
        <v>11213.84736</v>
      </c>
      <c r="E15" s="25">
        <f t="shared" si="2"/>
        <v>11438.1243072</v>
      </c>
      <c r="F15" s="25">
        <f t="shared" si="2"/>
        <v>11666.886793344</v>
      </c>
      <c r="G15" s="25">
        <f t="shared" si="2"/>
        <v>11900.22452921088</v>
      </c>
      <c r="H15" s="25">
        <f t="shared" si="2"/>
        <v>12138.229019795099</v>
      </c>
      <c r="I15" s="25">
        <f t="shared" si="2"/>
        <v>12380.993600190997</v>
      </c>
      <c r="J15" s="25">
        <f t="shared" si="2"/>
        <v>12628.613472194818</v>
      </c>
      <c r="K15" s="26">
        <f t="shared" si="2"/>
        <v>12881.185741638714</v>
      </c>
    </row>
    <row r="16" spans="1:15" ht="13.15" customHeight="1">
      <c r="A16" s="24" t="s">
        <v>3644</v>
      </c>
      <c r="B16" s="25">
        <f t="shared" ref="B16:K16" si="3">-(B14+B15)*$B$8</f>
        <v>-38478.888000000006</v>
      </c>
      <c r="C16" s="25">
        <f t="shared" si="3"/>
        <v>-39248.465760000006</v>
      </c>
      <c r="D16" s="25">
        <f t="shared" si="3"/>
        <v>-40033.435075200003</v>
      </c>
      <c r="E16" s="25">
        <f t="shared" si="3"/>
        <v>-40834.103776703996</v>
      </c>
      <c r="F16" s="25">
        <f t="shared" si="3"/>
        <v>-41650.785852238085</v>
      </c>
      <c r="G16" s="25">
        <f t="shared" si="3"/>
        <v>-42483.801569282849</v>
      </c>
      <c r="H16" s="25">
        <f t="shared" si="3"/>
        <v>-43333.477600668499</v>
      </c>
      <c r="I16" s="25">
        <f t="shared" si="3"/>
        <v>-44200.147152681857</v>
      </c>
      <c r="J16" s="25">
        <f t="shared" si="3"/>
        <v>-45084.150095735502</v>
      </c>
      <c r="K16" s="26">
        <f t="shared" si="3"/>
        <v>-45985.833097650226</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949</v>
      </c>
      <c r="B19" s="25">
        <f>-('Part VI-Revenues &amp; Expenses'!P158-'Part VI-Revenues &amp; Expenses'!P148)</f>
        <v>-248131</v>
      </c>
      <c r="C19" s="25">
        <f t="shared" ref="C19:K19" si="4">$B$19*(1+$B$6)^(C13-1)</f>
        <v>-255574.93</v>
      </c>
      <c r="D19" s="25">
        <f t="shared" si="4"/>
        <v>-263242.17790000001</v>
      </c>
      <c r="E19" s="25">
        <f t="shared" si="4"/>
        <v>-271139.44323700003</v>
      </c>
      <c r="F19" s="25">
        <f t="shared" si="4"/>
        <v>-279273.62653410999</v>
      </c>
      <c r="G19" s="25">
        <f t="shared" si="4"/>
        <v>-287651.83533013327</v>
      </c>
      <c r="H19" s="25">
        <f t="shared" si="4"/>
        <v>-296281.39039003727</v>
      </c>
      <c r="I19" s="25">
        <f t="shared" si="4"/>
        <v>-305169.83210173843</v>
      </c>
      <c r="J19" s="25">
        <f t="shared" si="4"/>
        <v>-314324.92706479051</v>
      </c>
      <c r="K19" s="26">
        <f t="shared" si="4"/>
        <v>-323754.67487673427</v>
      </c>
    </row>
    <row r="20" spans="1:11" ht="13.15" customHeight="1">
      <c r="A20" s="24" t="s">
        <v>1747</v>
      </c>
      <c r="B20" s="25">
        <f>IF(AND('Part VII-Pro Forma'!$G$8="Yes",'Part VII-Pro Forma'!$G$9="Yes"),"Choose One!",IF('Part VII-Pro Forma'!$G$8="Yes",ROUND((-$K$8*(1+'Part VII-Pro Forma'!$B$6)^('Part VII-Pro Forma'!B13-1)),),IF('Part VII-Pro Forma'!$G$9="Yes",ROUND((-(SUM(B14:B17)*'Part VII-Pro Forma'!$K$9)),),"Choose mgt fee")))</f>
        <v>-26858</v>
      </c>
      <c r="C20" s="25">
        <f>IF(AND('Part VII-Pro Forma'!$G$8="Yes",'Part VII-Pro Forma'!$G$9="Yes"),"Choose One!",IF('Part VII-Pro Forma'!$G$8="Yes",ROUND((-$K$8*(1+'Part VII-Pro Forma'!$B$6)^('Part VII-Pro Forma'!C13-1)),),IF('Part VII-Pro Forma'!$G$9="Yes",ROUND((-(SUM(C14:C17)*'Part VII-Pro Forma'!$K$9)),),"Choose mgt fee")))</f>
        <v>-27664</v>
      </c>
      <c r="D20" s="25">
        <f>IF(AND('Part VII-Pro Forma'!$G$8="Yes",'Part VII-Pro Forma'!$G$9="Yes"),"Choose One!",IF('Part VII-Pro Forma'!$G$8="Yes",ROUND((-$K$8*(1+'Part VII-Pro Forma'!$B$6)^('Part VII-Pro Forma'!D13-1)),),IF('Part VII-Pro Forma'!$G$9="Yes",ROUND((-(SUM(D14:D17)*'Part VII-Pro Forma'!$K$9)),),"Choose mgt fee")))</f>
        <v>-28494</v>
      </c>
      <c r="E20" s="25">
        <f>IF(AND('Part VII-Pro Forma'!$G$8="Yes",'Part VII-Pro Forma'!$G$9="Yes"),"Choose One!",IF('Part VII-Pro Forma'!$G$8="Yes",ROUND((-$K$8*(1+'Part VII-Pro Forma'!$B$6)^('Part VII-Pro Forma'!E13-1)),),IF('Part VII-Pro Forma'!$G$9="Yes",ROUND((-(SUM(E14:E17)*'Part VII-Pro Forma'!$K$9)),),"Choose mgt fee")))</f>
        <v>-29348</v>
      </c>
      <c r="F20" s="25">
        <f>IF(AND('Part VII-Pro Forma'!$G$8="Yes",'Part VII-Pro Forma'!$G$9="Yes"),"Choose One!",IF('Part VII-Pro Forma'!$G$8="Yes",ROUND((-$K$8*(1+'Part VII-Pro Forma'!$B$6)^('Part VII-Pro Forma'!F13-1)),),IF('Part VII-Pro Forma'!$G$9="Yes",ROUND((-(SUM(F14:F17)*'Part VII-Pro Forma'!$K$9)),),"Choose mgt fee")))</f>
        <v>-30229</v>
      </c>
      <c r="G20" s="25">
        <f>IF(AND('Part VII-Pro Forma'!$G$8="Yes",'Part VII-Pro Forma'!$G$9="Yes"),"Choose One!",IF('Part VII-Pro Forma'!$G$8="Yes",ROUND((-$K$8*(1+'Part VII-Pro Forma'!$B$6)^('Part VII-Pro Forma'!G13-1)),),IF('Part VII-Pro Forma'!$G$9="Yes",ROUND((-(SUM(G14:G17)*'Part VII-Pro Forma'!$K$9)),),"Choose mgt fee")))</f>
        <v>-31136</v>
      </c>
      <c r="H20" s="25">
        <f>IF(AND('Part VII-Pro Forma'!$G$8="Yes",'Part VII-Pro Forma'!$G$9="Yes"),"Choose One!",IF('Part VII-Pro Forma'!$G$8="Yes",ROUND((-$K$8*(1+'Part VII-Pro Forma'!$B$6)^('Part VII-Pro Forma'!H13-1)),),IF('Part VII-Pro Forma'!$G$9="Yes",ROUND((-(SUM(H14:H17)*'Part VII-Pro Forma'!$K$9)),),"Choose mgt fee")))</f>
        <v>-32070</v>
      </c>
      <c r="I20" s="25">
        <f>IF(AND('Part VII-Pro Forma'!$G$8="Yes",'Part VII-Pro Forma'!$G$9="Yes"),"Choose One!",IF('Part VII-Pro Forma'!$G$8="Yes",ROUND((-$K$8*(1+'Part VII-Pro Forma'!$B$6)^('Part VII-Pro Forma'!I13-1)),),IF('Part VII-Pro Forma'!$G$9="Yes",ROUND((-(SUM(I14:I17)*'Part VII-Pro Forma'!$K$9)),),"Choose mgt fee")))</f>
        <v>-33032</v>
      </c>
      <c r="J20" s="25">
        <f>IF(AND('Part VII-Pro Forma'!$G$8="Yes",'Part VII-Pro Forma'!$G$9="Yes"),"Choose One!",IF('Part VII-Pro Forma'!$G$8="Yes",ROUND((-$K$8*(1+'Part VII-Pro Forma'!$B$6)^('Part VII-Pro Forma'!J13-1)),),IF('Part VII-Pro Forma'!$G$9="Yes",ROUND((-(SUM(J14:J17)*'Part VII-Pro Forma'!$K$9)),),"Choose mgt fee")))</f>
        <v>-34023</v>
      </c>
      <c r="K20" s="25">
        <f>IF(AND('Part VII-Pro Forma'!$G$8="Yes",'Part VII-Pro Forma'!$G$9="Yes"),"Choose One!",IF('Part VII-Pro Forma'!$G$8="Yes",ROUND((-$K$8*(1+'Part VII-Pro Forma'!$B$6)^('Part VII-Pro Forma'!K13-1)),),IF('Part VII-Pro Forma'!$G$9="Yes",ROUND((-(SUM(K14:K17)*'Part VII-Pro Forma'!$K$9)),),"Choose mgt fee")))</f>
        <v>-35044</v>
      </c>
    </row>
    <row r="21" spans="1:11" ht="13.15" customHeight="1">
      <c r="A21" s="24" t="s">
        <v>1863</v>
      </c>
      <c r="B21" s="25">
        <f>-('Part VI-Revenues &amp; Expenses'!P161)</f>
        <v>-15500</v>
      </c>
      <c r="C21" s="25">
        <f t="shared" ref="C21:K21" si="5">$B$21*(1+$B$7)^(C13-1)</f>
        <v>-15965</v>
      </c>
      <c r="D21" s="25">
        <f t="shared" si="5"/>
        <v>-16443.95</v>
      </c>
      <c r="E21" s="25">
        <f t="shared" si="5"/>
        <v>-16937.268499999998</v>
      </c>
      <c r="F21" s="25">
        <f t="shared" si="5"/>
        <v>-17445.386554999997</v>
      </c>
      <c r="G21" s="25">
        <f t="shared" si="5"/>
        <v>-17968.748151649997</v>
      </c>
      <c r="H21" s="25">
        <f t="shared" si="5"/>
        <v>-18507.810596199499</v>
      </c>
      <c r="I21" s="25">
        <f t="shared" si="5"/>
        <v>-19063.044914085483</v>
      </c>
      <c r="J21" s="25">
        <f t="shared" si="5"/>
        <v>-19634.936261508046</v>
      </c>
      <c r="K21" s="26">
        <f t="shared" si="5"/>
        <v>-20223.98434935329</v>
      </c>
    </row>
    <row r="22" spans="1:11" ht="13.15" customHeight="1">
      <c r="A22" s="24" t="s">
        <v>1864</v>
      </c>
      <c r="B22" s="25">
        <f t="shared" ref="B22:K22" si="6">SUM(B14:B21)</f>
        <v>220730.51199999999</v>
      </c>
      <c r="C22" s="25">
        <f t="shared" si="6"/>
        <v>222239.97224000003</v>
      </c>
      <c r="D22" s="25">
        <f t="shared" si="6"/>
        <v>223692.65238479996</v>
      </c>
      <c r="E22" s="25">
        <f t="shared" si="6"/>
        <v>225085.52415349579</v>
      </c>
      <c r="F22" s="25">
        <f t="shared" si="6"/>
        <v>226412.42751919598</v>
      </c>
      <c r="G22" s="25">
        <f t="shared" si="6"/>
        <v>227671.0659386887</v>
      </c>
      <c r="H22" s="25">
        <f t="shared" si="6"/>
        <v>228857.00142264462</v>
      </c>
      <c r="I22" s="25">
        <f t="shared" si="6"/>
        <v>229965.64944123506</v>
      </c>
      <c r="J22" s="25">
        <f t="shared" si="6"/>
        <v>230992.27365990169</v>
      </c>
      <c r="K22" s="26">
        <f t="shared" si="6"/>
        <v>231931.98049983679</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1285">
        <f>IF('Part III A-Sources of Funds'!$M$33="", 0,-'Part III A-Sources of Funds'!$M$33)</f>
        <v>-175181.94394561139</v>
      </c>
      <c r="C25" s="1285">
        <f>IF('Part III A-Sources of Funds'!$M$33="", 0,-'Part III A-Sources of Funds'!$M$33)</f>
        <v>-175181.94394561139</v>
      </c>
      <c r="D25" s="1285">
        <f>IF('Part III A-Sources of Funds'!$M$33="", 0,-'Part III A-Sources of Funds'!$M$33)</f>
        <v>-175181.94394561139</v>
      </c>
      <c r="E25" s="1285">
        <f>IF('Part III A-Sources of Funds'!$M$33="", 0,-'Part III A-Sources of Funds'!$M$33)</f>
        <v>-175181.94394561139</v>
      </c>
      <c r="F25" s="1285">
        <f>IF('Part III A-Sources of Funds'!$M$33="", 0,-'Part III A-Sources of Funds'!$M$33)</f>
        <v>-175181.94394561139</v>
      </c>
      <c r="G25" s="1285">
        <f>IF('Part III A-Sources of Funds'!$M$33="", 0,-'Part III A-Sources of Funds'!$M$33)</f>
        <v>-175181.94394561139</v>
      </c>
      <c r="H25" s="1285">
        <f>IF('Part III A-Sources of Funds'!$M$33="", 0,-'Part III A-Sources of Funds'!$M$33)</f>
        <v>-175181.94394561139</v>
      </c>
      <c r="I25" s="1285">
        <f>IF('Part III A-Sources of Funds'!$M$33="", 0,-'Part III A-Sources of Funds'!$M$33)</f>
        <v>-175181.94394561139</v>
      </c>
      <c r="J25" s="1285">
        <f>IF('Part III A-Sources of Funds'!$M$33="", 0,-'Part III A-Sources of Funds'!$M$33)</f>
        <v>-175181.94394561139</v>
      </c>
      <c r="K25" s="1285">
        <f>IF('Part III A-Sources of Funds'!$M$33="", 0,-'Part III A-Sources of Funds'!$M$33)</f>
        <v>-175181.94394561139</v>
      </c>
    </row>
    <row r="26" spans="1:11" ht="13.15" customHeight="1">
      <c r="A26" s="24" t="str">
        <f>IF('Part III A-Sources of Funds'!$E$32 = "Neither", "D/S Mortgage B","D/S Mortgage C")</f>
        <v>D/S Mortgage C</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1363</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808</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1337</v>
      </c>
      <c r="B29" s="1286"/>
      <c r="C29" s="1286"/>
      <c r="D29" s="1286"/>
      <c r="E29" s="1286"/>
      <c r="F29" s="1286"/>
      <c r="G29" s="1286"/>
      <c r="H29" s="1286"/>
      <c r="I29" s="1286"/>
      <c r="J29" s="1286"/>
      <c r="K29" s="1286"/>
    </row>
    <row r="30" spans="1:11" ht="13.15" customHeight="1">
      <c r="A30" s="24" t="s">
        <v>1808</v>
      </c>
      <c r="B30" s="1285">
        <f>-$G$5</f>
        <v>-6000</v>
      </c>
      <c r="C30" s="1285">
        <f>B30*1.03</f>
        <v>-6180</v>
      </c>
      <c r="D30" s="1285">
        <f t="shared" ref="D30:K30" si="7">C30*1.03</f>
        <v>-6365.4000000000005</v>
      </c>
      <c r="E30" s="1285">
        <f t="shared" si="7"/>
        <v>-6556.362000000001</v>
      </c>
      <c r="F30" s="1285">
        <f t="shared" si="7"/>
        <v>-6753.0528600000016</v>
      </c>
      <c r="G30" s="1285">
        <f t="shared" si="7"/>
        <v>-6955.6444458000014</v>
      </c>
      <c r="H30" s="1285">
        <f t="shared" si="7"/>
        <v>-7164.3137791740019</v>
      </c>
      <c r="I30" s="1285">
        <f t="shared" si="7"/>
        <v>-7379.2431925492219</v>
      </c>
      <c r="J30" s="1285">
        <f t="shared" si="7"/>
        <v>-7600.6204883256987</v>
      </c>
      <c r="K30" s="1285">
        <f t="shared" si="7"/>
        <v>-7828.6391029754695</v>
      </c>
    </row>
    <row r="31" spans="1:11" ht="13.15" customHeight="1">
      <c r="A31" s="24" t="s">
        <v>1865</v>
      </c>
      <c r="B31" s="1285">
        <f>IF('Part III A-Sources of Funds'!$M$37="", 0,-'Part III A-Sources of Funds'!$M$37)</f>
        <v>0</v>
      </c>
      <c r="C31" s="1285">
        <f>IF('Part III A-Sources of Funds'!$M$37="", 0,-'Part III A-Sources of Funds'!$M$37)</f>
        <v>0</v>
      </c>
      <c r="D31" s="1285">
        <f>IF('Part III A-Sources of Funds'!$M$37="", 0,-'Part III A-Sources of Funds'!$M$37)</f>
        <v>0</v>
      </c>
      <c r="E31" s="1285">
        <f>IF('Part III A-Sources of Funds'!$M$37="", 0,-'Part III A-Sources of Funds'!$M$37)</f>
        <v>0</v>
      </c>
      <c r="F31" s="1285">
        <f>IF('Part III A-Sources of Funds'!$M$37="", 0,-'Part III A-Sources of Funds'!$M$37)</f>
        <v>0</v>
      </c>
      <c r="G31" s="1285">
        <f>IF('Part III A-Sources of Funds'!$M$37="", 0,-'Part III A-Sources of Funds'!$M$37)</f>
        <v>0</v>
      </c>
      <c r="H31" s="1285">
        <f>IF('Part III A-Sources of Funds'!$M$37="", 0,-'Part III A-Sources of Funds'!$M$37)</f>
        <v>0</v>
      </c>
      <c r="I31" s="1285">
        <f>IF('Part III A-Sources of Funds'!$M$37="", 0,-'Part III A-Sources of Funds'!$M$37)</f>
        <v>0</v>
      </c>
      <c r="J31" s="1285">
        <f>IF('Part III A-Sources of Funds'!$M$37="", 0,-'Part III A-Sources of Funds'!$M$37)</f>
        <v>0</v>
      </c>
      <c r="K31" s="1285">
        <f>IF('Part III A-Sources of Funds'!$M$37="", 0,-'Part III A-Sources of Funds'!$M$37)</f>
        <v>0</v>
      </c>
    </row>
    <row r="32" spans="1:11" ht="13.15" customHeight="1">
      <c r="A32" s="24" t="s">
        <v>1809</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1810</v>
      </c>
      <c r="B33" s="25">
        <f t="shared" ref="B33:K33" si="9">SUM(B22:B32)</f>
        <v>39548.568054388597</v>
      </c>
      <c r="C33" s="25">
        <f t="shared" si="9"/>
        <v>40878.028294388641</v>
      </c>
      <c r="D33" s="25">
        <f t="shared" si="9"/>
        <v>42145.308439188571</v>
      </c>
      <c r="E33" s="25">
        <f t="shared" si="9"/>
        <v>43347.218207884398</v>
      </c>
      <c r="F33" s="25">
        <f t="shared" si="9"/>
        <v>44477.430713584581</v>
      </c>
      <c r="G33" s="25">
        <f t="shared" si="9"/>
        <v>45533.477547277304</v>
      </c>
      <c r="H33" s="25">
        <f t="shared" si="9"/>
        <v>46510.74369785923</v>
      </c>
      <c r="I33" s="25">
        <f t="shared" si="9"/>
        <v>47404.462303074448</v>
      </c>
      <c r="J33" s="25">
        <f t="shared" si="9"/>
        <v>48209.709225964602</v>
      </c>
      <c r="K33" s="23">
        <f t="shared" si="9"/>
        <v>48921.397451249934</v>
      </c>
    </row>
    <row r="34" spans="1:11" ht="13.15"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Second Mortgage</v>
      </c>
      <c r="B36" s="27">
        <f>IF(OR(B25=0,AND(B25=0,B24=0,B23=0)),"",-B22/(B23+B24+B25))</f>
        <v>1.2600072075266502</v>
      </c>
      <c r="C36" s="27">
        <f t="shared" ref="C36:K36" si="12">IF(OR(C25=0,AND(C25=0,C24=0,C23=0)),"",-C22/(C23+C24+C25))</f>
        <v>1.2686237361825299</v>
      </c>
      <c r="D36" s="27">
        <f t="shared" si="12"/>
        <v>1.2769161441332655</v>
      </c>
      <c r="E36" s="27">
        <f t="shared" si="12"/>
        <v>1.2848671448889615</v>
      </c>
      <c r="F36" s="27">
        <f t="shared" si="12"/>
        <v>1.2924415748548268</v>
      </c>
      <c r="G36" s="27">
        <f t="shared" si="12"/>
        <v>1.2996263245564483</v>
      </c>
      <c r="H36" s="27">
        <f t="shared" si="12"/>
        <v>1.3063960603936311</v>
      </c>
      <c r="I36" s="27">
        <f t="shared" si="12"/>
        <v>1.3127246122615943</v>
      </c>
      <c r="J36" s="27">
        <f t="shared" si="12"/>
        <v>1.3185849435008992</v>
      </c>
      <c r="K36" s="28">
        <f t="shared" si="12"/>
        <v>1.3239491198467608</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1364</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1364</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1346</v>
      </c>
      <c r="B40" s="379">
        <f>IF(OR(B20="Choose mgt fee",B20="Choose One!"),"",(B14+B15+B16+B17+B18) / -(B19+B20+B21))</f>
        <v>1.7598584180468106</v>
      </c>
      <c r="C40" s="379">
        <f t="shared" ref="C40:K40" si="16">IF(OR(C20="Choose mgt fee",C20="Choose One!"),"",(C14+C15+C16+C17+C18) / -(C19+C20+C21))</f>
        <v>1.742770899566727</v>
      </c>
      <c r="D40" s="379">
        <f t="shared" si="16"/>
        <v>1.7258503457347678</v>
      </c>
      <c r="E40" s="379">
        <f t="shared" si="16"/>
        <v>1.7090989322217256</v>
      </c>
      <c r="F40" s="379">
        <f t="shared" si="16"/>
        <v>1.6925028397633575</v>
      </c>
      <c r="G40" s="379">
        <f t="shared" si="16"/>
        <v>1.676070126335049</v>
      </c>
      <c r="H40" s="379">
        <f t="shared" si="16"/>
        <v>1.659797983654254</v>
      </c>
      <c r="I40" s="379">
        <f t="shared" si="16"/>
        <v>1.6436839001978061</v>
      </c>
      <c r="J40" s="379">
        <f t="shared" si="16"/>
        <v>1.6277256271444243</v>
      </c>
      <c r="K40" s="380">
        <f t="shared" si="16"/>
        <v>1.6119211473356505</v>
      </c>
    </row>
    <row r="41" spans="1:11" ht="13.15" customHeight="1">
      <c r="A41" s="24" t="str">
        <f>IF('Part III A-Sources of Funds'!$E$32 = "Neither", "", "Mortgage A Balance")</f>
        <v>Mortgage A Balance</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B Balance</v>
      </c>
      <c r="B42" s="1285">
        <f>IF('Part III A-Sources of Funds'!$H$33="","",-FV('Part III A-Sources of Funds'!$J$33/12,12,B25/12,'Part III A-Sources of Funds'!H33))</f>
        <v>2127570.3090954861</v>
      </c>
      <c r="C42" s="1285">
        <f>IF('Part III A-Sources of Funds'!$H$33="","",-FV('Part III A-Sources of Funds'!$J$33/12,12,C25/12,B42))</f>
        <v>2105051.6956019537</v>
      </c>
      <c r="D42" s="1285">
        <f>IF('Part III A-Sources of Funds'!$H$33="","",-FV('Part III A-Sources of Funds'!$J$33/12,12,D25/12,C42))</f>
        <v>2080854.7479072257</v>
      </c>
      <c r="E42" s="1285">
        <f>IF('Part III A-Sources of Funds'!$H$33="","",-FV('Part III A-Sources of Funds'!$J$33/12,12,E25/12,D42))</f>
        <v>2054854.3781282629</v>
      </c>
      <c r="F42" s="1285">
        <f>IF('Part III A-Sources of Funds'!$H$33="","",-FV('Part III A-Sources of Funds'!$J$33/12,12,F25/12,E42))</f>
        <v>2026916.175460242</v>
      </c>
      <c r="G42" s="1285">
        <f>IF('Part III A-Sources of Funds'!$H$33="","",-FV('Part III A-Sources of Funds'!$J$33/12,12,G25/12,F42))</f>
        <v>1996895.7113301142</v>
      </c>
      <c r="H42" s="1285">
        <f>IF('Part III A-Sources of Funds'!$H$33="","",-FV('Part III A-Sources of Funds'!$J$33/12,12,H25/12,G42))</f>
        <v>1964637.7927625796</v>
      </c>
      <c r="I42" s="1285">
        <f>IF('Part III A-Sources of Funds'!$H$33="","",-FV('Part III A-Sources of Funds'!$J$33/12,12,I25/12,H42))</f>
        <v>1929975.6600987019</v>
      </c>
      <c r="J42" s="1285">
        <f>IF('Part III A-Sources of Funds'!$H$33="","",-FV('Part III A-Sources of Funds'!$J$33/12,12,J25/12,I42))</f>
        <v>1892730.1249197065</v>
      </c>
      <c r="K42" s="1285">
        <f>IF('Part III A-Sources of Funds'!$H$33="","",-FV('Part III A-Sources of Funds'!$J$33/12,12,K25/12,J42))</f>
        <v>1852708.643719404</v>
      </c>
    </row>
    <row r="43" spans="1:11" ht="13.15" customHeight="1">
      <c r="A43" s="24" t="str">
        <f>IF('Part III A-Sources of Funds'!$E$32 = "Neither", "Mortgage B Balance", "Mortgage C Balance")</f>
        <v>Mortgage C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1365</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1365</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1900</v>
      </c>
      <c r="B46" s="1287" t="str">
        <f>IF('Part III A-Sources of Funds'!$H$37="","",-FV('Part III A-Sources of Funds'!$J$37/12,12,B31/12,'Part III A-Sources of Funds'!H37))</f>
        <v/>
      </c>
      <c r="C46" s="1287" t="str">
        <f>IF('Part III A-Sources of Funds'!$H$37="","",-FV('Part III A-Sources of Funds'!$J$37/12,12,C31/12,B46))</f>
        <v/>
      </c>
      <c r="D46" s="1287" t="str">
        <f>IF('Part III A-Sources of Funds'!$H$37="","",-FV('Part III A-Sources of Funds'!$J$37/12,12,D31/12,C46))</f>
        <v/>
      </c>
      <c r="E46" s="1287" t="str">
        <f>IF('Part III A-Sources of Funds'!$H$37="","",-FV('Part III A-Sources of Funds'!$J$37/12,12,E31/12,D46))</f>
        <v/>
      </c>
      <c r="F46" s="1287" t="str">
        <f>IF('Part III A-Sources of Funds'!$H$37="","",-FV('Part III A-Sources of Funds'!$J$37/12,12,F31/12,E46))</f>
        <v/>
      </c>
      <c r="G46" s="1287" t="str">
        <f>IF('Part III A-Sources of Funds'!$H$37="","",-FV('Part III A-Sources of Funds'!$J$37/12,12,G31/12,F46))</f>
        <v/>
      </c>
      <c r="H46" s="1287" t="str">
        <f>IF('Part III A-Sources of Funds'!$H$37="","",-FV('Part III A-Sources of Funds'!$J$37/12,12,H31/12,G46))</f>
        <v/>
      </c>
      <c r="I46" s="1287" t="str">
        <f>IF('Part III A-Sources of Funds'!$H$37="","",-FV('Part III A-Sources of Funds'!$J$37/12,12,I31/12,H46))</f>
        <v/>
      </c>
      <c r="J46" s="1287" t="str">
        <f>IF('Part III A-Sources of Funds'!$H$37="","",-FV('Part III A-Sources of Funds'!$J$37/12,12,J31/12,I46))</f>
        <v/>
      </c>
      <c r="K46" s="1287" t="str">
        <f>IF('Part III A-Sources of Funds'!$H$37="","",-FV('Part III A-Sources of Funds'!$J$37/12,12,K31/12,J46))</f>
        <v/>
      </c>
    </row>
    <row r="47" spans="1:11" ht="4.1500000000000004" customHeight="1">
      <c r="B47" s="20"/>
      <c r="C47" s="20"/>
      <c r="D47" s="20"/>
      <c r="E47" s="20"/>
      <c r="F47" s="20"/>
      <c r="G47" s="20"/>
      <c r="H47" s="20"/>
      <c r="I47" s="20"/>
      <c r="J47" s="20"/>
      <c r="K47" s="20"/>
    </row>
    <row r="48" spans="1:11" ht="14.45" customHeight="1">
      <c r="A48" s="16" t="s">
        <v>3754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3643</v>
      </c>
      <c r="B49" s="22">
        <f t="shared" ref="B49:K49" si="18">$B$14*(1+$B$5)^(B48-1)</f>
        <v>656940.47282357456</v>
      </c>
      <c r="C49" s="22">
        <f t="shared" si="18"/>
        <v>670079.28228004591</v>
      </c>
      <c r="D49" s="22">
        <f t="shared" si="18"/>
        <v>683480.86792564695</v>
      </c>
      <c r="E49" s="22">
        <f t="shared" si="18"/>
        <v>697150.48528415977</v>
      </c>
      <c r="F49" s="22">
        <f t="shared" si="18"/>
        <v>711093.49498984311</v>
      </c>
      <c r="G49" s="22">
        <f t="shared" si="18"/>
        <v>725315.36488963966</v>
      </c>
      <c r="H49" s="22">
        <f t="shared" si="18"/>
        <v>739821.67218743265</v>
      </c>
      <c r="I49" s="22">
        <f t="shared" si="18"/>
        <v>754618.10563118139</v>
      </c>
      <c r="J49" s="22">
        <f t="shared" si="18"/>
        <v>769710.46774380491</v>
      </c>
      <c r="K49" s="23">
        <f t="shared" si="18"/>
        <v>785104.67709868099</v>
      </c>
    </row>
    <row r="50" spans="1:11" ht="13.15" customHeight="1">
      <c r="A50" s="24" t="s">
        <v>1633</v>
      </c>
      <c r="B50" s="25">
        <f t="shared" ref="B50:K50" si="19">$B$15*(1+$B$5)^(B48-1)</f>
        <v>13138.80945647149</v>
      </c>
      <c r="C50" s="25">
        <f t="shared" si="19"/>
        <v>13401.585645600917</v>
      </c>
      <c r="D50" s="25">
        <f t="shared" si="19"/>
        <v>13669.617358512938</v>
      </c>
      <c r="E50" s="25">
        <f t="shared" si="19"/>
        <v>13943.009705683195</v>
      </c>
      <c r="F50" s="25">
        <f t="shared" si="19"/>
        <v>14221.86989979686</v>
      </c>
      <c r="G50" s="25">
        <f t="shared" si="19"/>
        <v>14506.307297792793</v>
      </c>
      <c r="H50" s="25">
        <f t="shared" si="19"/>
        <v>14796.433443748652</v>
      </c>
      <c r="I50" s="25">
        <f t="shared" si="19"/>
        <v>15092.362112623627</v>
      </c>
      <c r="J50" s="25">
        <f t="shared" si="19"/>
        <v>15394.209354876097</v>
      </c>
      <c r="K50" s="26">
        <f t="shared" si="19"/>
        <v>15702.093541973618</v>
      </c>
    </row>
    <row r="51" spans="1:11" ht="13.15" customHeight="1">
      <c r="A51" s="24" t="s">
        <v>3644</v>
      </c>
      <c r="B51" s="25">
        <f t="shared" ref="B51:K51" si="20">-(B49+B50)*$B$8</f>
        <v>-46905.549759603229</v>
      </c>
      <c r="C51" s="25">
        <f t="shared" si="20"/>
        <v>-47843.660754795281</v>
      </c>
      <c r="D51" s="25">
        <f t="shared" si="20"/>
        <v>-48800.533969891199</v>
      </c>
      <c r="E51" s="25">
        <f t="shared" si="20"/>
        <v>-49776.544649289011</v>
      </c>
      <c r="F51" s="25">
        <f t="shared" si="20"/>
        <v>-50772.075542274804</v>
      </c>
      <c r="G51" s="25">
        <f t="shared" si="20"/>
        <v>-51787.517053120275</v>
      </c>
      <c r="H51" s="25">
        <f t="shared" si="20"/>
        <v>-52823.267394182694</v>
      </c>
      <c r="I51" s="25">
        <f t="shared" si="20"/>
        <v>-53879.732742066357</v>
      </c>
      <c r="J51" s="25">
        <f t="shared" si="20"/>
        <v>-54957.327396907676</v>
      </c>
      <c r="K51" s="26">
        <f t="shared" si="20"/>
        <v>-56056.473944845828</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949</v>
      </c>
      <c r="B54" s="25">
        <f t="shared" ref="B54:K54" si="21">$B$19*(1+$B$6)^(B48-1)</f>
        <v>-333467.31512303627</v>
      </c>
      <c r="C54" s="25">
        <f t="shared" si="21"/>
        <v>-343471.33457672736</v>
      </c>
      <c r="D54" s="25">
        <f t="shared" si="21"/>
        <v>-353775.47461402917</v>
      </c>
      <c r="E54" s="25">
        <f t="shared" si="21"/>
        <v>-364388.73885244998</v>
      </c>
      <c r="F54" s="25">
        <f t="shared" si="21"/>
        <v>-375320.40101802355</v>
      </c>
      <c r="G54" s="25">
        <f t="shared" si="21"/>
        <v>-386580.01304856426</v>
      </c>
      <c r="H54" s="25">
        <f t="shared" si="21"/>
        <v>-398177.41344002116</v>
      </c>
      <c r="I54" s="25">
        <f t="shared" si="21"/>
        <v>-410122.73584322177</v>
      </c>
      <c r="J54" s="25">
        <f t="shared" si="21"/>
        <v>-422426.41791851842</v>
      </c>
      <c r="K54" s="26">
        <f t="shared" si="21"/>
        <v>-435099.21045607398</v>
      </c>
    </row>
    <row r="55" spans="1:11" ht="13.15" customHeight="1">
      <c r="A55" s="24" t="s">
        <v>1747</v>
      </c>
      <c r="B55" s="25">
        <f>IF(AND('Part VII-Pro Forma'!$G$8="Yes",'Part VII-Pro Forma'!$G$9="Yes"),"Choose One!",IF('Part VII-Pro Forma'!$G$8="Yes",ROUND((-$K$8*(1+'Part VII-Pro Forma'!$B$6)^('Part VII-Pro Forma'!B48-1)),),IF('Part VII-Pro Forma'!$G$9="Yes",ROUND((-(SUM(B49:B52)*'Part VII-Pro Forma'!$K$9)),),"Choose mgt fee")))</f>
        <v>-36095</v>
      </c>
      <c r="C55" s="25">
        <f>IF(AND('Part VII-Pro Forma'!$G$8="Yes",'Part VII-Pro Forma'!$G$9="Yes"),"Choose One!",IF('Part VII-Pro Forma'!$G$8="Yes",ROUND((-$K$8*(1+'Part VII-Pro Forma'!$B$6)^('Part VII-Pro Forma'!C48-1)),),IF('Part VII-Pro Forma'!$G$9="Yes",ROUND((-(SUM(C49:C52)*'Part VII-Pro Forma'!$K$9)),),"Choose mgt fee")))</f>
        <v>-37178</v>
      </c>
      <c r="D55" s="25">
        <f>IF(AND('Part VII-Pro Forma'!$G$8="Yes",'Part VII-Pro Forma'!$G$9="Yes"),"Choose One!",IF('Part VII-Pro Forma'!$G$8="Yes",ROUND((-$K$8*(1+'Part VII-Pro Forma'!$B$6)^('Part VII-Pro Forma'!D48-1)),),IF('Part VII-Pro Forma'!$G$9="Yes",ROUND((-(SUM(D49:D52)*'Part VII-Pro Forma'!$K$9)),),"Choose mgt fee")))</f>
        <v>-38293</v>
      </c>
      <c r="E55" s="25">
        <f>IF(AND('Part VII-Pro Forma'!$G$8="Yes",'Part VII-Pro Forma'!$G$9="Yes"),"Choose One!",IF('Part VII-Pro Forma'!$G$8="Yes",ROUND((-$K$8*(1+'Part VII-Pro Forma'!$B$6)^('Part VII-Pro Forma'!E48-1)),),IF('Part VII-Pro Forma'!$G$9="Yes",ROUND((-(SUM(E49:E52)*'Part VII-Pro Forma'!$K$9)),),"Choose mgt fee")))</f>
        <v>-39442</v>
      </c>
      <c r="F55" s="25">
        <f>IF(AND('Part VII-Pro Forma'!$G$8="Yes",'Part VII-Pro Forma'!$G$9="Yes"),"Choose One!",IF('Part VII-Pro Forma'!$G$8="Yes",ROUND((-$K$8*(1+'Part VII-Pro Forma'!$B$6)^('Part VII-Pro Forma'!F48-1)),),IF('Part VII-Pro Forma'!$G$9="Yes",ROUND((-(SUM(F49:F52)*'Part VII-Pro Forma'!$K$9)),),"Choose mgt fee")))</f>
        <v>-40625</v>
      </c>
      <c r="G55" s="25">
        <f>IF(AND('Part VII-Pro Forma'!$G$8="Yes",'Part VII-Pro Forma'!$G$9="Yes"),"Choose One!",IF('Part VII-Pro Forma'!$G$8="Yes",ROUND((-$K$8*(1+'Part VII-Pro Forma'!$B$6)^('Part VII-Pro Forma'!G48-1)),),IF('Part VII-Pro Forma'!$G$9="Yes",ROUND((-(SUM(G49:G52)*'Part VII-Pro Forma'!$K$9)),),"Choose mgt fee")))</f>
        <v>-41844</v>
      </c>
      <c r="H55" s="25">
        <f>IF(AND('Part VII-Pro Forma'!$G$8="Yes",'Part VII-Pro Forma'!$G$9="Yes"),"Choose One!",IF('Part VII-Pro Forma'!$G$8="Yes",ROUND((-$K$8*(1+'Part VII-Pro Forma'!$B$6)^('Part VII-Pro Forma'!H48-1)),),IF('Part VII-Pro Forma'!$G$9="Yes",ROUND((-(SUM(H49:H52)*'Part VII-Pro Forma'!$K$9)),),"Choose mgt fee")))</f>
        <v>-43099</v>
      </c>
      <c r="I55" s="25">
        <f>IF(AND('Part VII-Pro Forma'!$G$8="Yes",'Part VII-Pro Forma'!$G$9="Yes"),"Choose One!",IF('Part VII-Pro Forma'!$G$8="Yes",ROUND((-$K$8*(1+'Part VII-Pro Forma'!$B$6)^('Part VII-Pro Forma'!I48-1)),),IF('Part VII-Pro Forma'!$G$9="Yes",ROUND((-(SUM(I49:I52)*'Part VII-Pro Forma'!$K$9)),),"Choose mgt fee")))</f>
        <v>-44392</v>
      </c>
      <c r="J55" s="25">
        <f>IF(AND('Part VII-Pro Forma'!$G$8="Yes",'Part VII-Pro Forma'!$G$9="Yes"),"Choose One!",IF('Part VII-Pro Forma'!$G$8="Yes",ROUND((-$K$8*(1+'Part VII-Pro Forma'!$B$6)^('Part VII-Pro Forma'!J48-1)),),IF('Part VII-Pro Forma'!$G$9="Yes",ROUND((-(SUM(J49:J52)*'Part VII-Pro Forma'!$K$9)),),"Choose mgt fee")))</f>
        <v>-45724</v>
      </c>
      <c r="K55" s="25">
        <f>IF(AND('Part VII-Pro Forma'!$G$8="Yes",'Part VII-Pro Forma'!$G$9="Yes"),"Choose One!",IF('Part VII-Pro Forma'!$G$8="Yes",ROUND((-$K$8*(1+'Part VII-Pro Forma'!$B$6)^('Part VII-Pro Forma'!K48-1)),),IF('Part VII-Pro Forma'!$G$9="Yes",ROUND((-(SUM(K49:K52)*'Part VII-Pro Forma'!$K$9)),),"Choose mgt fee")))</f>
        <v>-47096</v>
      </c>
    </row>
    <row r="56" spans="1:11" ht="13.15" customHeight="1">
      <c r="A56" s="24" t="s">
        <v>1863</v>
      </c>
      <c r="B56" s="25">
        <f t="shared" ref="B56:K56" si="22">$B$21*(1+$B$7)^(B48-1)</f>
        <v>-20830.703879833887</v>
      </c>
      <c r="C56" s="25">
        <f t="shared" si="22"/>
        <v>-21455.624996228904</v>
      </c>
      <c r="D56" s="25">
        <f t="shared" si="22"/>
        <v>-22099.293746115767</v>
      </c>
      <c r="E56" s="25">
        <f t="shared" si="22"/>
        <v>-22762.27255849924</v>
      </c>
      <c r="F56" s="25">
        <f t="shared" si="22"/>
        <v>-23445.140735254219</v>
      </c>
      <c r="G56" s="25">
        <f t="shared" si="22"/>
        <v>-24148.49495731185</v>
      </c>
      <c r="H56" s="25">
        <f t="shared" si="22"/>
        <v>-24872.9498060312</v>
      </c>
      <c r="I56" s="25">
        <f t="shared" si="22"/>
        <v>-25619.138300212137</v>
      </c>
      <c r="J56" s="25">
        <f t="shared" si="22"/>
        <v>-26387.712449218499</v>
      </c>
      <c r="K56" s="26">
        <f t="shared" si="22"/>
        <v>-27179.343822695053</v>
      </c>
    </row>
    <row r="57" spans="1:11" ht="13.15" customHeight="1">
      <c r="A57" s="24" t="s">
        <v>1864</v>
      </c>
      <c r="B57" s="25">
        <f t="shared" ref="B57:K57" si="23">SUM(B49:B56)</f>
        <v>232780.71351757264</v>
      </c>
      <c r="C57" s="25">
        <f t="shared" si="23"/>
        <v>233532.24759789527</v>
      </c>
      <c r="D57" s="25">
        <f t="shared" si="23"/>
        <v>234182.18295412371</v>
      </c>
      <c r="E57" s="25">
        <f t="shared" si="23"/>
        <v>234723.93892960477</v>
      </c>
      <c r="F57" s="25">
        <f t="shared" si="23"/>
        <v>235152.7475940875</v>
      </c>
      <c r="G57" s="25">
        <f t="shared" si="23"/>
        <v>235461.64712843602</v>
      </c>
      <c r="H57" s="25">
        <f t="shared" si="23"/>
        <v>235645.47499094618</v>
      </c>
      <c r="I57" s="25">
        <f t="shared" si="23"/>
        <v>235696.86085830475</v>
      </c>
      <c r="J57" s="25">
        <f t="shared" si="23"/>
        <v>235609.21933403634</v>
      </c>
      <c r="K57" s="26">
        <f t="shared" si="23"/>
        <v>235375.74241703973</v>
      </c>
    </row>
    <row r="58" spans="1:11" ht="13.15" customHeight="1">
      <c r="A58" s="24" t="str">
        <f t="shared" ref="A58:A63" si="24">$A23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B</v>
      </c>
      <c r="B60" s="1285">
        <f>IF('Part III A-Sources of Funds'!$M$33="", 0,-'Part III A-Sources of Funds'!$M$33)</f>
        <v>-175181.94394561139</v>
      </c>
      <c r="C60" s="1285">
        <f>IF('Part III A-Sources of Funds'!$M$33="", 0,-'Part III A-Sources of Funds'!$M$33)</f>
        <v>-175181.94394561139</v>
      </c>
      <c r="D60" s="1285">
        <f>IF('Part III A-Sources of Funds'!$M$33="", 0,-'Part III A-Sources of Funds'!$M$33)</f>
        <v>-175181.94394561139</v>
      </c>
      <c r="E60" s="1285">
        <f>IF('Part III A-Sources of Funds'!$M$33="", 0,-'Part III A-Sources of Funds'!$M$33)</f>
        <v>-175181.94394561139</v>
      </c>
      <c r="F60" s="1285">
        <f>IF('Part III A-Sources of Funds'!$M$33="", 0,-'Part III A-Sources of Funds'!$M$33)</f>
        <v>-175181.94394561139</v>
      </c>
      <c r="G60" s="1285">
        <f>IF('Part III A-Sources of Funds'!$M$33="", 0,-'Part III A-Sources of Funds'!$M$33)</f>
        <v>-175181.94394561139</v>
      </c>
      <c r="H60" s="1285">
        <f>IF('Part III A-Sources of Funds'!$M$33="", 0,-'Part III A-Sources of Funds'!$M$33)</f>
        <v>-175181.94394561139</v>
      </c>
      <c r="I60" s="1285">
        <f>IF('Part III A-Sources of Funds'!$M$33="", 0,-'Part III A-Sources of Funds'!$M$33)</f>
        <v>-175181.94394561139</v>
      </c>
      <c r="J60" s="1285">
        <f>IF('Part III A-Sources of Funds'!$M$33="", 0,-'Part III A-Sources of Funds'!$M$33)</f>
        <v>-175181.94394561139</v>
      </c>
      <c r="K60" s="1285">
        <f>IF('Part III A-Sources of Funds'!$M$33="", 0,-'Part III A-Sources of Funds'!$M$33)</f>
        <v>-175181.94394561139</v>
      </c>
    </row>
    <row r="61" spans="1:11" ht="13.15" customHeight="1">
      <c r="A61" s="24" t="str">
        <f t="shared" si="24"/>
        <v>D/S Mortgage C</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1337</v>
      </c>
      <c r="B64" s="1286"/>
      <c r="C64" s="1286"/>
      <c r="D64" s="1286"/>
      <c r="E64" s="1286"/>
      <c r="F64" s="1286"/>
      <c r="G64" s="1286"/>
      <c r="H64" s="1286"/>
      <c r="I64" s="1286"/>
      <c r="J64" s="1286"/>
      <c r="K64" s="1286"/>
    </row>
    <row r="65" spans="1:11" ht="13.15" customHeight="1">
      <c r="A65" s="24" t="s">
        <v>1808</v>
      </c>
      <c r="B65" s="1285">
        <f>+K30*1.03</f>
        <v>-8063.4982760647335</v>
      </c>
      <c r="C65" s="1285">
        <f t="shared" ref="C65:F65" si="25">B65*1.03</f>
        <v>-8305.4032243466754</v>
      </c>
      <c r="D65" s="1285">
        <f t="shared" si="25"/>
        <v>-8554.5653210770761</v>
      </c>
      <c r="E65" s="1285">
        <f t="shared" si="25"/>
        <v>-8811.202280709389</v>
      </c>
      <c r="F65" s="1285">
        <f t="shared" si="25"/>
        <v>-9075.5383491306711</v>
      </c>
      <c r="G65" s="1285"/>
      <c r="H65" s="1285"/>
      <c r="I65" s="1285"/>
      <c r="J65" s="1285"/>
      <c r="K65" s="1285"/>
    </row>
    <row r="66" spans="1:11" ht="13.15" customHeight="1">
      <c r="A66" s="24" t="s">
        <v>1865</v>
      </c>
      <c r="B66" s="1285">
        <f>IF('Part III A-Sources of Funds'!$M$37="", 0,-'Part III A-Sources of Funds'!$M$37)</f>
        <v>0</v>
      </c>
      <c r="C66" s="1285">
        <f>IF('Part III A-Sources of Funds'!$M$37="", 0,-'Part III A-Sources of Funds'!$M$37)</f>
        <v>0</v>
      </c>
      <c r="D66" s="1285">
        <f>IF('Part III A-Sources of Funds'!$M$37="", 0,-'Part III A-Sources of Funds'!$M$37)</f>
        <v>0</v>
      </c>
      <c r="E66" s="1285">
        <f>IF('Part III A-Sources of Funds'!$M$37="", 0,-'Part III A-Sources of Funds'!$M$37)</f>
        <v>0</v>
      </c>
      <c r="F66" s="1285">
        <f>IF('Part III A-Sources of Funds'!$M$37="", 0,-'Part III A-Sources of Funds'!$M$37)</f>
        <v>0</v>
      </c>
      <c r="G66" s="1285">
        <f>IF('Part III A-Sources of Funds'!$M$37="", 0,-'Part III A-Sources of Funds'!$M$37)</f>
        <v>0</v>
      </c>
      <c r="H66" s="1285">
        <f>IF('Part III A-Sources of Funds'!$M$37="", 0,-'Part III A-Sources of Funds'!$M$37)</f>
        <v>0</v>
      </c>
      <c r="I66" s="1285">
        <f>IF('Part III A-Sources of Funds'!$M$37="", 0,-'Part III A-Sources of Funds'!$M$37)</f>
        <v>0</v>
      </c>
      <c r="J66" s="1285">
        <f>IF('Part III A-Sources of Funds'!$M$37="", 0,-'Part III A-Sources of Funds'!$M$37)</f>
        <v>0</v>
      </c>
      <c r="K66" s="1285">
        <f>IF('Part III A-Sources of Funds'!$M$37="", 0,-'Part III A-Sources of Funds'!$M$37)</f>
        <v>0</v>
      </c>
    </row>
    <row r="67" spans="1:11" ht="13.15" customHeight="1">
      <c r="A67" s="24" t="s">
        <v>1809</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1810</v>
      </c>
      <c r="B68" s="25">
        <f t="shared" ref="B68:K68" si="27">SUM(B57:B67)</f>
        <v>49535.27129589652</v>
      </c>
      <c r="C68" s="25">
        <f t="shared" si="27"/>
        <v>50044.900427937202</v>
      </c>
      <c r="D68" s="25">
        <f t="shared" si="27"/>
        <v>50445.673687435243</v>
      </c>
      <c r="E68" s="25">
        <f t="shared" si="27"/>
        <v>50730.792703283994</v>
      </c>
      <c r="F68" s="25">
        <f t="shared" si="27"/>
        <v>50895.265299345439</v>
      </c>
      <c r="G68" s="25">
        <f t="shared" si="27"/>
        <v>60279.703182824625</v>
      </c>
      <c r="H68" s="25">
        <f t="shared" si="27"/>
        <v>60463.531045334792</v>
      </c>
      <c r="I68" s="25">
        <f t="shared" si="27"/>
        <v>60514.916912693356</v>
      </c>
      <c r="J68" s="25">
        <f t="shared" si="27"/>
        <v>60427.275388424954</v>
      </c>
      <c r="K68" s="23">
        <f t="shared" si="27"/>
        <v>60193.798471428338</v>
      </c>
    </row>
    <row r="69" spans="1:11" ht="13.15" customHeight="1">
      <c r="A69" s="24" t="str">
        <f t="shared" ref="A69:A74" si="28">$A34</f>
        <v>DCR First Mortgage</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DCR USDA/HUD Fee</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Second Mortgage</v>
      </c>
      <c r="B71" s="27">
        <f>IF(OR(B60=0,AND(B60=0,B59=0,B58=0)),"",-B57/(B58+B59+B60))</f>
        <v>1.3287939856966304</v>
      </c>
      <c r="C71" s="27">
        <f t="shared" ref="C71:K71" si="31">IF(OR(C60=0,AND(C60=0,C59=0,C58=0)),"",-C57/(C58+C59+C60))</f>
        <v>1.3330840059087359</v>
      </c>
      <c r="D71" s="27">
        <f t="shared" si="31"/>
        <v>1.3367940649570031</v>
      </c>
      <c r="E71" s="27">
        <f t="shared" si="31"/>
        <v>1.3398865981443804</v>
      </c>
      <c r="F71" s="27">
        <f t="shared" si="31"/>
        <v>1.3423343884521295</v>
      </c>
      <c r="G71" s="27">
        <f t="shared" si="31"/>
        <v>1.3440976953740142</v>
      </c>
      <c r="H71" s="27">
        <f t="shared" si="31"/>
        <v>1.345147049310669</v>
      </c>
      <c r="I71" s="27">
        <f t="shared" si="31"/>
        <v>1.345440377870686</v>
      </c>
      <c r="J71" s="27">
        <f t="shared" si="31"/>
        <v>1.3449400893004462</v>
      </c>
      <c r="K71" s="28">
        <f t="shared" si="31"/>
        <v>1.3436073211410227</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1346</v>
      </c>
      <c r="B75" s="379">
        <f>IF(OR(B55="Choose mgt fee",B55="Choose One!"),"",(B49+B50+B51+B52+B53) / -(B54+B55+B56))</f>
        <v>1.5962727359012054</v>
      </c>
      <c r="C75" s="379">
        <f t="shared" ref="C75:K75" si="35">IF(OR(C55="Choose mgt fee",C55="Choose One!"),"",(C49+C50+C51+C52+C53) / -(C54+C55+C56))</f>
        <v>1.5807743526613334</v>
      </c>
      <c r="D75" s="379">
        <f t="shared" si="35"/>
        <v>1.5654283139447192</v>
      </c>
      <c r="E75" s="379">
        <f t="shared" si="35"/>
        <v>1.5502292176640664</v>
      </c>
      <c r="F75" s="379">
        <f t="shared" si="35"/>
        <v>1.5351793569697005</v>
      </c>
      <c r="G75" s="379">
        <f t="shared" si="35"/>
        <v>1.52027386322233</v>
      </c>
      <c r="H75" s="379">
        <f t="shared" si="35"/>
        <v>1.5055149563007406</v>
      </c>
      <c r="I75" s="379">
        <f t="shared" si="35"/>
        <v>1.4908982130844057</v>
      </c>
      <c r="J75" s="379">
        <f t="shared" si="35"/>
        <v>1.4764227566413091</v>
      </c>
      <c r="K75" s="380">
        <f t="shared" si="35"/>
        <v>1.4620877514196045</v>
      </c>
    </row>
    <row r="76" spans="1:11" ht="13.15" customHeight="1">
      <c r="A76" s="24" t="str">
        <f>IF('Part III A-Sources of Funds'!$E$32 = "Neither", "", "First Mortgage Balance")</f>
        <v>First Mortgage Balance</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Second Mortgage Balance</v>
      </c>
      <c r="B77" s="1285">
        <f>IF('Part III A-Sources of Funds'!$H$33="","",-FV('Part III A-Sources of Funds'!$J$33/12,12,B60/12,K42))</f>
        <v>1809704.3225365132</v>
      </c>
      <c r="C77" s="1285">
        <f>IF('Part III A-Sources of Funds'!$H$33="","",-FV('Part III A-Sources of Funds'!$J$33/12,12,C60/12,B77))</f>
        <v>1763494.8474012641</v>
      </c>
      <c r="D77" s="1285">
        <f>IF('Part III A-Sources of Funds'!$H$33="","",-FV('Part III A-Sources of Funds'!$J$33/12,12,D60/12,C77))</f>
        <v>1713841.335067142</v>
      </c>
      <c r="E77" s="1285">
        <f>IF('Part III A-Sources of Funds'!$H$33="","",-FV('Part III A-Sources of Funds'!$J$33/12,12,E60/12,D77))</f>
        <v>1660487.0980865511</v>
      </c>
      <c r="F77" s="1285">
        <f>IF('Part III A-Sources of Funds'!$H$33="","",-FV('Part III A-Sources of Funds'!$J$33/12,12,F60/12,E77))</f>
        <v>1603156.3178463622</v>
      </c>
      <c r="G77" s="1285">
        <f>IF('Part III A-Sources of Funds'!$H$33="","",-FV('Part III A-Sources of Funds'!$J$33/12,12,G60/12,F77))</f>
        <v>1541552.6187035087</v>
      </c>
      <c r="H77" s="1285">
        <f>IF('Part III A-Sources of Funds'!$H$33="","",-FV('Part III A-Sources of Funds'!$J$33/12,12,H60/12,G77))</f>
        <v>1475357.5358495186</v>
      </c>
      <c r="I77" s="1285">
        <f>IF('Part III A-Sources of Funds'!$H$33="","",-FV('Part III A-Sources of Funds'!$J$33/12,12,I60/12,H77))</f>
        <v>1404228.8689834974</v>
      </c>
      <c r="J77" s="1285">
        <f>IF('Part III A-Sources of Funds'!$H$33="","",-FV('Part III A-Sources of Funds'!$J$33/12,12,J60/12,I77))</f>
        <v>1327798.9132827551</v>
      </c>
      <c r="K77" s="1285">
        <f>IF('Part III A-Sources of Funds'!$H$33="","",-FV('Part III A-Sources of Funds'!$J$33/12,12,K60/12,J77))</f>
        <v>1245672.5585259506</v>
      </c>
    </row>
    <row r="78" spans="1:11" ht="13.15" customHeight="1">
      <c r="A78" s="24" t="str">
        <f>IF('Part III A-Sources of Funds'!$E$32 = "Neither", "Second Mortgage Balance", "Third Mortgage Balance")</f>
        <v>Third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1365</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1365</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1900</v>
      </c>
      <c r="B81" s="1287" t="str">
        <f>IF('Part III A-Sources of Funds'!$H$37="","",-FV('Part III A-Sources of Funds'!$J$37/12,12,B66/12,K46))</f>
        <v/>
      </c>
      <c r="C81" s="1287" t="str">
        <f>IF('Part III A-Sources of Funds'!$H$37="","",-FV('Part III A-Sources of Funds'!$J$37/12,12,C66/12,B81))</f>
        <v/>
      </c>
      <c r="D81" s="1287" t="str">
        <f>IF('Part III A-Sources of Funds'!$H$37="","",-FV('Part III A-Sources of Funds'!$J$37/12,12,D66/12,C81))</f>
        <v/>
      </c>
      <c r="E81" s="1287" t="str">
        <f>IF('Part III A-Sources of Funds'!$H$37="","",-FV('Part III A-Sources of Funds'!$J$37/12,12,E66/12,D81))</f>
        <v/>
      </c>
      <c r="F81" s="1287" t="str">
        <f>IF('Part III A-Sources of Funds'!$H$37="","",-FV('Part III A-Sources of Funds'!$J$37/12,12,F66/12,E81))</f>
        <v/>
      </c>
      <c r="G81" s="1287" t="str">
        <f>IF('Part III A-Sources of Funds'!$H$37="","",-FV('Part III A-Sources of Funds'!$J$37/12,12,G66/12,F81))</f>
        <v/>
      </c>
      <c r="H81" s="1287" t="str">
        <f>IF('Part III A-Sources of Funds'!$H$37="","",-FV('Part III A-Sources of Funds'!$J$37/12,12,H66/12,G81))</f>
        <v/>
      </c>
      <c r="I81" s="1287" t="str">
        <f>IF('Part III A-Sources of Funds'!$H$37="","",-FV('Part III A-Sources of Funds'!$J$37/12,12,I66/12,H81))</f>
        <v/>
      </c>
      <c r="J81" s="1287" t="str">
        <f>IF('Part III A-Sources of Funds'!$H$37="","",-FV('Part III A-Sources of Funds'!$J$37/12,12,J66/12,I81))</f>
        <v/>
      </c>
      <c r="K81" s="1287" t="str">
        <f>IF('Part III A-Sources of Funds'!$H$37="","",-FV('Part III A-Sources of Funds'!$J$37/12,12,K66/12,J81))</f>
        <v/>
      </c>
    </row>
    <row r="82" spans="1:11" ht="4.1500000000000004" customHeight="1">
      <c r="B82" s="20"/>
      <c r="C82" s="20"/>
      <c r="D82" s="20"/>
      <c r="E82" s="20"/>
      <c r="F82" s="20"/>
      <c r="G82" s="20"/>
      <c r="H82" s="20"/>
      <c r="I82" s="20"/>
      <c r="J82" s="20"/>
      <c r="K82" s="20"/>
    </row>
    <row r="83" spans="1:11" ht="14.45" customHeight="1">
      <c r="A83" s="16" t="s">
        <v>3754</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3643</v>
      </c>
      <c r="B84" s="22">
        <f t="shared" ref="B84:K84" si="37">$B$14*(1+$B$5)^(B83-1)</f>
        <v>800806.77064065472</v>
      </c>
      <c r="C84" s="22">
        <f t="shared" si="37"/>
        <v>816822.90605346765</v>
      </c>
      <c r="D84" s="22">
        <f t="shared" si="37"/>
        <v>833159.36417453713</v>
      </c>
      <c r="E84" s="22">
        <f t="shared" si="37"/>
        <v>849822.55145802768</v>
      </c>
      <c r="F84" s="22">
        <f t="shared" si="37"/>
        <v>866819.00248718832</v>
      </c>
      <c r="G84" s="22">
        <f t="shared" si="37"/>
        <v>884155.38253693201</v>
      </c>
      <c r="H84" s="22">
        <f t="shared" si="37"/>
        <v>901838.4901876708</v>
      </c>
      <c r="I84" s="22">
        <f t="shared" si="37"/>
        <v>919875.25999142404</v>
      </c>
      <c r="J84" s="22">
        <f t="shared" si="37"/>
        <v>938272.76519125269</v>
      </c>
      <c r="K84" s="23">
        <f t="shared" si="37"/>
        <v>957038.22049507766</v>
      </c>
    </row>
    <row r="85" spans="1:11" ht="13.15" customHeight="1">
      <c r="A85" s="24" t="s">
        <v>1633</v>
      </c>
      <c r="B85" s="25">
        <f t="shared" ref="B85:K85" si="38">$B$15*(1+$B$5)^(B83-1)</f>
        <v>16016.135412813093</v>
      </c>
      <c r="C85" s="25">
        <f t="shared" si="38"/>
        <v>16336.458121069354</v>
      </c>
      <c r="D85" s="25">
        <f t="shared" si="38"/>
        <v>16663.187283490741</v>
      </c>
      <c r="E85" s="25">
        <f t="shared" si="38"/>
        <v>16996.451029160555</v>
      </c>
      <c r="F85" s="25">
        <f t="shared" si="38"/>
        <v>17336.380049743766</v>
      </c>
      <c r="G85" s="25">
        <f t="shared" si="38"/>
        <v>17683.107650738639</v>
      </c>
      <c r="H85" s="25">
        <f t="shared" si="38"/>
        <v>18036.769803753414</v>
      </c>
      <c r="I85" s="25">
        <f t="shared" si="38"/>
        <v>18397.50519982848</v>
      </c>
      <c r="J85" s="25">
        <f t="shared" si="38"/>
        <v>18765.455303825052</v>
      </c>
      <c r="K85" s="26">
        <f t="shared" si="38"/>
        <v>19140.764409901552</v>
      </c>
    </row>
    <row r="86" spans="1:11" ht="13.15" customHeight="1">
      <c r="A86" s="24" t="s">
        <v>3644</v>
      </c>
      <c r="B86" s="25">
        <f t="shared" ref="B86:K86" si="39">-(B84+B85)*$B$8</f>
        <v>-57177.603423742752</v>
      </c>
      <c r="C86" s="25">
        <f t="shared" si="39"/>
        <v>-58321.155492217593</v>
      </c>
      <c r="D86" s="25">
        <f t="shared" si="39"/>
        <v>-59487.578602061956</v>
      </c>
      <c r="E86" s="25">
        <f t="shared" si="39"/>
        <v>-60677.330174103183</v>
      </c>
      <c r="F86" s="25">
        <f t="shared" si="39"/>
        <v>-61890.876777585254</v>
      </c>
      <c r="G86" s="25">
        <f t="shared" si="39"/>
        <v>-63128.694313136955</v>
      </c>
      <c r="H86" s="25">
        <f t="shared" si="39"/>
        <v>-64391.268199399696</v>
      </c>
      <c r="I86" s="25">
        <f t="shared" si="39"/>
        <v>-65679.09356338768</v>
      </c>
      <c r="J86" s="25">
        <f t="shared" si="39"/>
        <v>-66992.675434655452</v>
      </c>
      <c r="K86" s="26">
        <f t="shared" si="39"/>
        <v>-68332.52894334856</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949</v>
      </c>
      <c r="B89" s="25">
        <f t="shared" ref="B89:K89" si="40">$B$19*(1+$B$6)^(B83-1)</f>
        <v>-448152.1867697562</v>
      </c>
      <c r="C89" s="25">
        <f t="shared" si="40"/>
        <v>-461596.7523728488</v>
      </c>
      <c r="D89" s="25">
        <f t="shared" si="40"/>
        <v>-475444.65494403429</v>
      </c>
      <c r="E89" s="25">
        <f t="shared" si="40"/>
        <v>-489707.99459235539</v>
      </c>
      <c r="F89" s="25">
        <f t="shared" si="40"/>
        <v>-504399.23443012597</v>
      </c>
      <c r="G89" s="25">
        <f t="shared" si="40"/>
        <v>-519531.21146302973</v>
      </c>
      <c r="H89" s="25">
        <f t="shared" si="40"/>
        <v>-535117.14780692069</v>
      </c>
      <c r="I89" s="25">
        <f t="shared" si="40"/>
        <v>-551170.66224112827</v>
      </c>
      <c r="J89" s="25">
        <f t="shared" si="40"/>
        <v>-567705.78210836207</v>
      </c>
      <c r="K89" s="26">
        <f t="shared" si="40"/>
        <v>-584736.95557161293</v>
      </c>
    </row>
    <row r="90" spans="1:11" ht="13.15" customHeight="1">
      <c r="A90" s="24" t="s">
        <v>1747</v>
      </c>
      <c r="B90" s="25">
        <f>IF(AND('Part VII-Pro Forma'!$G$8="Yes",'Part VII-Pro Forma'!$G$9="Yes"),"Choose One!",IF('Part VII-Pro Forma'!$G$8="Yes",ROUND((-$K$8*(1+'Part VII-Pro Forma'!$B$6)^('Part VII-Pro Forma'!B83-1)),),IF('Part VII-Pro Forma'!$G$9="Yes",ROUND((-(SUM(B84:B87)*'Part VII-Pro Forma'!$K$9)),),"Choose mgt fee")))</f>
        <v>-48509</v>
      </c>
      <c r="C90" s="25">
        <f>IF(AND('Part VII-Pro Forma'!$G$8="Yes",'Part VII-Pro Forma'!$G$9="Yes"),"Choose One!",IF('Part VII-Pro Forma'!$G$8="Yes",ROUND((-$K$8*(1+'Part VII-Pro Forma'!$B$6)^('Part VII-Pro Forma'!C83-1)),),IF('Part VII-Pro Forma'!$G$9="Yes",ROUND((-(SUM(C84:C87)*'Part VII-Pro Forma'!$K$9)),),"Choose mgt fee")))</f>
        <v>-49964</v>
      </c>
      <c r="D90" s="25">
        <f>IF(AND('Part VII-Pro Forma'!$G$8="Yes",'Part VII-Pro Forma'!$G$9="Yes"),"Choose One!",IF('Part VII-Pro Forma'!$G$8="Yes",ROUND((-$K$8*(1+'Part VII-Pro Forma'!$B$6)^('Part VII-Pro Forma'!D83-1)),),IF('Part VII-Pro Forma'!$G$9="Yes",ROUND((-(SUM(D84:D87)*'Part VII-Pro Forma'!$K$9)),),"Choose mgt fee")))</f>
        <v>-51463</v>
      </c>
      <c r="E90" s="25">
        <f>IF(AND('Part VII-Pro Forma'!$G$8="Yes",'Part VII-Pro Forma'!$G$9="Yes"),"Choose One!",IF('Part VII-Pro Forma'!$G$8="Yes",ROUND((-$K$8*(1+'Part VII-Pro Forma'!$B$6)^('Part VII-Pro Forma'!E83-1)),),IF('Part VII-Pro Forma'!$G$9="Yes",ROUND((-(SUM(E84:E87)*'Part VII-Pro Forma'!$K$9)),),"Choose mgt fee")))</f>
        <v>-53007</v>
      </c>
      <c r="F90" s="25">
        <f>IF(AND('Part VII-Pro Forma'!$G$8="Yes",'Part VII-Pro Forma'!$G$9="Yes"),"Choose One!",IF('Part VII-Pro Forma'!$G$8="Yes",ROUND((-$K$8*(1+'Part VII-Pro Forma'!$B$6)^('Part VII-Pro Forma'!F83-1)),),IF('Part VII-Pro Forma'!$G$9="Yes",ROUND((-(SUM(F84:F87)*'Part VII-Pro Forma'!$K$9)),),"Choose mgt fee")))</f>
        <v>-54597</v>
      </c>
      <c r="G90" s="25">
        <f>IF(AND('Part VII-Pro Forma'!$G$8="Yes",'Part VII-Pro Forma'!$G$9="Yes"),"Choose One!",IF('Part VII-Pro Forma'!$G$8="Yes",ROUND((-$K$8*(1+'Part VII-Pro Forma'!$B$6)^('Part VII-Pro Forma'!G83-1)),),IF('Part VII-Pro Forma'!$G$9="Yes",ROUND((-(SUM(G84:G87)*'Part VII-Pro Forma'!$K$9)),),"Choose mgt fee")))</f>
        <v>-56235</v>
      </c>
      <c r="H90" s="25">
        <f>IF(AND('Part VII-Pro Forma'!$G$8="Yes",'Part VII-Pro Forma'!$G$9="Yes"),"Choose One!",IF('Part VII-Pro Forma'!$G$8="Yes",ROUND((-$K$8*(1+'Part VII-Pro Forma'!$B$6)^('Part VII-Pro Forma'!H83-1)),),IF('Part VII-Pro Forma'!$G$9="Yes",ROUND((-(SUM(H84:H87)*'Part VII-Pro Forma'!$K$9)),),"Choose mgt fee")))</f>
        <v>-57922</v>
      </c>
      <c r="I90" s="25">
        <f>IF(AND('Part VII-Pro Forma'!$G$8="Yes",'Part VII-Pro Forma'!$G$9="Yes"),"Choose One!",IF('Part VII-Pro Forma'!$G$8="Yes",ROUND((-$K$8*(1+'Part VII-Pro Forma'!$B$6)^('Part VII-Pro Forma'!I83-1)),),IF('Part VII-Pro Forma'!$G$9="Yes",ROUND((-(SUM(I84:I87)*'Part VII-Pro Forma'!$K$9)),),"Choose mgt fee")))</f>
        <v>-59659</v>
      </c>
      <c r="J90" s="25">
        <f>IF(AND('Part VII-Pro Forma'!$G$8="Yes",'Part VII-Pro Forma'!$G$9="Yes"),"Choose One!",IF('Part VII-Pro Forma'!$G$8="Yes",ROUND((-$K$8*(1+'Part VII-Pro Forma'!$B$6)^('Part VII-Pro Forma'!J83-1)),),IF('Part VII-Pro Forma'!$G$9="Yes",ROUND((-(SUM(J84:J87)*'Part VII-Pro Forma'!$K$9)),),"Choose mgt fee")))</f>
        <v>-61449</v>
      </c>
      <c r="K90" s="25">
        <f>IF(AND('Part VII-Pro Forma'!$G$8="Yes",'Part VII-Pro Forma'!$G$9="Yes"),"Choose One!",IF('Part VII-Pro Forma'!$G$8="Yes",ROUND((-$K$8*(1+'Part VII-Pro Forma'!$B$6)^('Part VII-Pro Forma'!K83-1)),),IF('Part VII-Pro Forma'!$G$9="Yes",ROUND((-(SUM(K84:K87)*'Part VII-Pro Forma'!$K$9)),),"Choose mgt fee")))</f>
        <v>-63293</v>
      </c>
    </row>
    <row r="91" spans="1:11" ht="13.15" customHeight="1">
      <c r="A91" s="24" t="s">
        <v>1863</v>
      </c>
      <c r="B91" s="25">
        <f t="shared" ref="B91:K91" si="41">$B$21*(1+$B$7)^(B83-1)</f>
        <v>-27994.724137375906</v>
      </c>
      <c r="C91" s="25">
        <f t="shared" si="41"/>
        <v>-28834.56586149718</v>
      </c>
      <c r="D91" s="25">
        <f t="shared" si="41"/>
        <v>-29699.602837342096</v>
      </c>
      <c r="E91" s="25">
        <f t="shared" si="41"/>
        <v>-30590.590922462361</v>
      </c>
      <c r="F91" s="25">
        <f t="shared" si="41"/>
        <v>-31508.308650136227</v>
      </c>
      <c r="G91" s="25">
        <f t="shared" si="41"/>
        <v>-32453.557909640316</v>
      </c>
      <c r="H91" s="25">
        <f t="shared" si="41"/>
        <v>-33427.16464692953</v>
      </c>
      <c r="I91" s="25">
        <f t="shared" si="41"/>
        <v>-34429.979586337409</v>
      </c>
      <c r="J91" s="25">
        <f t="shared" si="41"/>
        <v>-35462.878973927531</v>
      </c>
      <c r="K91" s="26">
        <f t="shared" si="41"/>
        <v>-36526.765343145358</v>
      </c>
    </row>
    <row r="92" spans="1:11" ht="13.15" customHeight="1">
      <c r="A92" s="24" t="s">
        <v>1864</v>
      </c>
      <c r="B92" s="25">
        <f t="shared" ref="B92:K92" si="42">SUM(B84:B91)</f>
        <v>234989.39172259296</v>
      </c>
      <c r="C92" s="25">
        <f t="shared" si="42"/>
        <v>234442.89044797339</v>
      </c>
      <c r="D92" s="25">
        <f t="shared" si="42"/>
        <v>233727.71507458956</v>
      </c>
      <c r="E92" s="25">
        <f t="shared" si="42"/>
        <v>232836.08679826732</v>
      </c>
      <c r="F92" s="25">
        <f t="shared" si="42"/>
        <v>231759.96267908468</v>
      </c>
      <c r="G92" s="25">
        <f t="shared" si="42"/>
        <v>230490.02650186367</v>
      </c>
      <c r="H92" s="25">
        <f t="shared" si="42"/>
        <v>229017.67933817423</v>
      </c>
      <c r="I92" s="25">
        <f t="shared" si="42"/>
        <v>227334.02980039926</v>
      </c>
      <c r="J92" s="25">
        <f t="shared" si="42"/>
        <v>225427.88397813268</v>
      </c>
      <c r="K92" s="26">
        <f t="shared" si="42"/>
        <v>223289.7350468724</v>
      </c>
    </row>
    <row r="93" spans="1:11" ht="13.15" customHeight="1">
      <c r="A93" s="24" t="str">
        <f t="shared" ref="A93:A98" si="43">$A58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B</v>
      </c>
      <c r="B95" s="1285">
        <f>IF('Part III A-Sources of Funds'!$M$33="", 0,-'Part III A-Sources of Funds'!$M$33)</f>
        <v>-175181.94394561139</v>
      </c>
      <c r="C95" s="1285">
        <f>IF('Part III A-Sources of Funds'!$M$33="", 0,-'Part III A-Sources of Funds'!$M$33)</f>
        <v>-175181.94394561139</v>
      </c>
      <c r="D95" s="1285">
        <f>IF('Part III A-Sources of Funds'!$M$33="", 0,-'Part III A-Sources of Funds'!$M$33)</f>
        <v>-175181.94394561139</v>
      </c>
      <c r="E95" s="1285">
        <f>IF('Part III A-Sources of Funds'!$M$33="", 0,-'Part III A-Sources of Funds'!$M$33)</f>
        <v>-175181.94394561139</v>
      </c>
      <c r="F95" s="1285">
        <f>IF('Part III A-Sources of Funds'!$M$33="", 0,-'Part III A-Sources of Funds'!$M$33)</f>
        <v>-175181.94394561139</v>
      </c>
      <c r="G95" s="1285">
        <f>IF('Part III A-Sources of Funds'!$M$33="", 0,-'Part III A-Sources of Funds'!$M$33)</f>
        <v>-175181.94394561139</v>
      </c>
      <c r="H95" s="1285">
        <f>IF('Part III A-Sources of Funds'!$M$33="", 0,-'Part III A-Sources of Funds'!$M$33)</f>
        <v>-175181.94394561139</v>
      </c>
      <c r="I95" s="1285">
        <f>IF('Part III A-Sources of Funds'!$M$33="", 0,-'Part III A-Sources of Funds'!$M$33)</f>
        <v>-175181.94394561139</v>
      </c>
      <c r="J95" s="1285">
        <f>IF('Part III A-Sources of Funds'!$M$33="", 0,-'Part III A-Sources of Funds'!$M$33)</f>
        <v>-175181.94394561139</v>
      </c>
      <c r="K95" s="1285">
        <f>IF('Part III A-Sources of Funds'!$M$33="", 0,-'Part III A-Sources of Funds'!$M$33)</f>
        <v>-175181.94394561139</v>
      </c>
    </row>
    <row r="96" spans="1:11" ht="13.15" customHeight="1">
      <c r="A96" s="24" t="str">
        <f t="shared" si="43"/>
        <v>D/S Mortgage C</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1337</v>
      </c>
      <c r="B99" s="1286"/>
      <c r="C99" s="1286"/>
      <c r="D99" s="1286"/>
      <c r="E99" s="1286"/>
      <c r="F99" s="1286"/>
      <c r="G99" s="1286"/>
      <c r="H99" s="1286"/>
      <c r="I99" s="1286"/>
      <c r="J99" s="1286"/>
      <c r="K99" s="1286"/>
    </row>
    <row r="100" spans="1:11" ht="13.15" customHeight="1">
      <c r="A100" s="24" t="s">
        <v>1808</v>
      </c>
      <c r="B100" s="1285"/>
      <c r="C100" s="1285"/>
      <c r="D100" s="1285"/>
      <c r="E100" s="1285"/>
      <c r="F100" s="1285"/>
      <c r="G100" s="1285"/>
      <c r="H100" s="1285"/>
      <c r="I100" s="1285"/>
      <c r="J100" s="1285"/>
      <c r="K100" s="1285"/>
    </row>
    <row r="101" spans="1:11" ht="13.15" customHeight="1">
      <c r="A101" s="24" t="s">
        <v>1865</v>
      </c>
      <c r="B101" s="1285">
        <f>IF('Part III A-Sources of Funds'!$M$37="", 0,-'Part III A-Sources of Funds'!$M$37)</f>
        <v>0</v>
      </c>
      <c r="C101" s="1285">
        <f>IF('Part III A-Sources of Funds'!$M$37="", 0,-'Part III A-Sources of Funds'!$M$37)</f>
        <v>0</v>
      </c>
      <c r="D101" s="1285">
        <f>IF('Part III A-Sources of Funds'!$M$37="", 0,-'Part III A-Sources of Funds'!$M$37)</f>
        <v>0</v>
      </c>
      <c r="E101" s="1285">
        <f>IF('Part III A-Sources of Funds'!$M$37="", 0,-'Part III A-Sources of Funds'!$M$37)</f>
        <v>0</v>
      </c>
      <c r="F101" s="1285">
        <f>IF('Part III A-Sources of Funds'!$M$37="", 0,-'Part III A-Sources of Funds'!$M$37)</f>
        <v>0</v>
      </c>
      <c r="G101" s="1285">
        <f>IF('Part III A-Sources of Funds'!$M$37="", 0,-'Part III A-Sources of Funds'!$M$37)</f>
        <v>0</v>
      </c>
      <c r="H101" s="1285">
        <f>IF('Part III A-Sources of Funds'!$M$37="", 0,-'Part III A-Sources of Funds'!$M$37)</f>
        <v>0</v>
      </c>
      <c r="I101" s="1285">
        <f>IF('Part III A-Sources of Funds'!$M$37="", 0,-'Part III A-Sources of Funds'!$M$37)</f>
        <v>0</v>
      </c>
      <c r="J101" s="1285">
        <f>IF('Part III A-Sources of Funds'!$M$37="", 0,-'Part III A-Sources of Funds'!$M$37)</f>
        <v>0</v>
      </c>
      <c r="K101" s="1285">
        <f>IF('Part III A-Sources of Funds'!$M$37="", 0,-'Part III A-Sources of Funds'!$M$37)</f>
        <v>0</v>
      </c>
    </row>
    <row r="102" spans="1:11" ht="13.15" customHeight="1">
      <c r="A102" s="24" t="s">
        <v>1809</v>
      </c>
      <c r="B102" s="1287">
        <f>+K67</f>
        <v>0</v>
      </c>
      <c r="C102" s="1287">
        <f t="shared" ref="C102:K102" si="44">+B102</f>
        <v>0</v>
      </c>
      <c r="D102" s="1287">
        <f t="shared" si="44"/>
        <v>0</v>
      </c>
      <c r="E102" s="1287">
        <f t="shared" si="44"/>
        <v>0</v>
      </c>
      <c r="F102" s="1287">
        <f t="shared" si="44"/>
        <v>0</v>
      </c>
      <c r="G102" s="1287">
        <f t="shared" si="44"/>
        <v>0</v>
      </c>
      <c r="H102" s="1287">
        <f t="shared" si="44"/>
        <v>0</v>
      </c>
      <c r="I102" s="1287">
        <f t="shared" si="44"/>
        <v>0</v>
      </c>
      <c r="J102" s="1287">
        <f t="shared" si="44"/>
        <v>0</v>
      </c>
      <c r="K102" s="1287">
        <f t="shared" si="44"/>
        <v>0</v>
      </c>
    </row>
    <row r="103" spans="1:11" ht="13.15" customHeight="1">
      <c r="A103" s="24" t="s">
        <v>1810</v>
      </c>
      <c r="B103" s="25">
        <f t="shared" ref="B103:K103" si="45">SUM(B92:B102)</f>
        <v>59807.447776981571</v>
      </c>
      <c r="C103" s="25">
        <f t="shared" si="45"/>
        <v>59260.946502362</v>
      </c>
      <c r="D103" s="25">
        <f t="shared" si="45"/>
        <v>58545.771128978173</v>
      </c>
      <c r="E103" s="25">
        <f t="shared" si="45"/>
        <v>57654.142852655932</v>
      </c>
      <c r="F103" s="25">
        <f t="shared" si="45"/>
        <v>56578.018733473291</v>
      </c>
      <c r="G103" s="25">
        <f t="shared" si="45"/>
        <v>55308.08255625228</v>
      </c>
      <c r="H103" s="25">
        <f t="shared" si="45"/>
        <v>53835.735392562841</v>
      </c>
      <c r="I103" s="25">
        <f t="shared" si="45"/>
        <v>52152.085854787874</v>
      </c>
      <c r="J103" s="25">
        <f t="shared" si="45"/>
        <v>50245.940032521292</v>
      </c>
      <c r="K103" s="23">
        <f t="shared" si="45"/>
        <v>48107.791101261013</v>
      </c>
    </row>
    <row r="104" spans="1:11" ht="13.15" customHeight="1">
      <c r="A104" s="24" t="str">
        <f t="shared" ref="A104:A109" si="46">$A69</f>
        <v>DCR First Mortgage</v>
      </c>
      <c r="B104" s="27" t="str">
        <f>IF(B93=0,"",-B92/B93)</f>
        <v/>
      </c>
      <c r="C104" s="27" t="str">
        <f t="shared" ref="C104:K104" si="47">IF(C93=0,"",-C92/C93)</f>
        <v/>
      </c>
      <c r="D104" s="27" t="str">
        <f t="shared" si="47"/>
        <v/>
      </c>
      <c r="E104" s="27" t="str">
        <f t="shared" si="47"/>
        <v/>
      </c>
      <c r="F104" s="27" t="str">
        <f t="shared" si="47"/>
        <v/>
      </c>
      <c r="G104" s="27" t="str">
        <f t="shared" si="47"/>
        <v/>
      </c>
      <c r="H104" s="27" t="str">
        <f t="shared" si="47"/>
        <v/>
      </c>
      <c r="I104" s="27" t="str">
        <f t="shared" si="47"/>
        <v/>
      </c>
      <c r="J104" s="27" t="str">
        <f t="shared" si="47"/>
        <v/>
      </c>
      <c r="K104" s="28" t="str">
        <f t="shared" si="47"/>
        <v/>
      </c>
    </row>
    <row r="105" spans="1:11" ht="13.15" customHeight="1">
      <c r="A105" s="24" t="str">
        <f t="shared" si="46"/>
        <v>DCR USDA/HUD Fee</v>
      </c>
      <c r="B105" s="27" t="str">
        <f>IF(OR(B94=0,AND(B94=0,B93=0)),"",-B92/(B93+B94))</f>
        <v/>
      </c>
      <c r="C105" s="27" t="str">
        <f t="shared" ref="C105:K105" si="48">IF(OR(C94=0,AND(C94=0,C93=0)),"",-C92/(C93+C94))</f>
        <v/>
      </c>
      <c r="D105" s="27" t="str">
        <f t="shared" si="48"/>
        <v/>
      </c>
      <c r="E105" s="27" t="str">
        <f t="shared" si="48"/>
        <v/>
      </c>
      <c r="F105" s="27" t="str">
        <f t="shared" si="48"/>
        <v/>
      </c>
      <c r="G105" s="27" t="str">
        <f t="shared" si="48"/>
        <v/>
      </c>
      <c r="H105" s="27" t="str">
        <f t="shared" si="48"/>
        <v/>
      </c>
      <c r="I105" s="27" t="str">
        <f t="shared" si="48"/>
        <v/>
      </c>
      <c r="J105" s="27" t="str">
        <f t="shared" si="48"/>
        <v/>
      </c>
      <c r="K105" s="28" t="str">
        <f t="shared" si="48"/>
        <v/>
      </c>
    </row>
    <row r="106" spans="1:11" ht="13.15" customHeight="1">
      <c r="A106" s="24" t="str">
        <f t="shared" si="46"/>
        <v>DCR Second Mortgage</v>
      </c>
      <c r="B106" s="27">
        <f>IF(OR(B95=0,AND(B95=0,B94=0,B93=0)),"",-B92/(B93+B94+B95))</f>
        <v>1.3414018958229506</v>
      </c>
      <c r="C106" s="27">
        <f t="shared" ref="C106:K106" si="49">IF(OR(C95=0,AND(C95=0,C94=0,C93=0)),"",-C92/(C93+C94+C95))</f>
        <v>1.3382822748031653</v>
      </c>
      <c r="D106" s="27">
        <f t="shared" si="49"/>
        <v>1.3341998028470037</v>
      </c>
      <c r="E106" s="27">
        <f t="shared" si="49"/>
        <v>1.3291100758109853</v>
      </c>
      <c r="F106" s="27">
        <f t="shared" si="49"/>
        <v>1.3229671817721067</v>
      </c>
      <c r="G106" s="27">
        <f t="shared" si="49"/>
        <v>1.3157179405054653</v>
      </c>
      <c r="H106" s="27">
        <f t="shared" si="49"/>
        <v>1.3073132663105804</v>
      </c>
      <c r="I106" s="27">
        <f t="shared" si="49"/>
        <v>1.2977024040273208</v>
      </c>
      <c r="J106" s="27">
        <f t="shared" si="49"/>
        <v>1.2868214548876173</v>
      </c>
      <c r="K106" s="28">
        <f t="shared" si="49"/>
        <v>1.2746161506016682</v>
      </c>
    </row>
    <row r="107" spans="1:11" ht="13.15" customHeight="1">
      <c r="A107" s="24" t="str">
        <f t="shared" si="46"/>
        <v>DCR Third Mortgage</v>
      </c>
      <c r="B107" s="27" t="str">
        <f>IF(OR(B96=0,AND(B93=0,B94=0,B95=0,B96=0)),"",-B92/(B93+B94+B95+B96))</f>
        <v/>
      </c>
      <c r="C107" s="27" t="str">
        <f t="shared" ref="C107:K107" si="50">IF(OR(C96=0,AND(C93=0,C94=0,C95=0,C96=0)),"",-C92/(C93+C94+C95+C96))</f>
        <v/>
      </c>
      <c r="D107" s="27" t="str">
        <f t="shared" si="50"/>
        <v/>
      </c>
      <c r="E107" s="27" t="str">
        <f t="shared" si="50"/>
        <v/>
      </c>
      <c r="F107" s="27" t="str">
        <f t="shared" si="50"/>
        <v/>
      </c>
      <c r="G107" s="27" t="str">
        <f t="shared" si="50"/>
        <v/>
      </c>
      <c r="H107" s="27" t="str">
        <f t="shared" si="50"/>
        <v/>
      </c>
      <c r="I107" s="27" t="str">
        <f t="shared" si="50"/>
        <v/>
      </c>
      <c r="J107" s="27" t="str">
        <f t="shared" si="50"/>
        <v/>
      </c>
      <c r="K107" s="28" t="str">
        <f t="shared" si="50"/>
        <v/>
      </c>
    </row>
    <row r="108" spans="1:11" ht="13.15" customHeight="1">
      <c r="A108" s="24" t="str">
        <f t="shared" si="46"/>
        <v>DCR Other Source</v>
      </c>
      <c r="B108" s="27" t="str">
        <f>IF(OR(B97=0,AND(B93=0,B94=0,B95=0,B96=0,B97=0)),"",-B92/(B93+B94+B95+B96+B97))</f>
        <v/>
      </c>
      <c r="C108" s="27" t="str">
        <f t="shared" ref="C108:K108" si="51">IF(OR(C97=0,AND(C93=0,C94=0,C95=0,C96=0,C97=0)),"",-C92/(C93+C94+C95+C96+C97))</f>
        <v/>
      </c>
      <c r="D108" s="27" t="str">
        <f t="shared" si="51"/>
        <v/>
      </c>
      <c r="E108" s="27" t="str">
        <f t="shared" si="51"/>
        <v/>
      </c>
      <c r="F108" s="27" t="str">
        <f t="shared" si="51"/>
        <v/>
      </c>
      <c r="G108" s="27" t="str">
        <f t="shared" si="51"/>
        <v/>
      </c>
      <c r="H108" s="27" t="str">
        <f t="shared" si="51"/>
        <v/>
      </c>
      <c r="I108" s="27" t="str">
        <f t="shared" si="51"/>
        <v/>
      </c>
      <c r="J108" s="27" t="str">
        <f t="shared" si="51"/>
        <v/>
      </c>
      <c r="K108" s="28" t="str">
        <f t="shared" si="51"/>
        <v/>
      </c>
    </row>
    <row r="109" spans="1:11" ht="13.15" customHeight="1">
      <c r="A109" s="24" t="str">
        <f t="shared" si="46"/>
        <v>DCR Other Source</v>
      </c>
      <c r="B109" s="27" t="str">
        <f>IF(OR(B98=0,AND(B93=0,B94=0,B95=0,B96=0,B97=0,B98=0)),"",-B92/(B93+B94+B95+B96+B97+B98))</f>
        <v/>
      </c>
      <c r="C109" s="27" t="str">
        <f t="shared" ref="C109:K109" si="52">IF(OR(C98=0,AND(C93=0,C94=0,C95=0,C96=0,C97=0,C98=0)),"",-C92/(C93+C94+C95+C96+C97+C98))</f>
        <v/>
      </c>
      <c r="D109" s="27" t="str">
        <f t="shared" si="52"/>
        <v/>
      </c>
      <c r="E109" s="27" t="str">
        <f t="shared" si="52"/>
        <v/>
      </c>
      <c r="F109" s="27" t="str">
        <f t="shared" si="52"/>
        <v/>
      </c>
      <c r="G109" s="27" t="str">
        <f t="shared" si="52"/>
        <v/>
      </c>
      <c r="H109" s="27" t="str">
        <f t="shared" si="52"/>
        <v/>
      </c>
      <c r="I109" s="27" t="str">
        <f t="shared" si="52"/>
        <v/>
      </c>
      <c r="J109" s="27" t="str">
        <f t="shared" si="52"/>
        <v/>
      </c>
      <c r="K109" s="28" t="str">
        <f t="shared" si="52"/>
        <v/>
      </c>
    </row>
    <row r="110" spans="1:11" ht="13.15" customHeight="1">
      <c r="A110" s="24" t="s">
        <v>1346</v>
      </c>
      <c r="B110" s="379">
        <f>IF(OR(B90="Choose mgt fee",B90="Choose One!"),"",(B84+B85+B86+B87+B88) / -(B89+B90+B91))</f>
        <v>1.4478923935428374</v>
      </c>
      <c r="C110" s="379">
        <f t="shared" ref="C110:K110" si="53">IF(OR(C90="Choose mgt fee",C90="Choose One!"),"",(C84+C85+C86+C87+C88) / -(C89+C90+C91))</f>
        <v>1.43383590223168</v>
      </c>
      <c r="D110" s="379">
        <f t="shared" si="53"/>
        <v>1.4199149612353652</v>
      </c>
      <c r="E110" s="379">
        <f t="shared" si="53"/>
        <v>1.4061291092937545</v>
      </c>
      <c r="F110" s="379">
        <f t="shared" si="53"/>
        <v>1.392477865572634</v>
      </c>
      <c r="G110" s="379">
        <f t="shared" si="53"/>
        <v>1.3789584589458439</v>
      </c>
      <c r="H110" s="379">
        <f t="shared" si="53"/>
        <v>1.3655706217324262</v>
      </c>
      <c r="I110" s="379">
        <f t="shared" si="53"/>
        <v>1.3523140377361234</v>
      </c>
      <c r="J110" s="379">
        <f t="shared" si="53"/>
        <v>1.3391843117906872</v>
      </c>
      <c r="K110" s="380">
        <f t="shared" si="53"/>
        <v>1.3261814955939593</v>
      </c>
    </row>
    <row r="111" spans="1:11" ht="13.15" customHeight="1">
      <c r="A111" s="24" t="str">
        <f>IF('Part III A-Sources of Funds'!$E$32 = "Neither", "", "First Mortgage Balance")</f>
        <v>First Mortgage Balance</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Second Mortgage Balance</v>
      </c>
      <c r="B112" s="1285">
        <f>IF('Part III A-Sources of Funds'!$H$33="","",-FV('Part III A-Sources of Funds'!$J$33/12,12,B95/12,K77))</f>
        <v>1157425.2465420319</v>
      </c>
      <c r="C112" s="1285">
        <f>IF('Part III A-Sources of Funds'!$H$33="","",-FV('Part III A-Sources of Funds'!$J$33/12,12,C95/12,B112))</f>
        <v>1062600.7764258555</v>
      </c>
      <c r="D112" s="1285">
        <f>IF('Part III A-Sources of Funds'!$H$33="","",-FV('Part III A-Sources of Funds'!$J$33/12,12,D95/12,C112))</f>
        <v>960708.94617438933</v>
      </c>
      <c r="E112" s="1285">
        <f>IF('Part III A-Sources of Funds'!$H$33="","",-FV('Part III A-Sources of Funds'!$J$33/12,12,E95/12,D112))</f>
        <v>851223.01855176303</v>
      </c>
      <c r="F112" s="1285">
        <f>IF('Part III A-Sources of Funds'!$H$33="","",-FV('Part III A-Sources of Funds'!$J$33/12,12,F95/12,E112))</f>
        <v>733576.99808277178</v>
      </c>
      <c r="G112" s="1285">
        <f>IF('Part III A-Sources of Funds'!$H$33="","",-FV('Part III A-Sources of Funds'!$J$33/12,12,G95/12,F112))</f>
        <v>607162.70509805367</v>
      </c>
      <c r="H112" s="1285">
        <f>IF('Part III A-Sources of Funds'!$H$33="","",-FV('Part III A-Sources of Funds'!$J$33/12,12,H95/12,G112))</f>
        <v>471326.63170500391</v>
      </c>
      <c r="I112" s="1285">
        <f>IF('Part III A-Sources of Funds'!$H$33="","",-FV('Part III A-Sources of Funds'!$J$33/12,12,I95/12,H112))</f>
        <v>325366.56343113736</v>
      </c>
      <c r="J112" s="1285">
        <f>IF('Part III A-Sources of Funds'!$H$33="","",-FV('Part III A-Sources of Funds'!$J$33/12,12,J95/12,I112))</f>
        <v>168527.9490752409</v>
      </c>
      <c r="K112" s="1285">
        <f>IF('Part III A-Sources of Funds'!$H$33="","",-FV('Part III A-Sources of Funds'!$J$33/12,12,K95/12,J112))</f>
        <v>-5.0349626690149307E-9</v>
      </c>
    </row>
    <row r="113" spans="1:11" ht="13.15" customHeight="1">
      <c r="A113" s="24" t="str">
        <f>IF('Part III A-Sources of Funds'!$E$32 = "Neither", "Second Mortgage Balance", "Third Mortgage Balance")</f>
        <v>Third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1365</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1365</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1900</v>
      </c>
      <c r="B116" s="1287" t="str">
        <f>IF('Part III A-Sources of Funds'!$H$37="","",-FV('Part III A-Sources of Funds'!$J$37/12,12,B101/12,K81))</f>
        <v/>
      </c>
      <c r="C116" s="1287" t="str">
        <f>IF('Part III A-Sources of Funds'!$H$37="","",-FV('Part III A-Sources of Funds'!$J$37/12,12,C101/12,B116))</f>
        <v/>
      </c>
      <c r="D116" s="1287" t="str">
        <f>IF('Part III A-Sources of Funds'!$H$37="","",-FV('Part III A-Sources of Funds'!$J$37/12,12,D101/12,C116))</f>
        <v/>
      </c>
      <c r="E116" s="1287" t="str">
        <f>IF('Part III A-Sources of Funds'!$H$37="","",-FV('Part III A-Sources of Funds'!$J$37/12,12,E101/12,D116))</f>
        <v/>
      </c>
      <c r="F116" s="1287" t="str">
        <f>IF('Part III A-Sources of Funds'!$H$37="","",-FV('Part III A-Sources of Funds'!$J$37/12,12,F101/12,E116))</f>
        <v/>
      </c>
      <c r="G116" s="1287" t="str">
        <f>IF('Part III A-Sources of Funds'!$H$37="","",-FV('Part III A-Sources of Funds'!$J$37/12,12,G101/12,F116))</f>
        <v/>
      </c>
      <c r="H116" s="1287" t="str">
        <f>IF('Part III A-Sources of Funds'!$H$37="","",-FV('Part III A-Sources of Funds'!$J$37/12,12,H101/12,G116))</f>
        <v/>
      </c>
      <c r="I116" s="1287" t="str">
        <f>IF('Part III A-Sources of Funds'!$H$37="","",-FV('Part III A-Sources of Funds'!$J$37/12,12,I101/12,H116))</f>
        <v/>
      </c>
      <c r="J116" s="1287" t="str">
        <f>IF('Part III A-Sources of Funds'!$H$37="","",-FV('Part III A-Sources of Funds'!$J$37/12,12,J101/12,I116))</f>
        <v/>
      </c>
      <c r="K116" s="1287" t="str">
        <f>IF('Part III A-Sources of Funds'!$H$37="","",-FV('Part III A-Sources of Funds'!$J$37/12,12,K101/12,J116))</f>
        <v/>
      </c>
    </row>
    <row r="117" spans="1:11" ht="4.1500000000000004" customHeight="1">
      <c r="B117" s="20"/>
      <c r="C117" s="20"/>
      <c r="D117" s="20"/>
      <c r="E117" s="20"/>
      <c r="F117" s="20"/>
      <c r="G117" s="20"/>
      <c r="H117" s="20"/>
      <c r="I117" s="20"/>
      <c r="J117" s="20"/>
      <c r="K117" s="20"/>
    </row>
    <row r="118" spans="1:11" ht="14.45" customHeight="1">
      <c r="A118" s="16" t="s">
        <v>3754</v>
      </c>
      <c r="B118" s="18">
        <f>K83+1</f>
        <v>31</v>
      </c>
      <c r="C118" s="18">
        <f>B118+1</f>
        <v>32</v>
      </c>
      <c r="D118" s="18">
        <f>C118+1</f>
        <v>33</v>
      </c>
      <c r="E118" s="18">
        <f>D118+1</f>
        <v>34</v>
      </c>
      <c r="F118" s="18">
        <f>E118+1</f>
        <v>35</v>
      </c>
      <c r="G118" s="31"/>
      <c r="H118" s="31"/>
      <c r="I118" s="31"/>
      <c r="J118" s="31"/>
      <c r="K118" s="31"/>
    </row>
    <row r="119" spans="1:11" ht="13.15" customHeight="1">
      <c r="A119" s="21" t="s">
        <v>3643</v>
      </c>
      <c r="B119" s="22">
        <f>$B$14*(1+$B$5)^(B118-1)</f>
        <v>976178.98490497924</v>
      </c>
      <c r="C119" s="22">
        <f>$B$14*(1+$B$5)^(C118-1)</f>
        <v>995702.56460307864</v>
      </c>
      <c r="D119" s="22">
        <f>$B$14*(1+$B$5)^(D118-1)</f>
        <v>1015616.6158951403</v>
      </c>
      <c r="E119" s="22">
        <f>$B$14*(1+$B$5)^(E118-1)</f>
        <v>1035928.9482130433</v>
      </c>
      <c r="F119" s="23">
        <f>$B$14*(1+$B$5)^(F118-1)</f>
        <v>1056647.527177304</v>
      </c>
      <c r="G119" s="31"/>
      <c r="H119" s="31"/>
      <c r="I119" s="31"/>
      <c r="J119" s="31"/>
      <c r="K119" s="31"/>
    </row>
    <row r="120" spans="1:11" ht="13.15" customHeight="1">
      <c r="A120" s="24" t="s">
        <v>1633</v>
      </c>
      <c r="B120" s="25">
        <f>$B$15*(1+$B$5)^(B118-1)</f>
        <v>19523.579698099584</v>
      </c>
      <c r="C120" s="25">
        <f>$B$15*(1+$B$5)^(C118-1)</f>
        <v>19914.051292061573</v>
      </c>
      <c r="D120" s="25">
        <f>$B$15*(1+$B$5)^(D118-1)</f>
        <v>20312.332317902808</v>
      </c>
      <c r="E120" s="25">
        <f>$B$15*(1+$B$5)^(E118-1)</f>
        <v>20718.578964260865</v>
      </c>
      <c r="F120" s="26">
        <f>$B$15*(1+$B$5)^(F118-1)</f>
        <v>21132.950543546081</v>
      </c>
      <c r="G120" s="31"/>
      <c r="H120" s="31"/>
      <c r="I120" s="31"/>
      <c r="J120" s="31"/>
      <c r="K120" s="31"/>
    </row>
    <row r="121" spans="1:11" ht="13.15" customHeight="1">
      <c r="A121" s="24" t="s">
        <v>3644</v>
      </c>
      <c r="B121" s="25">
        <f>-(B119+B120)*$B$8</f>
        <v>-69699.179522215534</v>
      </c>
      <c r="C121" s="25">
        <f>-(C119+C120)*$B$8</f>
        <v>-71093.163112659822</v>
      </c>
      <c r="D121" s="25">
        <f>-(D119+D120)*$B$8</f>
        <v>-72515.026374913024</v>
      </c>
      <c r="E121" s="25">
        <f>-(E119+E120)*$B$8</f>
        <v>-73965.326902411296</v>
      </c>
      <c r="F121" s="26">
        <f>-(F119+F120)*$B$8</f>
        <v>-75444.633440459511</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949</v>
      </c>
      <c r="B124" s="25">
        <f>$B$19*(1+$B$6)^(B118-1)</f>
        <v>-602279.06423876132</v>
      </c>
      <c r="C124" s="25">
        <f>$B$19*(1+$B$6)^(C118-1)</f>
        <v>-620347.4361659243</v>
      </c>
      <c r="D124" s="25">
        <f>$B$19*(1+$B$6)^(D118-1)</f>
        <v>-638957.85925090185</v>
      </c>
      <c r="E124" s="25">
        <f>$B$19*(1+$B$6)^(E118-1)</f>
        <v>-658126.59502842894</v>
      </c>
      <c r="F124" s="26">
        <f>$B$19*(1+$B$6)^(F118-1)</f>
        <v>-677870.39287928166</v>
      </c>
      <c r="G124" s="31"/>
      <c r="H124" s="31"/>
      <c r="I124" s="31"/>
      <c r="J124" s="31"/>
      <c r="K124" s="31"/>
    </row>
    <row r="125" spans="1:11" ht="13.15" customHeight="1">
      <c r="A125" s="24" t="s">
        <v>1747</v>
      </c>
      <c r="B125" s="25">
        <f>IF(AND('Part VII-Pro Forma'!$G$8="Yes",'Part VII-Pro Forma'!$G$9="Yes"),"Choose One!",IF('Part VII-Pro Forma'!$G$8="Yes",ROUND((-$K$8*(1+'Part VII-Pro Forma'!$B$6)^('Part VII-Pro Forma'!B118-1)),),IF('Part VII-Pro Forma'!$G$9="Yes",ROUND((-(SUM(B119:B122)*'Part VII-Pro Forma'!$K$9)),),"Choose mgt fee")))</f>
        <v>-65191</v>
      </c>
      <c r="C125" s="25">
        <f>IF(AND('Part VII-Pro Forma'!$G$8="Yes",'Part VII-Pro Forma'!$G$9="Yes"),"Choose One!",IF('Part VII-Pro Forma'!$G$8="Yes",ROUND((-$K$8*(1+'Part VII-Pro Forma'!$B$6)^('Part VII-Pro Forma'!C118-1)),),IF('Part VII-Pro Forma'!$G$9="Yes",ROUND((-(SUM(C119:C122)*'Part VII-Pro Forma'!$K$9)),),"Choose mgt fee")))</f>
        <v>-67147</v>
      </c>
      <c r="D125" s="25">
        <f>IF(AND('Part VII-Pro Forma'!$G$8="Yes",'Part VII-Pro Forma'!$G$9="Yes"),"Choose One!",IF('Part VII-Pro Forma'!$G$8="Yes",ROUND((-$K$8*(1+'Part VII-Pro Forma'!$B$6)^('Part VII-Pro Forma'!D118-1)),),IF('Part VII-Pro Forma'!$G$9="Yes",ROUND((-(SUM(D119:D122)*'Part VII-Pro Forma'!$K$9)),),"Choose mgt fee")))</f>
        <v>-69162</v>
      </c>
      <c r="E125" s="25">
        <f>IF(AND('Part VII-Pro Forma'!$G$8="Yes",'Part VII-Pro Forma'!$G$9="Yes"),"Choose One!",IF('Part VII-Pro Forma'!$G$8="Yes",ROUND((-$K$8*(1+'Part VII-Pro Forma'!$B$6)^('Part VII-Pro Forma'!E118-1)),),IF('Part VII-Pro Forma'!$G$9="Yes",ROUND((-(SUM(E119:E122)*'Part VII-Pro Forma'!$K$9)),),"Choose mgt fee")))</f>
        <v>-71236</v>
      </c>
      <c r="F125" s="25">
        <f>IF(AND('Part VII-Pro Forma'!$G$8="Yes",'Part VII-Pro Forma'!$G$9="Yes"),"Choose One!",IF('Part VII-Pro Forma'!$G$8="Yes",ROUND((-$K$8*(1+'Part VII-Pro Forma'!$B$6)^('Part VII-Pro Forma'!F118-1)),),IF('Part VII-Pro Forma'!$G$9="Yes",ROUND((-(SUM(F119:F122)*'Part VII-Pro Forma'!$K$9)),),"Choose mgt fee")))</f>
        <v>-73374</v>
      </c>
      <c r="G125" s="31"/>
      <c r="H125" s="31"/>
      <c r="I125" s="31"/>
      <c r="J125" s="31"/>
      <c r="K125" s="31"/>
    </row>
    <row r="126" spans="1:11" ht="13.15" customHeight="1">
      <c r="A126" s="24" t="s">
        <v>1863</v>
      </c>
      <c r="B126" s="25">
        <f>$B$21*(1+$B$7)^(B118-1)</f>
        <v>-37622.568303439715</v>
      </c>
      <c r="C126" s="25">
        <f>$B$21*(1+$B$7)^(C118-1)</f>
        <v>-38751.245352542915</v>
      </c>
      <c r="D126" s="25">
        <f>$B$21*(1+$B$7)^(D118-1)</f>
        <v>-39913.782713119195</v>
      </c>
      <c r="E126" s="25">
        <f>$B$21*(1+$B$7)^(E118-1)</f>
        <v>-41111.19619451277</v>
      </c>
      <c r="F126" s="26">
        <f>$B$21*(1+$B$7)^(F118-1)</f>
        <v>-42344.532080348145</v>
      </c>
      <c r="G126" s="31"/>
      <c r="H126" s="31"/>
      <c r="I126" s="31"/>
      <c r="J126" s="31"/>
      <c r="K126" s="31"/>
    </row>
    <row r="127" spans="1:11" ht="13.15" customHeight="1">
      <c r="A127" s="24" t="s">
        <v>1864</v>
      </c>
      <c r="B127" s="25">
        <f>SUM(B119:B126)</f>
        <v>220910.75253866235</v>
      </c>
      <c r="C127" s="25">
        <f>SUM(C119:C126)</f>
        <v>218277.77126401319</v>
      </c>
      <c r="D127" s="25">
        <f>SUM(D119:D126)</f>
        <v>215380.27987410905</v>
      </c>
      <c r="E127" s="25">
        <f>SUM(E119:E126)</f>
        <v>212208.40905195102</v>
      </c>
      <c r="F127" s="26">
        <f>SUM(F119:F126)</f>
        <v>208746.91932076085</v>
      </c>
      <c r="G127" s="31"/>
      <c r="H127" s="31"/>
      <c r="I127" s="31"/>
      <c r="J127" s="31"/>
      <c r="K127" s="31"/>
    </row>
    <row r="128" spans="1:11" ht="13.15" customHeight="1">
      <c r="A128" s="24" t="str">
        <f t="shared" ref="A128:A133" si="54">$A93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4"/>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4"/>
        <v>D/S Mortgage B</v>
      </c>
      <c r="B130" s="1285"/>
      <c r="C130" s="1285"/>
      <c r="D130" s="1285"/>
      <c r="E130" s="1285"/>
      <c r="F130" s="1285"/>
      <c r="G130" s="31"/>
      <c r="H130" s="31"/>
      <c r="I130" s="31"/>
      <c r="J130" s="31"/>
      <c r="K130" s="31"/>
    </row>
    <row r="131" spans="1:12" ht="13.15" customHeight="1">
      <c r="A131" s="24" t="str">
        <f t="shared" si="54"/>
        <v>D/S Mortgage C</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4"/>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4"/>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1337</v>
      </c>
      <c r="B134" s="1286"/>
      <c r="C134" s="1286"/>
      <c r="D134" s="1286"/>
      <c r="E134" s="1286"/>
      <c r="F134" s="1286"/>
      <c r="G134" s="31"/>
      <c r="H134" s="31"/>
      <c r="I134" s="31"/>
      <c r="J134" s="31"/>
      <c r="K134" s="31"/>
    </row>
    <row r="135" spans="1:12" ht="13.15" customHeight="1">
      <c r="A135" s="24" t="s">
        <v>1808</v>
      </c>
      <c r="B135" s="1285"/>
      <c r="C135" s="1285"/>
      <c r="D135" s="1285"/>
      <c r="E135" s="1285"/>
      <c r="F135" s="1285"/>
      <c r="G135" s="31"/>
      <c r="H135" s="31"/>
      <c r="I135" s="31"/>
      <c r="J135" s="31"/>
      <c r="K135" s="31"/>
    </row>
    <row r="136" spans="1:12" ht="13.15" customHeight="1">
      <c r="A136" s="24" t="s">
        <v>1865</v>
      </c>
      <c r="B136" s="1285">
        <f>IF('Part III A-Sources of Funds'!$M$37="", 0,-'Part III A-Sources of Funds'!$M$37)</f>
        <v>0</v>
      </c>
      <c r="C136" s="1285">
        <f>IF('Part III A-Sources of Funds'!$M$37="", 0,-'Part III A-Sources of Funds'!$M$37)</f>
        <v>0</v>
      </c>
      <c r="D136" s="1285">
        <f>IF('Part III A-Sources of Funds'!$M$37="", 0,-'Part III A-Sources of Funds'!$M$37)</f>
        <v>0</v>
      </c>
      <c r="E136" s="1285">
        <f>IF('Part III A-Sources of Funds'!$M$37="", 0,-'Part III A-Sources of Funds'!$M$37)</f>
        <v>0</v>
      </c>
      <c r="F136" s="1285">
        <f>IF('Part III A-Sources of Funds'!$M$37="", 0,-'Part III A-Sources of Funds'!$M$37)</f>
        <v>0</v>
      </c>
      <c r="G136" s="31"/>
      <c r="H136" s="31"/>
      <c r="I136" s="31"/>
      <c r="J136" s="31"/>
      <c r="K136" s="31"/>
    </row>
    <row r="137" spans="1:12" ht="13.15" customHeight="1">
      <c r="A137" s="24" t="s">
        <v>1809</v>
      </c>
      <c r="B137" s="1287">
        <f>+K102</f>
        <v>0</v>
      </c>
      <c r="C137" s="1287">
        <f>+B137</f>
        <v>0</v>
      </c>
      <c r="D137" s="1287">
        <f>+C137</f>
        <v>0</v>
      </c>
      <c r="E137" s="1287">
        <f>+D137</f>
        <v>0</v>
      </c>
      <c r="F137" s="1287">
        <f>+E137</f>
        <v>0</v>
      </c>
      <c r="G137" s="31"/>
      <c r="H137" s="31"/>
      <c r="I137" s="31"/>
      <c r="J137" s="31"/>
      <c r="K137" s="31"/>
    </row>
    <row r="138" spans="1:12" ht="13.15" customHeight="1">
      <c r="A138" s="24" t="s">
        <v>1810</v>
      </c>
      <c r="B138" s="25">
        <f>SUM(B127:B137)</f>
        <v>220910.75253866235</v>
      </c>
      <c r="C138" s="25">
        <f>SUM(C127:C137)</f>
        <v>218277.77126401319</v>
      </c>
      <c r="D138" s="25">
        <f>SUM(D127:D137)</f>
        <v>215380.27987410905</v>
      </c>
      <c r="E138" s="25">
        <f>SUM(E127:E137)</f>
        <v>212208.40905195102</v>
      </c>
      <c r="F138" s="26">
        <f>SUM(F127:F137)</f>
        <v>208746.91932076085</v>
      </c>
      <c r="G138" s="31"/>
      <c r="H138" s="31"/>
      <c r="I138" s="31"/>
      <c r="J138" s="31"/>
      <c r="K138" s="31"/>
    </row>
    <row r="139" spans="1:12" ht="13.15" customHeight="1">
      <c r="A139" s="24" t="str">
        <f t="shared" ref="A139:A144" si="55">$A104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5"/>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5"/>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5"/>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5"/>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5"/>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1346</v>
      </c>
      <c r="B145" s="379">
        <f>IF(OR(B125="Choose mgt fee",B125="Choose One!"),"",(B119+B120+B121+B122+B123) / -(B124+B125+B126))</f>
        <v>1.313307418547506</v>
      </c>
      <c r="C145" s="379">
        <f>IF(OR(C125="Choose mgt fee",C125="Choose One!"),"",(C119+C120+C121+C122+C123) / -(C124+C125+C126))</f>
        <v>1.3005563775713311</v>
      </c>
      <c r="D145" s="379">
        <f>IF(OR(D125="Choose mgt fee",D125="Choose One!"),"",(D119+D120+D121+D122+D123) / -(D124+D125+D126))</f>
        <v>1.2879286007894126</v>
      </c>
      <c r="E145" s="379">
        <f>IF(OR(E125="Choose mgt fee",E125="Choose One!"),"",(E119+E120+E121+E122+E123) / -(E124+E125+E126))</f>
        <v>1.2754258632407487</v>
      </c>
      <c r="F145" s="380">
        <f>IF(OR(F125="Choose mgt fee",F125="Choose One!"),"",(F119+F120+F121+F122+F123) / -(F124+F125+F126))</f>
        <v>1.2630416236357884</v>
      </c>
      <c r="G145" s="31"/>
      <c r="H145" s="31"/>
      <c r="I145" s="31"/>
      <c r="J145" s="31"/>
      <c r="K145" s="31"/>
    </row>
    <row r="146" spans="1:14" ht="13.15" customHeight="1">
      <c r="A146" s="24" t="str">
        <f>IF('Part III A-Sources of Funds'!$E$32 = "Neither", "", "First Mortgage Balance")</f>
        <v>First Mortgage Balance</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285">
        <f>IF('Part III A-Sources of Funds'!$H$33="","",-FV('Part III A-Sources of Funds'!$J$33/12,12,B130/12,K112))</f>
        <v>-5.4102233417724118E-9</v>
      </c>
      <c r="C147" s="1285">
        <f>IF('Part III A-Sources of Funds'!$H$33="","",-FV('Part III A-Sources of Funds'!$J$33/12,12,C130/12,B147))</f>
        <v>-5.8134525580476046E-9</v>
      </c>
      <c r="D147" s="1285">
        <f>IF('Part III A-Sources of Funds'!$H$33="","",-FV('Part III A-Sources of Funds'!$J$33/12,12,D130/12,C147))</f>
        <v>-6.2467348406357012E-9</v>
      </c>
      <c r="E147" s="1285">
        <f>IF('Part III A-Sources of Funds'!$H$33="","",-FV('Part III A-Sources of Funds'!$J$33/12,12,E130/12,D147))</f>
        <v>-6.7123100738465512E-9</v>
      </c>
      <c r="F147" s="1285">
        <f>IF('Part III A-Sources of Funds'!$H$33="","",-FV('Part III A-Sources of Funds'!$J$33/12,12,F130/12,E147))</f>
        <v>-7.2125850827497016E-9</v>
      </c>
      <c r="G147" s="31"/>
      <c r="H147" s="31"/>
      <c r="I147" s="31"/>
      <c r="J147" s="31"/>
      <c r="K147" s="31"/>
    </row>
    <row r="148" spans="1:14" ht="13.15" customHeight="1">
      <c r="A148" s="24" t="str">
        <f>IF('Part III A-Sources of Funds'!$E$32 = "Neither", "Second Mortgage Balance", "Third Mortgage Balance")</f>
        <v>Third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1365</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1365</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1900</v>
      </c>
      <c r="B151" s="1287" t="str">
        <f>IF('Part III A-Sources of Funds'!$H$37="","",-FV('Part III A-Sources of Funds'!$J$37/12,12,B136/12,K116))</f>
        <v/>
      </c>
      <c r="C151" s="1287" t="str">
        <f>IF('Part III A-Sources of Funds'!$H$37="","",-FV('Part III A-Sources of Funds'!$J$37/12,12,C136/12,B151))</f>
        <v/>
      </c>
      <c r="D151" s="1287" t="str">
        <f>IF('Part III A-Sources of Funds'!$H$37="","",-FV('Part III A-Sources of Funds'!$J$37/12,12,D136/12,C151))</f>
        <v/>
      </c>
      <c r="E151" s="1287" t="str">
        <f>IF('Part III A-Sources of Funds'!$H$37="","",-FV('Part III A-Sources of Funds'!$J$37/12,12,E136/12,D151))</f>
        <v/>
      </c>
      <c r="F151" s="1287" t="str">
        <f>IF('Part III A-Sources of Funds'!$H$37="","",-FV('Part III A-Sources of Funds'!$J$37/12,12,F136/12,E151))</f>
        <v/>
      </c>
      <c r="G151" s="31"/>
      <c r="H151" s="31"/>
      <c r="I151" s="31"/>
      <c r="J151" s="31"/>
      <c r="K151" s="31"/>
    </row>
    <row r="152" spans="1:14" ht="4.1500000000000004" customHeight="1"/>
    <row r="153" spans="1:14" ht="12" customHeight="1">
      <c r="A153" s="16" t="s">
        <v>879</v>
      </c>
      <c r="B153" s="16"/>
      <c r="G153" s="16" t="s">
        <v>1655</v>
      </c>
    </row>
    <row r="154" spans="1:14" ht="12" customHeight="1">
      <c r="B154" s="37"/>
    </row>
    <row r="155" spans="1:14" ht="73.900000000000006" customHeight="1">
      <c r="A155" s="1290" t="s">
        <v>3987</v>
      </c>
      <c r="B155" s="1291"/>
      <c r="C155" s="1291"/>
      <c r="D155" s="1291"/>
      <c r="E155" s="1291"/>
      <c r="F155" s="1292"/>
      <c r="G155" s="1293"/>
      <c r="H155" s="1291"/>
      <c r="I155" s="1291"/>
      <c r="J155" s="1291"/>
      <c r="K155" s="1292"/>
    </row>
    <row r="156" spans="1:14" s="2" customFormat="1" ht="73.900000000000006" customHeight="1">
      <c r="A156" s="1294" t="s">
        <v>4048</v>
      </c>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March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90" zoomScaleNormal="90" zoomScaleSheetLayoutView="40" workbookViewId="0">
      <pane ySplit="1215" topLeftCell="A180" activePane="bottomLeft"/>
      <selection activeCell="D99" sqref="D99"/>
      <selection pane="bottomLeft" activeCell="D99" sqref="D99"/>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2011-043 Calypso, Palmetto, Fulton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1531</v>
      </c>
      <c r="P3" s="1035"/>
      <c r="Q3" s="302" t="s">
        <v>2890</v>
      </c>
    </row>
    <row r="4" spans="1:20" ht="3" customHeight="1">
      <c r="A4" s="737"/>
      <c r="B4" s="1026"/>
      <c r="C4" s="1026"/>
      <c r="D4" s="1026"/>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865</v>
      </c>
      <c r="P6" s="1027"/>
      <c r="Q6" s="1028"/>
    </row>
    <row r="7" spans="1:20" ht="12.6" customHeight="1">
      <c r="A7" s="174" t="s">
        <v>367</v>
      </c>
      <c r="C7" s="175"/>
      <c r="D7" s="175"/>
    </row>
    <row r="8" spans="1:20" ht="24.6" customHeight="1">
      <c r="A8" s="1029" t="s">
        <v>2119</v>
      </c>
      <c r="B8" s="1030"/>
      <c r="C8" s="1030"/>
      <c r="D8" s="1030"/>
      <c r="E8" s="1030"/>
      <c r="F8" s="1030"/>
      <c r="G8" s="1030"/>
      <c r="H8" s="1030"/>
      <c r="I8" s="1030"/>
      <c r="J8" s="1030"/>
      <c r="K8" s="1030"/>
      <c r="L8" s="1030"/>
      <c r="M8" s="1030"/>
      <c r="N8" s="1030"/>
      <c r="O8" s="1030"/>
      <c r="P8" s="1030"/>
      <c r="Q8" s="1031"/>
      <c r="R8" s="998" t="s">
        <v>3112</v>
      </c>
      <c r="S8" s="998"/>
    </row>
    <row r="9" spans="1:20" ht="24.6" customHeight="1">
      <c r="A9" s="999" t="s">
        <v>289</v>
      </c>
      <c r="B9" s="1000"/>
      <c r="C9" s="1000"/>
      <c r="D9" s="1000"/>
      <c r="E9" s="1000"/>
      <c r="F9" s="1000"/>
      <c r="G9" s="1000"/>
      <c r="H9" s="1000"/>
      <c r="I9" s="1000"/>
      <c r="J9" s="1000"/>
      <c r="K9" s="1000"/>
      <c r="L9" s="1000"/>
      <c r="M9" s="1000"/>
      <c r="N9" s="1000"/>
      <c r="O9" s="1000"/>
      <c r="P9" s="1000"/>
      <c r="Q9" s="1001"/>
      <c r="R9" s="998"/>
      <c r="S9" s="998"/>
    </row>
    <row r="10" spans="1:20" ht="24.6" customHeight="1">
      <c r="A10" s="999" t="s">
        <v>2115</v>
      </c>
      <c r="B10" s="1000"/>
      <c r="C10" s="1000"/>
      <c r="D10" s="1000"/>
      <c r="E10" s="1000"/>
      <c r="F10" s="1000"/>
      <c r="G10" s="1000"/>
      <c r="H10" s="1000"/>
      <c r="I10" s="1000"/>
      <c r="J10" s="1000"/>
      <c r="K10" s="1000"/>
      <c r="L10" s="1000"/>
      <c r="M10" s="1000"/>
      <c r="N10" s="1000"/>
      <c r="O10" s="1000"/>
      <c r="P10" s="1000"/>
      <c r="Q10" s="1001"/>
      <c r="R10" s="998"/>
      <c r="S10" s="998"/>
    </row>
    <row r="11" spans="1:20" ht="24.6" customHeight="1">
      <c r="A11" s="999" t="s">
        <v>2116</v>
      </c>
      <c r="B11" s="1000"/>
      <c r="C11" s="1000"/>
      <c r="D11" s="1000"/>
      <c r="E11" s="1000"/>
      <c r="F11" s="1000"/>
      <c r="G11" s="1000"/>
      <c r="H11" s="1000"/>
      <c r="I11" s="1000"/>
      <c r="J11" s="1000"/>
      <c r="K11" s="1000"/>
      <c r="L11" s="1000"/>
      <c r="M11" s="1000"/>
      <c r="N11" s="1000"/>
      <c r="O11" s="1000"/>
      <c r="P11" s="1000"/>
      <c r="Q11" s="1001"/>
      <c r="R11" s="998"/>
      <c r="S11" s="998"/>
    </row>
    <row r="12" spans="1:20" ht="24.6" customHeight="1">
      <c r="A12" s="999" t="s">
        <v>2117</v>
      </c>
      <c r="B12" s="1000"/>
      <c r="C12" s="1000"/>
      <c r="D12" s="1000"/>
      <c r="E12" s="1000"/>
      <c r="F12" s="1000"/>
      <c r="G12" s="1000"/>
      <c r="H12" s="1000"/>
      <c r="I12" s="1000"/>
      <c r="J12" s="1000"/>
      <c r="K12" s="1000"/>
      <c r="L12" s="1000"/>
      <c r="M12" s="1000"/>
      <c r="N12" s="1000"/>
      <c r="O12" s="1000"/>
      <c r="P12" s="1000"/>
      <c r="Q12" s="1001"/>
      <c r="R12" s="742"/>
      <c r="S12" s="742"/>
    </row>
    <row r="13" spans="1:20" ht="24.6" customHeight="1">
      <c r="A13" s="999" t="s">
        <v>2118</v>
      </c>
      <c r="B13" s="1000"/>
      <c r="C13" s="1000"/>
      <c r="D13" s="1000"/>
      <c r="E13" s="1000"/>
      <c r="F13" s="1000"/>
      <c r="G13" s="1000"/>
      <c r="H13" s="1000"/>
      <c r="I13" s="1000"/>
      <c r="J13" s="1000"/>
      <c r="K13" s="1000"/>
      <c r="L13" s="1000"/>
      <c r="M13" s="1000"/>
      <c r="N13" s="1000"/>
      <c r="O13" s="1000"/>
      <c r="P13" s="1000"/>
      <c r="Q13" s="1001"/>
      <c r="R13" s="742"/>
      <c r="S13" s="742"/>
    </row>
    <row r="14" spans="1:20" ht="24.6" customHeight="1">
      <c r="A14" s="999" t="s">
        <v>2120</v>
      </c>
      <c r="B14" s="1000"/>
      <c r="C14" s="1000"/>
      <c r="D14" s="1000"/>
      <c r="E14" s="1000"/>
      <c r="F14" s="1000"/>
      <c r="G14" s="1000"/>
      <c r="H14" s="1000"/>
      <c r="I14" s="1000"/>
      <c r="J14" s="1000"/>
      <c r="K14" s="1000"/>
      <c r="L14" s="1000"/>
      <c r="M14" s="1000"/>
      <c r="N14" s="1000"/>
      <c r="O14" s="1000"/>
      <c r="P14" s="1000"/>
      <c r="Q14" s="1001"/>
    </row>
    <row r="15" spans="1:20" ht="24.6" customHeight="1">
      <c r="A15" s="999" t="s">
        <v>3099</v>
      </c>
      <c r="B15" s="1000"/>
      <c r="C15" s="1000"/>
      <c r="D15" s="1000"/>
      <c r="E15" s="1000"/>
      <c r="F15" s="1000"/>
      <c r="G15" s="1000"/>
      <c r="H15" s="1000"/>
      <c r="I15" s="1000"/>
      <c r="J15" s="1000"/>
      <c r="K15" s="1000"/>
      <c r="L15" s="1000"/>
      <c r="M15" s="1000"/>
      <c r="N15" s="1000"/>
      <c r="O15" s="1000"/>
      <c r="P15" s="1000"/>
      <c r="Q15" s="1001"/>
      <c r="R15" s="998" t="s">
        <v>3112</v>
      </c>
      <c r="S15" s="998"/>
    </row>
    <row r="16" spans="1:20" ht="24.6" customHeight="1">
      <c r="A16" s="999" t="s">
        <v>3100</v>
      </c>
      <c r="B16" s="1000"/>
      <c r="C16" s="1000"/>
      <c r="D16" s="1000"/>
      <c r="E16" s="1000"/>
      <c r="F16" s="1000"/>
      <c r="G16" s="1000"/>
      <c r="H16" s="1000"/>
      <c r="I16" s="1000"/>
      <c r="J16" s="1000"/>
      <c r="K16" s="1000"/>
      <c r="L16" s="1000"/>
      <c r="M16" s="1000"/>
      <c r="N16" s="1000"/>
      <c r="O16" s="1000"/>
      <c r="P16" s="1000"/>
      <c r="Q16" s="1001"/>
      <c r="R16" s="998"/>
      <c r="S16" s="998"/>
    </row>
    <row r="17" spans="1:19" ht="24.6" customHeight="1">
      <c r="A17" s="999" t="s">
        <v>3101</v>
      </c>
      <c r="B17" s="1000"/>
      <c r="C17" s="1000"/>
      <c r="D17" s="1000"/>
      <c r="E17" s="1000"/>
      <c r="F17" s="1000"/>
      <c r="G17" s="1000"/>
      <c r="H17" s="1000"/>
      <c r="I17" s="1000"/>
      <c r="J17" s="1000"/>
      <c r="K17" s="1000"/>
      <c r="L17" s="1000"/>
      <c r="M17" s="1000"/>
      <c r="N17" s="1000"/>
      <c r="O17" s="1000"/>
      <c r="P17" s="1000"/>
      <c r="Q17" s="1001"/>
      <c r="R17" s="998"/>
      <c r="S17" s="998"/>
    </row>
    <row r="18" spans="1:19" ht="24.6" customHeight="1">
      <c r="A18" s="999" t="s">
        <v>3102</v>
      </c>
      <c r="B18" s="1000"/>
      <c r="C18" s="1000"/>
      <c r="D18" s="1000"/>
      <c r="E18" s="1000"/>
      <c r="F18" s="1000"/>
      <c r="G18" s="1000"/>
      <c r="H18" s="1000"/>
      <c r="I18" s="1000"/>
      <c r="J18" s="1000"/>
      <c r="K18" s="1000"/>
      <c r="L18" s="1000"/>
      <c r="M18" s="1000"/>
      <c r="N18" s="1000"/>
      <c r="O18" s="1000"/>
      <c r="P18" s="1000"/>
      <c r="Q18" s="1001"/>
      <c r="R18" s="998"/>
      <c r="S18" s="998"/>
    </row>
    <row r="19" spans="1:19" ht="24.6" customHeight="1">
      <c r="A19" s="999" t="s">
        <v>3103</v>
      </c>
      <c r="B19" s="1000"/>
      <c r="C19" s="1000"/>
      <c r="D19" s="1000"/>
      <c r="E19" s="1000"/>
      <c r="F19" s="1000"/>
      <c r="G19" s="1000"/>
      <c r="H19" s="1000"/>
      <c r="I19" s="1000"/>
      <c r="J19" s="1000"/>
      <c r="K19" s="1000"/>
      <c r="L19" s="1000"/>
      <c r="M19" s="1000"/>
      <c r="N19" s="1000"/>
      <c r="O19" s="1000"/>
      <c r="P19" s="1000"/>
      <c r="Q19" s="1001"/>
      <c r="R19" s="742"/>
      <c r="S19" s="742"/>
    </row>
    <row r="20" spans="1:19" ht="24.6" customHeight="1">
      <c r="A20" s="999" t="s">
        <v>3104</v>
      </c>
      <c r="B20" s="1000"/>
      <c r="C20" s="1000"/>
      <c r="D20" s="1000"/>
      <c r="E20" s="1000"/>
      <c r="F20" s="1000"/>
      <c r="G20" s="1000"/>
      <c r="H20" s="1000"/>
      <c r="I20" s="1000"/>
      <c r="J20" s="1000"/>
      <c r="K20" s="1000"/>
      <c r="L20" s="1000"/>
      <c r="M20" s="1000"/>
      <c r="N20" s="1000"/>
      <c r="O20" s="1000"/>
      <c r="P20" s="1000"/>
      <c r="Q20" s="1001"/>
      <c r="R20" s="742"/>
      <c r="S20" s="742"/>
    </row>
    <row r="21" spans="1:19" ht="24.6" customHeight="1">
      <c r="A21" s="999" t="s">
        <v>3105</v>
      </c>
      <c r="B21" s="1000"/>
      <c r="C21" s="1000"/>
      <c r="D21" s="1000"/>
      <c r="E21" s="1000"/>
      <c r="F21" s="1000"/>
      <c r="G21" s="1000"/>
      <c r="H21" s="1000"/>
      <c r="I21" s="1000"/>
      <c r="J21" s="1000"/>
      <c r="K21" s="1000"/>
      <c r="L21" s="1000"/>
      <c r="M21" s="1000"/>
      <c r="N21" s="1000"/>
      <c r="O21" s="1000"/>
      <c r="P21" s="1000"/>
      <c r="Q21" s="1001"/>
    </row>
    <row r="22" spans="1:19" ht="24.6" customHeight="1">
      <c r="A22" s="999" t="s">
        <v>3106</v>
      </c>
      <c r="B22" s="1000"/>
      <c r="C22" s="1000"/>
      <c r="D22" s="1000"/>
      <c r="E22" s="1000"/>
      <c r="F22" s="1000"/>
      <c r="G22" s="1000"/>
      <c r="H22" s="1000"/>
      <c r="I22" s="1000"/>
      <c r="J22" s="1000"/>
      <c r="K22" s="1000"/>
      <c r="L22" s="1000"/>
      <c r="M22" s="1000"/>
      <c r="N22" s="1000"/>
      <c r="O22" s="1000"/>
      <c r="P22" s="1000"/>
      <c r="Q22" s="1001"/>
      <c r="R22" s="998" t="s">
        <v>3112</v>
      </c>
      <c r="S22" s="998"/>
    </row>
    <row r="23" spans="1:19" ht="24.6" customHeight="1">
      <c r="A23" s="999" t="s">
        <v>3107</v>
      </c>
      <c r="B23" s="1000"/>
      <c r="C23" s="1000"/>
      <c r="D23" s="1000"/>
      <c r="E23" s="1000"/>
      <c r="F23" s="1000"/>
      <c r="G23" s="1000"/>
      <c r="H23" s="1000"/>
      <c r="I23" s="1000"/>
      <c r="J23" s="1000"/>
      <c r="K23" s="1000"/>
      <c r="L23" s="1000"/>
      <c r="M23" s="1000"/>
      <c r="N23" s="1000"/>
      <c r="O23" s="1000"/>
      <c r="P23" s="1000"/>
      <c r="Q23" s="1001"/>
      <c r="R23" s="998"/>
      <c r="S23" s="998"/>
    </row>
    <row r="24" spans="1:19" ht="24.6" customHeight="1">
      <c r="A24" s="999" t="s">
        <v>3108</v>
      </c>
      <c r="B24" s="1000"/>
      <c r="C24" s="1000"/>
      <c r="D24" s="1000"/>
      <c r="E24" s="1000"/>
      <c r="F24" s="1000"/>
      <c r="G24" s="1000"/>
      <c r="H24" s="1000"/>
      <c r="I24" s="1000"/>
      <c r="J24" s="1000"/>
      <c r="K24" s="1000"/>
      <c r="L24" s="1000"/>
      <c r="M24" s="1000"/>
      <c r="N24" s="1000"/>
      <c r="O24" s="1000"/>
      <c r="P24" s="1000"/>
      <c r="Q24" s="1001"/>
      <c r="R24" s="998"/>
      <c r="S24" s="998"/>
    </row>
    <row r="25" spans="1:19" ht="24.6" customHeight="1">
      <c r="A25" s="999" t="s">
        <v>3109</v>
      </c>
      <c r="B25" s="1000"/>
      <c r="C25" s="1000"/>
      <c r="D25" s="1000"/>
      <c r="E25" s="1000"/>
      <c r="F25" s="1000"/>
      <c r="G25" s="1000"/>
      <c r="H25" s="1000"/>
      <c r="I25" s="1000"/>
      <c r="J25" s="1000"/>
      <c r="K25" s="1000"/>
      <c r="L25" s="1000"/>
      <c r="M25" s="1000"/>
      <c r="N25" s="1000"/>
      <c r="O25" s="1000"/>
      <c r="P25" s="1000"/>
      <c r="Q25" s="1001"/>
      <c r="R25" s="998"/>
      <c r="S25" s="998"/>
    </row>
    <row r="26" spans="1:19" ht="24.6" customHeight="1">
      <c r="A26" s="999" t="s">
        <v>3110</v>
      </c>
      <c r="B26" s="1000"/>
      <c r="C26" s="1000"/>
      <c r="D26" s="1000"/>
      <c r="E26" s="1000"/>
      <c r="F26" s="1000"/>
      <c r="G26" s="1000"/>
      <c r="H26" s="1000"/>
      <c r="I26" s="1000"/>
      <c r="J26" s="1000"/>
      <c r="K26" s="1000"/>
      <c r="L26" s="1000"/>
      <c r="M26" s="1000"/>
      <c r="N26" s="1000"/>
      <c r="O26" s="1000"/>
      <c r="P26" s="1000"/>
      <c r="Q26" s="1001"/>
      <c r="R26" s="742"/>
      <c r="S26" s="742"/>
    </row>
    <row r="27" spans="1:19" ht="24.6" customHeight="1">
      <c r="A27" s="1005" t="s">
        <v>3111</v>
      </c>
      <c r="B27" s="1006"/>
      <c r="C27" s="1006"/>
      <c r="D27" s="1006"/>
      <c r="E27" s="1006"/>
      <c r="F27" s="1006"/>
      <c r="G27" s="1006"/>
      <c r="H27" s="1006"/>
      <c r="I27" s="1006"/>
      <c r="J27" s="1006"/>
      <c r="K27" s="1006"/>
      <c r="L27" s="1006"/>
      <c r="M27" s="1006"/>
      <c r="N27" s="1006"/>
      <c r="O27" s="1006"/>
      <c r="P27" s="1006"/>
      <c r="Q27" s="1007"/>
      <c r="R27" s="742"/>
      <c r="S27" s="742"/>
    </row>
    <row r="28" spans="1:19" ht="6" customHeight="1"/>
    <row r="29" spans="1:19" ht="13.9" customHeight="1">
      <c r="A29" s="176">
        <v>1</v>
      </c>
      <c r="B29" s="177" t="s">
        <v>102</v>
      </c>
      <c r="C29" s="178"/>
      <c r="D29" s="118"/>
      <c r="E29" s="118"/>
      <c r="F29" s="118"/>
      <c r="G29" s="118"/>
      <c r="I29" s="179"/>
      <c r="J29" s="179"/>
      <c r="K29" s="179"/>
      <c r="L29" s="737"/>
      <c r="M29" s="737"/>
      <c r="O29" s="180" t="s">
        <v>2923</v>
      </c>
      <c r="P29" s="992"/>
      <c r="Q29" s="993"/>
    </row>
    <row r="30" spans="1:19" ht="3" customHeight="1"/>
    <row r="31" spans="1:19" ht="12" customHeight="1">
      <c r="B31" s="192" t="s">
        <v>3060</v>
      </c>
      <c r="C31" s="65" t="s">
        <v>1078</v>
      </c>
      <c r="E31" s="40"/>
      <c r="F31" s="40"/>
      <c r="G31" s="40"/>
      <c r="H31" s="40"/>
      <c r="I31" s="52"/>
      <c r="J31" s="42"/>
      <c r="K31" s="52"/>
      <c r="L31" s="42"/>
      <c r="M31" s="42"/>
      <c r="O31" s="83" t="s">
        <v>924</v>
      </c>
      <c r="P31" s="1166" t="s">
        <v>3924</v>
      </c>
      <c r="Q31" s="234"/>
    </row>
    <row r="32" spans="1:19" ht="12" customHeight="1">
      <c r="B32" s="57" t="s">
        <v>3063</v>
      </c>
      <c r="C32" s="65" t="s">
        <v>1079</v>
      </c>
      <c r="E32" s="40"/>
      <c r="F32" s="40"/>
      <c r="G32" s="40"/>
      <c r="H32" s="40"/>
      <c r="J32" s="1218" t="s">
        <v>3262</v>
      </c>
      <c r="K32" s="1219"/>
      <c r="L32" s="1219"/>
      <c r="M32" s="1219"/>
      <c r="N32" s="1220"/>
      <c r="O32" s="83"/>
      <c r="P32" s="83"/>
      <c r="Q32" s="83"/>
    </row>
    <row r="33" spans="1:31" ht="11.25" customHeight="1">
      <c r="B33" s="84" t="s">
        <v>2921</v>
      </c>
      <c r="C33" s="84"/>
      <c r="D33" s="84"/>
      <c r="E33" s="84"/>
      <c r="F33" s="84"/>
      <c r="G33" s="179"/>
      <c r="H33" s="179"/>
      <c r="I33" s="179"/>
      <c r="J33" s="179"/>
      <c r="K33" s="737"/>
      <c r="L33" s="737"/>
      <c r="M33" s="737"/>
      <c r="N33" s="737"/>
      <c r="O33" s="737"/>
      <c r="P33" s="63"/>
      <c r="S33" s="217"/>
      <c r="T33" s="217"/>
    </row>
    <row r="34" spans="1:31" ht="12" customHeight="1">
      <c r="A34" s="1152" t="s">
        <v>3992</v>
      </c>
      <c r="B34" s="1153"/>
      <c r="C34" s="1153"/>
      <c r="D34" s="1153"/>
      <c r="E34" s="1153"/>
      <c r="F34" s="1153"/>
      <c r="G34" s="1153"/>
      <c r="H34" s="1153"/>
      <c r="I34" s="1153"/>
      <c r="J34" s="1153"/>
      <c r="K34" s="1153"/>
      <c r="L34" s="1153"/>
      <c r="M34" s="1153"/>
      <c r="N34" s="1153"/>
      <c r="O34" s="1153"/>
      <c r="P34" s="1153"/>
      <c r="Q34" s="1154"/>
      <c r="R34" s="998" t="s">
        <v>1933</v>
      </c>
      <c r="S34" s="998"/>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98"/>
      <c r="S35" s="998"/>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2922</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998" t="s">
        <v>1933</v>
      </c>
      <c r="S38" s="998"/>
    </row>
    <row r="39" spans="1:31" ht="12" customHeight="1">
      <c r="A39" s="1002"/>
      <c r="B39" s="1003"/>
      <c r="C39" s="1003"/>
      <c r="D39" s="1003"/>
      <c r="E39" s="1003"/>
      <c r="F39" s="1003"/>
      <c r="G39" s="1003"/>
      <c r="H39" s="1003"/>
      <c r="I39" s="1003"/>
      <c r="J39" s="1003"/>
      <c r="K39" s="1003"/>
      <c r="L39" s="1003"/>
      <c r="M39" s="1003"/>
      <c r="N39" s="1003"/>
      <c r="O39" s="1003"/>
      <c r="P39" s="1003"/>
      <c r="Q39" s="1004"/>
      <c r="R39" s="998"/>
      <c r="S39" s="998"/>
    </row>
    <row r="40" spans="1:31" ht="12" customHeight="1">
      <c r="A40" s="1002"/>
      <c r="B40" s="1003"/>
      <c r="C40" s="1003"/>
      <c r="D40" s="1003"/>
      <c r="E40" s="1003"/>
      <c r="F40" s="1003"/>
      <c r="G40" s="1003"/>
      <c r="H40" s="1003"/>
      <c r="I40" s="1003"/>
      <c r="J40" s="1003"/>
      <c r="K40" s="1003"/>
      <c r="L40" s="1003"/>
      <c r="M40" s="1003"/>
      <c r="N40" s="1003"/>
      <c r="O40" s="1003"/>
      <c r="P40" s="1003"/>
      <c r="Q40" s="1004"/>
      <c r="R40" s="998"/>
      <c r="S40" s="998"/>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1">
        <v>2</v>
      </c>
      <c r="B45" s="5" t="s">
        <v>2085</v>
      </c>
      <c r="C45" s="5"/>
      <c r="D45" s="5"/>
      <c r="E45" s="740"/>
      <c r="F45" s="740"/>
      <c r="G45" s="740"/>
      <c r="H45" s="740"/>
      <c r="K45" s="740"/>
      <c r="L45" s="740"/>
      <c r="M45" s="740"/>
      <c r="O45" s="180" t="s">
        <v>2923</v>
      </c>
      <c r="P45" s="992"/>
      <c r="Q45" s="993"/>
    </row>
    <row r="46" spans="1:31" ht="3" customHeight="1"/>
    <row r="47" spans="1:31" ht="11.45" customHeight="1">
      <c r="A47" s="189"/>
      <c r="C47" s="190" t="s">
        <v>113</v>
      </c>
      <c r="D47" s="190"/>
      <c r="E47" s="190"/>
      <c r="F47" s="190"/>
      <c r="G47" s="190"/>
      <c r="H47" s="190"/>
      <c r="J47" s="1221" t="str">
        <f>'Part I-Project Information'!$H$65</f>
        <v>Family</v>
      </c>
      <c r="K47" s="1222"/>
      <c r="L47" s="1223"/>
      <c r="M47" s="740"/>
      <c r="N47" s="740"/>
      <c r="P47" s="1166" t="s">
        <v>3925</v>
      </c>
      <c r="Q47" s="234"/>
    </row>
    <row r="48" spans="1:31" ht="11.25" customHeight="1">
      <c r="B48" s="131" t="s">
        <v>2921</v>
      </c>
      <c r="D48" s="131"/>
      <c r="E48" s="131"/>
      <c r="F48" s="131"/>
      <c r="G48" s="131"/>
      <c r="H48" s="50"/>
      <c r="I48" s="179"/>
      <c r="J48" s="179"/>
      <c r="K48" s="187" t="s">
        <v>2922</v>
      </c>
      <c r="L48" s="737"/>
      <c r="M48" s="737"/>
      <c r="N48" s="737"/>
      <c r="O48" s="737"/>
      <c r="P48" s="737"/>
      <c r="Q48" s="63"/>
    </row>
    <row r="49" spans="1:31" ht="11.45" customHeight="1">
      <c r="A49" s="1159"/>
      <c r="B49" s="1160"/>
      <c r="C49" s="1160"/>
      <c r="D49" s="1160"/>
      <c r="E49" s="1160"/>
      <c r="F49" s="1160"/>
      <c r="G49" s="1160"/>
      <c r="H49" s="1160"/>
      <c r="I49" s="1160"/>
      <c r="J49" s="1161"/>
      <c r="K49" s="1013"/>
      <c r="L49" s="1014"/>
      <c r="M49" s="1014"/>
      <c r="N49" s="1014"/>
      <c r="O49" s="1014"/>
      <c r="P49" s="1014"/>
      <c r="Q49" s="1015"/>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1">
        <v>3</v>
      </c>
      <c r="B51" s="741" t="s">
        <v>682</v>
      </c>
      <c r="C51" s="153"/>
      <c r="D51" s="740"/>
      <c r="E51" s="740"/>
      <c r="F51" s="740"/>
      <c r="G51" s="740"/>
      <c r="H51" s="740"/>
      <c r="I51" s="740"/>
      <c r="J51" s="740"/>
      <c r="K51" s="740"/>
      <c r="L51" s="740"/>
      <c r="M51" s="740"/>
      <c r="O51" s="180" t="s">
        <v>2923</v>
      </c>
      <c r="P51" s="992"/>
      <c r="Q51" s="993"/>
    </row>
    <row r="52" spans="1:31" ht="3" customHeight="1"/>
    <row r="53" spans="1:31" ht="12.6" customHeight="1">
      <c r="B53" s="192" t="s">
        <v>3060</v>
      </c>
      <c r="C53" s="1008" t="s">
        <v>400</v>
      </c>
      <c r="D53" s="1008"/>
      <c r="E53" s="1008"/>
      <c r="F53" s="1008"/>
      <c r="G53" s="1008"/>
      <c r="H53" s="1008"/>
      <c r="I53" s="1008"/>
      <c r="J53" s="1008"/>
      <c r="K53" s="1008"/>
      <c r="L53" s="1008"/>
      <c r="M53" s="1008"/>
      <c r="O53" s="193"/>
      <c r="P53" s="1166" t="s">
        <v>3972</v>
      </c>
      <c r="Q53" s="234"/>
    </row>
    <row r="54" spans="1:31" ht="12" customHeight="1">
      <c r="B54" s="57" t="s">
        <v>3063</v>
      </c>
      <c r="C54" s="40" t="s">
        <v>2230</v>
      </c>
      <c r="D54" s="40"/>
      <c r="E54" s="40"/>
      <c r="F54" s="40"/>
      <c r="G54" s="40"/>
      <c r="H54" s="40"/>
      <c r="I54" s="40"/>
      <c r="J54" s="40"/>
      <c r="K54" s="40"/>
      <c r="L54" s="40"/>
      <c r="M54" s="40"/>
      <c r="O54" s="40"/>
      <c r="P54" s="40"/>
      <c r="Q54" s="40"/>
    </row>
    <row r="55" spans="1:31" ht="10.9" customHeight="1">
      <c r="A55" s="194"/>
      <c r="B55" s="52"/>
      <c r="C55" s="83" t="s">
        <v>2765</v>
      </c>
      <c r="D55" s="40" t="s">
        <v>883</v>
      </c>
      <c r="E55" s="739"/>
      <c r="F55" s="739"/>
      <c r="G55" s="739"/>
      <c r="H55" s="42"/>
      <c r="I55" s="52"/>
      <c r="J55" s="52"/>
      <c r="K55" s="52"/>
      <c r="L55" s="42"/>
      <c r="M55" s="42"/>
      <c r="O55" s="83" t="s">
        <v>2765</v>
      </c>
      <c r="P55" s="1166" t="s">
        <v>3925</v>
      </c>
      <c r="Q55" s="234"/>
    </row>
    <row r="56" spans="1:31" ht="10.9" customHeight="1">
      <c r="A56" s="194"/>
      <c r="B56" s="52"/>
      <c r="C56" s="83" t="s">
        <v>2766</v>
      </c>
      <c r="D56" s="40" t="s">
        <v>2846</v>
      </c>
      <c r="E56" s="739"/>
      <c r="F56" s="739"/>
      <c r="G56" s="739"/>
      <c r="H56" s="42"/>
      <c r="I56" s="52"/>
      <c r="J56" s="52"/>
      <c r="O56" s="83" t="s">
        <v>2766</v>
      </c>
      <c r="P56" s="1166" t="s">
        <v>3924</v>
      </c>
      <c r="Q56" s="234"/>
    </row>
    <row r="57" spans="1:31" ht="10.9" customHeight="1">
      <c r="A57" s="194"/>
      <c r="B57" s="52"/>
      <c r="C57" s="83" t="s">
        <v>2767</v>
      </c>
      <c r="D57" s="40" t="s">
        <v>401</v>
      </c>
      <c r="E57" s="739"/>
      <c r="J57" s="83"/>
      <c r="K57" s="83" t="s">
        <v>2767</v>
      </c>
      <c r="L57" s="1224"/>
      <c r="M57" s="1225"/>
      <c r="N57" s="1225"/>
      <c r="O57" s="1225"/>
      <c r="P57" s="1226"/>
      <c r="Q57" s="234"/>
    </row>
    <row r="58" spans="1:31" ht="11.25" customHeight="1">
      <c r="B58" s="131" t="s">
        <v>2921</v>
      </c>
      <c r="D58" s="131"/>
      <c r="E58" s="131"/>
      <c r="F58" s="131"/>
      <c r="G58" s="131"/>
      <c r="H58" s="50"/>
      <c r="I58" s="179"/>
      <c r="J58" s="179"/>
      <c r="K58" s="179"/>
      <c r="L58" s="737"/>
      <c r="M58" s="737"/>
      <c r="N58" s="737"/>
      <c r="O58" s="737"/>
      <c r="P58" s="737"/>
      <c r="Q58" s="63"/>
    </row>
    <row r="59" spans="1:31" ht="12" customHeight="1">
      <c r="A59" s="1152" t="s">
        <v>3993</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2922</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1">
        <v>4</v>
      </c>
      <c r="B65" s="741" t="s">
        <v>3703</v>
      </c>
      <c r="C65" s="741"/>
      <c r="D65" s="740"/>
      <c r="E65" s="740"/>
      <c r="F65" s="740"/>
      <c r="G65" s="740"/>
      <c r="H65" s="740"/>
      <c r="I65" s="740"/>
      <c r="J65" s="740"/>
      <c r="K65" s="740"/>
      <c r="O65" s="180" t="s">
        <v>2923</v>
      </c>
      <c r="P65" s="992"/>
      <c r="Q65" s="993"/>
    </row>
    <row r="66" spans="1:31" ht="3" customHeight="1"/>
    <row r="67" spans="1:31" ht="12" customHeight="1">
      <c r="B67" s="57" t="s">
        <v>3060</v>
      </c>
      <c r="C67" s="195" t="s">
        <v>3730</v>
      </c>
      <c r="D67" s="182"/>
      <c r="E67" s="182"/>
      <c r="F67" s="182"/>
      <c r="G67" s="182"/>
      <c r="H67" s="182"/>
      <c r="I67" s="52"/>
      <c r="J67" s="52"/>
      <c r="K67" s="52"/>
      <c r="L67" s="62" t="s">
        <v>3060</v>
      </c>
      <c r="M67" s="1224" t="s">
        <v>3973</v>
      </c>
      <c r="N67" s="1225"/>
      <c r="O67" s="1225"/>
      <c r="P67" s="1227"/>
      <c r="Q67" s="234"/>
    </row>
    <row r="68" spans="1:31" ht="12" customHeight="1">
      <c r="B68" s="57" t="s">
        <v>3063</v>
      </c>
      <c r="C68" s="65" t="s">
        <v>3118</v>
      </c>
      <c r="D68" s="182"/>
      <c r="E68" s="182"/>
      <c r="F68" s="182"/>
      <c r="L68" s="62" t="s">
        <v>3063</v>
      </c>
      <c r="M68" s="1224" t="s">
        <v>3994</v>
      </c>
      <c r="N68" s="1225"/>
      <c r="O68" s="1225"/>
      <c r="P68" s="1227"/>
      <c r="Q68" s="234"/>
    </row>
    <row r="69" spans="1:31" ht="12" customHeight="1">
      <c r="B69" s="57" t="s">
        <v>1239</v>
      </c>
      <c r="C69" s="65" t="s">
        <v>3731</v>
      </c>
      <c r="D69" s="182"/>
      <c r="E69" s="182"/>
      <c r="F69" s="182"/>
      <c r="L69" s="62" t="s">
        <v>1239</v>
      </c>
      <c r="M69" s="1224" t="s">
        <v>4027</v>
      </c>
      <c r="N69" s="1225"/>
      <c r="O69" s="1225"/>
      <c r="P69" s="1227"/>
      <c r="Q69" s="351"/>
    </row>
    <row r="70" spans="1:31" ht="12" customHeight="1">
      <c r="B70" s="57" t="s">
        <v>3212</v>
      </c>
      <c r="C70" s="65" t="s">
        <v>3732</v>
      </c>
      <c r="D70" s="182"/>
      <c r="E70" s="182"/>
      <c r="F70" s="182"/>
      <c r="L70" s="62" t="s">
        <v>3212</v>
      </c>
      <c r="M70" s="1228">
        <v>0.114</v>
      </c>
      <c r="N70" s="1225"/>
      <c r="O70" s="1225"/>
      <c r="P70" s="1227"/>
      <c r="Q70" s="234"/>
    </row>
    <row r="71" spans="1:31" ht="22.15" customHeight="1">
      <c r="B71" s="192" t="s">
        <v>2763</v>
      </c>
      <c r="C71" s="994" t="s">
        <v>3556</v>
      </c>
      <c r="D71" s="1039"/>
      <c r="E71" s="1039"/>
      <c r="F71" s="1039"/>
      <c r="G71" s="1039"/>
      <c r="H71" s="1039"/>
      <c r="I71" s="1039"/>
      <c r="J71" s="1039"/>
      <c r="K71" s="1039"/>
      <c r="L71" s="739"/>
      <c r="M71" s="739"/>
      <c r="O71" s="62" t="s">
        <v>2763</v>
      </c>
      <c r="P71" s="1166" t="s">
        <v>3925</v>
      </c>
      <c r="Q71" s="234"/>
    </row>
    <row r="72" spans="1:31" ht="12" customHeight="1">
      <c r="B72" s="57"/>
      <c r="C72" s="65"/>
      <c r="D72" s="709" t="s">
        <v>3593</v>
      </c>
      <c r="E72" s="40" t="s">
        <v>952</v>
      </c>
      <c r="F72" s="40"/>
      <c r="G72" s="65"/>
      <c r="H72" s="709" t="s">
        <v>3593</v>
      </c>
      <c r="I72" s="40" t="s">
        <v>952</v>
      </c>
      <c r="J72" s="40"/>
      <c r="K72" s="65"/>
      <c r="L72" s="709" t="s">
        <v>3593</v>
      </c>
      <c r="M72" s="40" t="s">
        <v>952</v>
      </c>
      <c r="N72" s="40"/>
      <c r="O72" s="65"/>
      <c r="P72" s="62"/>
      <c r="Q72" s="62"/>
    </row>
    <row r="73" spans="1:31" ht="12" customHeight="1">
      <c r="B73" s="57"/>
      <c r="C73" s="65">
        <v>1</v>
      </c>
      <c r="D73" s="1229" t="s">
        <v>3938</v>
      </c>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2764</v>
      </c>
      <c r="C76" s="65" t="s">
        <v>1</v>
      </c>
      <c r="D76" s="182"/>
      <c r="E76" s="182"/>
      <c r="F76" s="182"/>
      <c r="G76" s="182"/>
      <c r="H76" s="182"/>
      <c r="I76" s="52"/>
      <c r="J76" s="52"/>
      <c r="K76" s="182"/>
      <c r="L76" s="739"/>
      <c r="M76" s="739"/>
      <c r="O76" s="62" t="s">
        <v>2764</v>
      </c>
      <c r="P76" s="1166" t="s">
        <v>3925</v>
      </c>
      <c r="Q76" s="234"/>
    </row>
    <row r="77" spans="1:31" ht="11.25" customHeight="1">
      <c r="B77" s="191" t="s">
        <v>2921</v>
      </c>
      <c r="D77" s="191"/>
      <c r="E77" s="191"/>
      <c r="F77" s="191"/>
      <c r="G77" s="191"/>
      <c r="H77" s="50"/>
      <c r="I77" s="179"/>
      <c r="J77" s="179"/>
      <c r="K77" s="179"/>
      <c r="L77" s="737"/>
      <c r="M77" s="737"/>
      <c r="N77" s="737"/>
      <c r="O77" s="737"/>
      <c r="P77" s="737"/>
      <c r="Q77" s="63"/>
    </row>
    <row r="78" spans="1:31" ht="22.9" customHeight="1">
      <c r="A78" s="1152" t="s">
        <v>3995</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3"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2922</v>
      </c>
      <c r="C80" s="188"/>
      <c r="D80" s="740"/>
      <c r="E80" s="740"/>
      <c r="F80" s="740"/>
      <c r="G80" s="740"/>
      <c r="H80" s="740"/>
      <c r="I80" s="740"/>
      <c r="J80" s="740"/>
      <c r="K80" s="740"/>
      <c r="L80" s="740"/>
      <c r="M80" s="740"/>
      <c r="N80" s="740"/>
      <c r="O80" s="740"/>
      <c r="P80" s="740"/>
      <c r="Q80" s="740"/>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1">
        <v>5</v>
      </c>
      <c r="B83" s="741" t="s">
        <v>291</v>
      </c>
      <c r="C83" s="741"/>
      <c r="D83" s="740"/>
      <c r="E83" s="740"/>
      <c r="F83" s="740"/>
      <c r="G83" s="740"/>
      <c r="H83" s="740"/>
      <c r="I83" s="740"/>
      <c r="J83" s="740"/>
      <c r="K83" s="740"/>
      <c r="L83" s="740"/>
      <c r="M83" s="740"/>
      <c r="O83" s="180" t="s">
        <v>2923</v>
      </c>
      <c r="P83" s="992"/>
      <c r="Q83" s="993"/>
    </row>
    <row r="84" spans="1:17" ht="3" customHeight="1"/>
    <row r="85" spans="1:17" ht="12" customHeight="1">
      <c r="B85" s="57" t="s">
        <v>3060</v>
      </c>
      <c r="C85" s="65" t="s">
        <v>730</v>
      </c>
      <c r="D85" s="65"/>
      <c r="E85" s="65"/>
      <c r="F85" s="65"/>
      <c r="G85" s="65"/>
      <c r="H85" s="65"/>
      <c r="I85" s="65"/>
      <c r="J85" s="65"/>
      <c r="K85" s="65"/>
      <c r="L85" s="65"/>
      <c r="M85" s="65"/>
      <c r="O85" s="62" t="s">
        <v>3060</v>
      </c>
      <c r="P85" s="1166" t="s">
        <v>3924</v>
      </c>
      <c r="Q85" s="234"/>
    </row>
    <row r="86" spans="1:17" ht="12" customHeight="1">
      <c r="B86" s="57" t="s">
        <v>3063</v>
      </c>
      <c r="C86" s="65" t="s">
        <v>2006</v>
      </c>
      <c r="D86" s="65"/>
      <c r="E86" s="65"/>
      <c r="F86" s="65"/>
      <c r="G86" s="65"/>
      <c r="H86" s="65"/>
      <c r="I86" s="65"/>
      <c r="J86" s="65"/>
      <c r="K86" s="65"/>
      <c r="L86" s="40"/>
      <c r="M86" s="40"/>
      <c r="O86" s="62" t="s">
        <v>3063</v>
      </c>
      <c r="P86" s="1166" t="s">
        <v>3924</v>
      </c>
      <c r="Q86" s="234"/>
    </row>
    <row r="87" spans="1:17" ht="12" customHeight="1">
      <c r="A87" s="181"/>
      <c r="B87" s="46"/>
      <c r="D87" s="49" t="s">
        <v>850</v>
      </c>
      <c r="E87" s="52"/>
      <c r="F87" s="52"/>
      <c r="G87" s="52"/>
      <c r="H87" s="52"/>
      <c r="I87" s="52"/>
      <c r="K87" s="49" t="s">
        <v>851</v>
      </c>
      <c r="M87" s="1232"/>
      <c r="N87" s="1233"/>
      <c r="O87" s="1233"/>
      <c r="P87" s="1234"/>
      <c r="Q87" s="234"/>
    </row>
    <row r="88" spans="1:17" ht="22.9" customHeight="1">
      <c r="A88" s="194"/>
      <c r="B88" s="179"/>
      <c r="C88" s="203" t="s">
        <v>2765</v>
      </c>
      <c r="D88" s="977" t="s">
        <v>679</v>
      </c>
      <c r="E88" s="1119"/>
      <c r="F88" s="1119"/>
      <c r="G88" s="1119"/>
      <c r="H88" s="1119"/>
      <c r="I88" s="1119"/>
      <c r="J88" s="1119"/>
      <c r="K88" s="1119"/>
      <c r="L88" s="1119"/>
      <c r="M88" s="1119"/>
      <c r="N88" s="1119"/>
      <c r="O88" s="203" t="s">
        <v>2765</v>
      </c>
      <c r="P88" s="1166"/>
      <c r="Q88" s="234"/>
    </row>
    <row r="89" spans="1:17" ht="12" customHeight="1">
      <c r="A89" s="194"/>
      <c r="B89" s="179"/>
      <c r="C89" s="83" t="s">
        <v>2766</v>
      </c>
      <c r="D89" s="65" t="s">
        <v>187</v>
      </c>
      <c r="E89" s="65"/>
      <c r="F89" s="65"/>
      <c r="G89" s="65"/>
      <c r="H89" s="65"/>
      <c r="I89" s="65"/>
      <c r="J89" s="65"/>
      <c r="K89" s="65"/>
      <c r="L89" s="65"/>
      <c r="M89" s="65"/>
      <c r="O89" s="83" t="s">
        <v>2766</v>
      </c>
      <c r="P89" s="1166"/>
      <c r="Q89" s="234"/>
    </row>
    <row r="90" spans="1:17" ht="12" customHeight="1">
      <c r="A90" s="194"/>
      <c r="B90" s="179"/>
      <c r="C90" s="83" t="s">
        <v>2767</v>
      </c>
      <c r="D90" s="65" t="s">
        <v>188</v>
      </c>
      <c r="E90" s="65"/>
      <c r="F90" s="65"/>
      <c r="G90" s="65"/>
      <c r="H90" s="65"/>
      <c r="I90" s="65"/>
      <c r="J90" s="65"/>
      <c r="K90" s="65"/>
      <c r="L90" s="65"/>
      <c r="M90" s="65"/>
      <c r="O90" s="83" t="s">
        <v>2767</v>
      </c>
      <c r="P90" s="1166"/>
      <c r="Q90" s="234"/>
    </row>
    <row r="91" spans="1:17" ht="12" customHeight="1">
      <c r="B91" s="57" t="s">
        <v>1239</v>
      </c>
      <c r="C91" s="65" t="s">
        <v>191</v>
      </c>
      <c r="D91" s="65"/>
      <c r="E91" s="65"/>
      <c r="F91" s="65"/>
      <c r="G91" s="65"/>
      <c r="H91" s="65"/>
      <c r="I91" s="65"/>
      <c r="J91" s="65"/>
      <c r="K91" s="65"/>
      <c r="L91" s="65"/>
      <c r="M91" s="65"/>
      <c r="O91" s="62" t="s">
        <v>1239</v>
      </c>
      <c r="P91" s="1166"/>
      <c r="Q91" s="234"/>
    </row>
    <row r="92" spans="1:17" ht="12" customHeight="1">
      <c r="B92" s="57" t="s">
        <v>3212</v>
      </c>
      <c r="C92" s="65" t="s">
        <v>2149</v>
      </c>
      <c r="D92" s="65"/>
      <c r="E92" s="65"/>
      <c r="G92" s="65"/>
      <c r="I92" s="65"/>
      <c r="K92" s="65"/>
      <c r="L92" s="40"/>
      <c r="M92" s="40"/>
      <c r="N92" s="40"/>
      <c r="O92" s="40"/>
      <c r="P92" s="40"/>
      <c r="Q92" s="40"/>
    </row>
    <row r="93" spans="1:17" ht="12" customHeight="1">
      <c r="B93" s="57"/>
      <c r="C93" s="83" t="s">
        <v>2765</v>
      </c>
      <c r="D93" s="65" t="s">
        <v>2150</v>
      </c>
      <c r="E93" s="65"/>
      <c r="F93" s="65"/>
      <c r="G93" s="65"/>
      <c r="H93" s="65"/>
      <c r="I93" s="65"/>
      <c r="J93" s="65"/>
      <c r="K93" s="65"/>
      <c r="L93" s="40"/>
      <c r="M93" s="40"/>
      <c r="O93" s="83" t="s">
        <v>2765</v>
      </c>
      <c r="P93" s="1166" t="s">
        <v>3924</v>
      </c>
      <c r="Q93" s="234"/>
    </row>
    <row r="94" spans="1:17" ht="12" customHeight="1">
      <c r="B94" s="57"/>
      <c r="C94" s="83" t="s">
        <v>2766</v>
      </c>
      <c r="D94" s="65" t="s">
        <v>2151</v>
      </c>
      <c r="E94" s="65"/>
      <c r="F94" s="65"/>
      <c r="G94" s="65"/>
      <c r="H94" s="65"/>
      <c r="I94" s="65"/>
      <c r="J94" s="65"/>
      <c r="K94" s="65"/>
      <c r="L94" s="40"/>
      <c r="M94" s="40"/>
      <c r="O94" s="83" t="s">
        <v>2766</v>
      </c>
      <c r="P94" s="1166" t="s">
        <v>3924</v>
      </c>
      <c r="Q94" s="234"/>
    </row>
    <row r="95" spans="1:17" ht="12" customHeight="1">
      <c r="B95" s="57"/>
      <c r="C95" s="83" t="s">
        <v>2767</v>
      </c>
      <c r="D95" s="65" t="s">
        <v>2152</v>
      </c>
      <c r="E95" s="65"/>
      <c r="F95" s="65"/>
      <c r="G95" s="65"/>
      <c r="H95" s="65"/>
      <c r="I95" s="65"/>
      <c r="J95" s="65"/>
      <c r="K95" s="65"/>
      <c r="L95" s="40"/>
      <c r="M95" s="40"/>
      <c r="O95" s="83" t="s">
        <v>2767</v>
      </c>
      <c r="P95" s="1166" t="s">
        <v>3924</v>
      </c>
      <c r="Q95" s="234"/>
    </row>
    <row r="96" spans="1:17" ht="11.25" customHeight="1">
      <c r="B96" s="191" t="s">
        <v>2921</v>
      </c>
      <c r="D96" s="191"/>
      <c r="E96" s="191"/>
      <c r="F96" s="191"/>
      <c r="G96" s="191"/>
      <c r="H96" s="50"/>
      <c r="I96" s="179"/>
      <c r="J96" s="179"/>
      <c r="K96" s="179"/>
      <c r="L96" s="737"/>
      <c r="M96" s="737"/>
      <c r="N96" s="737"/>
      <c r="O96" s="737"/>
      <c r="P96" s="737"/>
      <c r="Q96" s="63"/>
    </row>
    <row r="97" spans="1:31" ht="13.15" customHeight="1">
      <c r="A97" s="1152" t="s">
        <v>3996</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3"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2922</v>
      </c>
      <c r="C99" s="188"/>
      <c r="D99" s="740"/>
      <c r="E99" s="740"/>
      <c r="F99" s="740"/>
      <c r="G99" s="740"/>
      <c r="H99" s="740"/>
      <c r="I99" s="740"/>
      <c r="J99" s="740"/>
      <c r="K99" s="740"/>
      <c r="L99" s="740"/>
      <c r="M99" s="740"/>
      <c r="N99" s="740"/>
      <c r="O99" s="740"/>
      <c r="P99" s="740"/>
      <c r="Q99" s="740"/>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1">
        <v>6</v>
      </c>
      <c r="B103" s="741" t="s">
        <v>331</v>
      </c>
      <c r="C103" s="50"/>
      <c r="D103" s="740"/>
      <c r="E103" s="740"/>
      <c r="F103" s="740"/>
      <c r="G103" s="740"/>
      <c r="H103" s="740"/>
      <c r="I103" s="740"/>
      <c r="J103" s="740"/>
      <c r="K103" s="740"/>
      <c r="L103" s="740"/>
      <c r="M103" s="740"/>
      <c r="O103" s="180" t="s">
        <v>2923</v>
      </c>
      <c r="P103" s="992"/>
      <c r="Q103" s="993"/>
    </row>
    <row r="104" spans="1:31" ht="6.6" customHeight="1"/>
    <row r="105" spans="1:31" ht="12" customHeight="1">
      <c r="B105" s="57" t="s">
        <v>3060</v>
      </c>
      <c r="C105" s="65" t="s">
        <v>202</v>
      </c>
      <c r="D105" s="182"/>
      <c r="E105" s="182"/>
      <c r="F105" s="182"/>
      <c r="G105" s="182"/>
      <c r="H105" s="182"/>
      <c r="I105" s="52"/>
      <c r="J105" s="52"/>
      <c r="K105" s="52"/>
      <c r="L105" s="62" t="s">
        <v>3060</v>
      </c>
      <c r="M105" s="1224" t="s">
        <v>4049</v>
      </c>
      <c r="N105" s="1225"/>
      <c r="O105" s="1225"/>
      <c r="P105" s="1226"/>
      <c r="Q105" s="234"/>
    </row>
    <row r="106" spans="1:31" ht="12" customHeight="1">
      <c r="B106" s="57" t="s">
        <v>3063</v>
      </c>
      <c r="C106" s="65" t="s">
        <v>2292</v>
      </c>
      <c r="D106" s="182"/>
      <c r="E106" s="182"/>
      <c r="F106" s="182"/>
      <c r="G106" s="182"/>
      <c r="H106" s="182"/>
      <c r="I106" s="52"/>
      <c r="J106" s="52"/>
      <c r="K106" s="182"/>
      <c r="L106" s="182"/>
      <c r="M106" s="739"/>
      <c r="O106" s="62" t="s">
        <v>3063</v>
      </c>
      <c r="P106" s="1166" t="s">
        <v>3924</v>
      </c>
      <c r="Q106" s="351"/>
    </row>
    <row r="107" spans="1:31" ht="12" customHeight="1">
      <c r="B107" s="57" t="s">
        <v>1239</v>
      </c>
      <c r="C107" s="65" t="s">
        <v>205</v>
      </c>
      <c r="D107" s="182"/>
      <c r="E107" s="182"/>
      <c r="F107" s="182"/>
      <c r="G107" s="182"/>
      <c r="H107" s="182"/>
      <c r="I107" s="52"/>
      <c r="J107" s="52"/>
      <c r="K107" s="182"/>
      <c r="L107" s="739"/>
      <c r="M107" s="739"/>
      <c r="O107" s="62" t="s">
        <v>1239</v>
      </c>
      <c r="P107" s="1166" t="s">
        <v>3925</v>
      </c>
      <c r="Q107" s="234"/>
    </row>
    <row r="108" spans="1:31" ht="12" customHeight="1">
      <c r="B108" s="189"/>
      <c r="C108" s="65" t="s">
        <v>2843</v>
      </c>
      <c r="D108" s="52"/>
      <c r="E108" s="52"/>
      <c r="F108" s="52"/>
      <c r="G108" s="52"/>
      <c r="H108" s="65"/>
      <c r="I108" s="52"/>
      <c r="J108" s="52"/>
      <c r="K108" s="182"/>
      <c r="L108" s="739"/>
      <c r="M108" s="739"/>
      <c r="P108" s="1235">
        <v>49.6</v>
      </c>
      <c r="Q108" s="351"/>
    </row>
    <row r="109" spans="1:31" ht="12" customHeight="1">
      <c r="B109" s="189"/>
      <c r="C109" s="65" t="s">
        <v>2090</v>
      </c>
      <c r="D109" s="52"/>
      <c r="E109" s="52"/>
      <c r="F109" s="52"/>
      <c r="G109" s="52"/>
      <c r="H109" s="65"/>
      <c r="I109" s="52"/>
      <c r="J109" s="52"/>
      <c r="K109" s="182"/>
      <c r="L109" s="739"/>
      <c r="M109" s="739"/>
      <c r="N109" s="739"/>
      <c r="O109" s="739"/>
    </row>
    <row r="110" spans="1:31" ht="11.45" customHeight="1">
      <c r="B110" s="737"/>
      <c r="C110" s="1236" t="s">
        <v>4050</v>
      </c>
      <c r="D110" s="1237"/>
      <c r="E110" s="1237"/>
      <c r="F110" s="1237"/>
      <c r="G110" s="1237"/>
      <c r="H110" s="1237"/>
      <c r="I110" s="1237"/>
      <c r="J110" s="1237"/>
      <c r="K110" s="1237"/>
      <c r="L110" s="1237"/>
      <c r="M110" s="1237"/>
      <c r="N110" s="1237"/>
      <c r="O110" s="1238"/>
      <c r="P110" s="740"/>
      <c r="Q110" s="737"/>
    </row>
    <row r="111" spans="1:31" ht="12" customHeight="1">
      <c r="B111" s="57" t="s">
        <v>3212</v>
      </c>
      <c r="C111" s="65" t="s">
        <v>1945</v>
      </c>
      <c r="D111" s="182"/>
      <c r="E111" s="182"/>
      <c r="F111" s="182"/>
      <c r="G111" s="182"/>
      <c r="H111" s="182"/>
      <c r="I111" s="52"/>
      <c r="J111" s="52"/>
      <c r="K111" s="182"/>
      <c r="L111" s="739"/>
      <c r="M111" s="739"/>
      <c r="N111" s="739"/>
      <c r="O111" s="62" t="s">
        <v>3212</v>
      </c>
    </row>
    <row r="112" spans="1:31" ht="12" customHeight="1">
      <c r="B112" s="57"/>
      <c r="C112" s="83" t="s">
        <v>2765</v>
      </c>
      <c r="D112" s="65" t="s">
        <v>203</v>
      </c>
      <c r="E112" s="182"/>
      <c r="F112" s="182"/>
      <c r="G112" s="182"/>
      <c r="H112" s="182"/>
      <c r="I112" s="52"/>
      <c r="J112" s="52"/>
      <c r="K112" s="182"/>
      <c r="L112" s="739"/>
      <c r="M112" s="739"/>
      <c r="O112" s="83" t="s">
        <v>2765</v>
      </c>
      <c r="P112" s="1166" t="s">
        <v>3924</v>
      </c>
      <c r="Q112" s="234"/>
    </row>
    <row r="113" spans="1:17" ht="12" customHeight="1">
      <c r="B113" s="57"/>
      <c r="C113" s="83" t="s">
        <v>2766</v>
      </c>
      <c r="D113" s="65" t="s">
        <v>1946</v>
      </c>
      <c r="E113" s="182"/>
      <c r="F113" s="182"/>
      <c r="G113" s="182"/>
      <c r="H113" s="52"/>
      <c r="I113" s="52"/>
      <c r="J113" s="52"/>
      <c r="K113" s="182"/>
      <c r="L113" s="739"/>
      <c r="M113" s="739"/>
      <c r="O113" s="83" t="s">
        <v>2766</v>
      </c>
      <c r="P113" s="1235" t="s">
        <v>3924</v>
      </c>
      <c r="Q113" s="351"/>
    </row>
    <row r="114" spans="1:17" ht="12" customHeight="1">
      <c r="B114" s="57"/>
      <c r="C114" s="83"/>
      <c r="D114" s="65" t="s">
        <v>2970</v>
      </c>
      <c r="E114" s="52"/>
      <c r="F114" s="52"/>
      <c r="G114" s="52"/>
      <c r="H114" s="65"/>
      <c r="I114" s="52"/>
      <c r="J114" s="52"/>
      <c r="K114" s="182"/>
      <c r="L114" s="739"/>
      <c r="M114" s="739"/>
      <c r="O114" s="739"/>
      <c r="P114" s="1239"/>
      <c r="Q114" s="457"/>
    </row>
    <row r="115" spans="1:17" ht="12" customHeight="1">
      <c r="B115" s="57"/>
      <c r="C115" s="83"/>
      <c r="D115" s="65" t="s">
        <v>3663</v>
      </c>
      <c r="E115" s="52"/>
      <c r="F115" s="52"/>
      <c r="G115" s="52"/>
      <c r="H115" s="65"/>
      <c r="I115" s="52"/>
      <c r="J115" s="52"/>
      <c r="K115" s="182"/>
      <c r="L115" s="739"/>
      <c r="M115" s="739"/>
      <c r="O115" s="739"/>
      <c r="P115" s="1235"/>
      <c r="Q115" s="351"/>
    </row>
    <row r="116" spans="1:17" ht="12" customHeight="1">
      <c r="B116" s="57"/>
      <c r="C116" s="83"/>
      <c r="D116" s="65" t="s">
        <v>3244</v>
      </c>
      <c r="E116" s="52"/>
      <c r="F116" s="52"/>
      <c r="G116" s="52"/>
      <c r="H116" s="65"/>
      <c r="I116" s="52"/>
      <c r="J116" s="52"/>
      <c r="K116" s="182"/>
      <c r="L116" s="739"/>
      <c r="M116" s="739"/>
      <c r="O116" s="739"/>
      <c r="P116" s="1235"/>
      <c r="Q116" s="351"/>
    </row>
    <row r="117" spans="1:17" ht="12" customHeight="1">
      <c r="B117" s="57"/>
      <c r="C117" s="83" t="s">
        <v>2767</v>
      </c>
      <c r="D117" s="65" t="s">
        <v>1947</v>
      </c>
      <c r="E117" s="182"/>
      <c r="F117" s="182"/>
      <c r="G117" s="182"/>
      <c r="H117" s="65"/>
      <c r="I117" s="52"/>
      <c r="J117" s="52"/>
      <c r="K117" s="182"/>
      <c r="L117" s="739"/>
      <c r="M117" s="739"/>
      <c r="O117" s="83" t="s">
        <v>2767</v>
      </c>
      <c r="P117" s="1166" t="s">
        <v>3924</v>
      </c>
      <c r="Q117" s="234"/>
    </row>
    <row r="118" spans="1:17" ht="12" customHeight="1">
      <c r="B118" s="57"/>
      <c r="C118" s="83"/>
      <c r="D118" s="65" t="s">
        <v>1408</v>
      </c>
      <c r="E118" s="52"/>
      <c r="F118" s="52"/>
      <c r="G118" s="52"/>
      <c r="H118" s="65"/>
      <c r="I118" s="52"/>
      <c r="J118" s="52"/>
      <c r="K118" s="182"/>
      <c r="L118" s="739"/>
      <c r="M118" s="739"/>
      <c r="O118" s="739"/>
      <c r="P118" s="1240"/>
      <c r="Q118" s="352"/>
    </row>
    <row r="119" spans="1:17" ht="12" customHeight="1">
      <c r="B119" s="57"/>
      <c r="C119" s="83"/>
      <c r="D119" s="65" t="s">
        <v>3245</v>
      </c>
      <c r="E119" s="52"/>
      <c r="F119" s="52"/>
      <c r="G119" s="52"/>
      <c r="H119" s="65"/>
      <c r="I119" s="52"/>
      <c r="J119" s="52"/>
      <c r="K119" s="182"/>
      <c r="L119" s="739"/>
      <c r="M119" s="739"/>
      <c r="O119" s="739"/>
      <c r="P119" s="1235"/>
      <c r="Q119" s="351"/>
    </row>
    <row r="120" spans="1:17" ht="12" customHeight="1">
      <c r="B120" s="57"/>
      <c r="C120" s="83"/>
      <c r="D120" s="65" t="s">
        <v>3244</v>
      </c>
      <c r="E120" s="52"/>
      <c r="F120" s="52"/>
      <c r="G120" s="52"/>
      <c r="H120" s="65"/>
      <c r="I120" s="52"/>
      <c r="J120" s="52"/>
      <c r="K120" s="182"/>
      <c r="L120" s="739"/>
      <c r="M120" s="739"/>
      <c r="O120" s="739"/>
      <c r="P120" s="1235"/>
      <c r="Q120" s="351"/>
    </row>
    <row r="121" spans="1:17" ht="12" customHeight="1">
      <c r="B121" s="46"/>
      <c r="C121" s="83" t="s">
        <v>3571</v>
      </c>
      <c r="D121" s="65" t="s">
        <v>727</v>
      </c>
      <c r="E121" s="182"/>
      <c r="F121" s="182"/>
      <c r="G121" s="182"/>
      <c r="H121" s="182"/>
      <c r="I121" s="52"/>
      <c r="J121" s="52"/>
      <c r="K121" s="182"/>
      <c r="L121" s="739"/>
      <c r="M121" s="739"/>
      <c r="O121" s="83" t="s">
        <v>3571</v>
      </c>
      <c r="P121" s="1166" t="s">
        <v>3924</v>
      </c>
      <c r="Q121" s="234"/>
    </row>
    <row r="122" spans="1:17" ht="12" customHeight="1">
      <c r="B122" s="57" t="s">
        <v>2763</v>
      </c>
      <c r="C122" s="196" t="s">
        <v>3658</v>
      </c>
      <c r="D122" s="182"/>
      <c r="E122" s="182"/>
      <c r="F122" s="182"/>
      <c r="G122" s="182"/>
      <c r="H122" s="182"/>
      <c r="I122" s="52"/>
      <c r="J122" s="52"/>
      <c r="K122" s="182"/>
      <c r="L122" s="739"/>
      <c r="M122" s="739"/>
      <c r="N122" s="739"/>
      <c r="O122" s="62" t="s">
        <v>2763</v>
      </c>
      <c r="P122" s="1166" t="s">
        <v>3924</v>
      </c>
      <c r="Q122" s="234"/>
    </row>
    <row r="123" spans="1:17" ht="12" customHeight="1">
      <c r="B123" s="57"/>
      <c r="C123" s="83" t="s">
        <v>2765</v>
      </c>
      <c r="D123" s="65" t="s">
        <v>3659</v>
      </c>
      <c r="E123" s="182"/>
      <c r="F123" s="1166" t="s">
        <v>3924</v>
      </c>
      <c r="G123" s="234"/>
      <c r="H123" s="83" t="s">
        <v>2767</v>
      </c>
      <c r="I123" s="65" t="s">
        <v>2306</v>
      </c>
      <c r="J123" s="1166" t="s">
        <v>3924</v>
      </c>
      <c r="K123" s="234"/>
      <c r="L123" s="83" t="s">
        <v>2304</v>
      </c>
      <c r="M123" s="65" t="s">
        <v>3621</v>
      </c>
      <c r="N123" s="1166" t="s">
        <v>3924</v>
      </c>
      <c r="O123" s="234"/>
    </row>
    <row r="124" spans="1:17" ht="12" customHeight="1">
      <c r="B124" s="46"/>
      <c r="C124" s="83" t="s">
        <v>2766</v>
      </c>
      <c r="D124" s="65" t="s">
        <v>3775</v>
      </c>
      <c r="E124" s="182"/>
      <c r="F124" s="1166" t="s">
        <v>3924</v>
      </c>
      <c r="G124" s="234"/>
      <c r="H124" s="83" t="s">
        <v>3571</v>
      </c>
      <c r="I124" s="65" t="s">
        <v>2307</v>
      </c>
      <c r="J124" s="1166" t="s">
        <v>3924</v>
      </c>
      <c r="K124" s="234"/>
      <c r="L124" s="83" t="s">
        <v>2305</v>
      </c>
      <c r="M124" s="65" t="s">
        <v>2308</v>
      </c>
      <c r="N124" s="1166" t="s">
        <v>3924</v>
      </c>
      <c r="O124" s="234"/>
    </row>
    <row r="125" spans="1:17" ht="12" customHeight="1">
      <c r="B125" s="46"/>
      <c r="C125" s="83" t="s">
        <v>112</v>
      </c>
      <c r="D125" s="65" t="s">
        <v>53</v>
      </c>
      <c r="E125" s="182"/>
      <c r="F125" s="182"/>
      <c r="G125" s="182"/>
      <c r="H125" s="182"/>
      <c r="J125" s="1224" t="s">
        <v>3982</v>
      </c>
      <c r="K125" s="1225"/>
      <c r="L125" s="1225"/>
      <c r="M125" s="1225"/>
      <c r="N125" s="1225"/>
      <c r="O125" s="1226"/>
    </row>
    <row r="126" spans="1:17" ht="12" customHeight="1">
      <c r="B126" s="57" t="s">
        <v>2764</v>
      </c>
      <c r="C126" s="65" t="s">
        <v>1984</v>
      </c>
      <c r="D126" s="182"/>
      <c r="E126" s="182"/>
      <c r="F126" s="182"/>
      <c r="G126" s="182"/>
      <c r="H126" s="182"/>
      <c r="I126" s="52"/>
      <c r="J126" s="52"/>
      <c r="K126" s="182"/>
      <c r="L126" s="182"/>
      <c r="M126" s="739"/>
      <c r="O126" s="62" t="s">
        <v>2764</v>
      </c>
      <c r="P126" s="1166" t="s">
        <v>1581</v>
      </c>
      <c r="Q126" s="234"/>
    </row>
    <row r="127" spans="1:17" ht="12" customHeight="1">
      <c r="A127" s="194"/>
      <c r="B127" s="52"/>
      <c r="C127" s="83" t="s">
        <v>2765</v>
      </c>
      <c r="D127" s="65" t="s">
        <v>1080</v>
      </c>
      <c r="E127" s="182"/>
      <c r="F127" s="182"/>
      <c r="G127" s="182"/>
      <c r="H127" s="182"/>
      <c r="O127" s="83" t="s">
        <v>2765</v>
      </c>
      <c r="P127" s="1166"/>
      <c r="Q127" s="234"/>
    </row>
    <row r="128" spans="1:17" ht="12" customHeight="1">
      <c r="A128" s="194"/>
      <c r="B128" s="179"/>
      <c r="C128" s="83" t="s">
        <v>2766</v>
      </c>
      <c r="D128" s="65" t="s">
        <v>726</v>
      </c>
      <c r="E128" s="65"/>
      <c r="F128" s="65"/>
      <c r="G128" s="65"/>
      <c r="H128" s="65"/>
      <c r="I128" s="52"/>
      <c r="J128" s="52"/>
      <c r="K128" s="65"/>
      <c r="L128" s="65"/>
      <c r="M128" s="65"/>
      <c r="O128" s="83" t="s">
        <v>2766</v>
      </c>
      <c r="P128" s="1166"/>
      <c r="Q128" s="234"/>
    </row>
    <row r="129" spans="1:31" ht="12" customHeight="1">
      <c r="A129" s="194"/>
      <c r="B129" s="179"/>
      <c r="C129" s="83" t="s">
        <v>2767</v>
      </c>
      <c r="D129" s="65" t="s">
        <v>1032</v>
      </c>
      <c r="E129" s="65"/>
      <c r="F129" s="65"/>
      <c r="G129" s="65"/>
      <c r="H129" s="65"/>
      <c r="I129" s="52"/>
      <c r="J129" s="52"/>
      <c r="K129" s="65"/>
      <c r="L129" s="65"/>
      <c r="M129" s="65"/>
      <c r="O129" s="83" t="s">
        <v>2767</v>
      </c>
      <c r="P129" s="1166"/>
      <c r="Q129" s="234"/>
    </row>
    <row r="130" spans="1:31" ht="12" customHeight="1">
      <c r="B130" s="57" t="s">
        <v>3020</v>
      </c>
      <c r="C130" s="65" t="s">
        <v>2782</v>
      </c>
      <c r="D130" s="182"/>
      <c r="E130" s="182"/>
      <c r="F130" s="182"/>
      <c r="G130" s="182"/>
      <c r="H130" s="182"/>
      <c r="I130" s="52"/>
      <c r="J130" s="52"/>
      <c r="K130" s="182"/>
      <c r="L130" s="182"/>
      <c r="M130" s="739"/>
      <c r="O130" s="62" t="s">
        <v>3020</v>
      </c>
      <c r="P130" s="1166" t="s">
        <v>1581</v>
      </c>
      <c r="Q130" s="234"/>
    </row>
    <row r="131" spans="1:31" ht="4.9000000000000004" customHeight="1"/>
    <row r="132" spans="1:31" ht="11.25" customHeight="1">
      <c r="B132" s="191" t="s">
        <v>2921</v>
      </c>
      <c r="D132" s="191"/>
      <c r="E132" s="191"/>
      <c r="F132" s="191"/>
      <c r="G132" s="191"/>
      <c r="H132" s="50"/>
      <c r="I132" s="179"/>
      <c r="J132" s="179"/>
      <c r="K132" s="179"/>
      <c r="L132" s="737"/>
      <c r="M132" s="737"/>
      <c r="N132" s="737"/>
      <c r="O132" s="737"/>
      <c r="P132" s="737"/>
      <c r="Q132" s="63"/>
    </row>
    <row r="133" spans="1:31" ht="12" customHeight="1">
      <c r="A133" s="1152" t="s">
        <v>3997</v>
      </c>
      <c r="B133" s="1153"/>
      <c r="C133" s="1153"/>
      <c r="D133" s="1153"/>
      <c r="E133" s="1153"/>
      <c r="F133" s="1153"/>
      <c r="G133" s="1153"/>
      <c r="H133" s="1153"/>
      <c r="I133" s="1153"/>
      <c r="J133" s="1153"/>
      <c r="K133" s="1153"/>
      <c r="L133" s="1153"/>
      <c r="M133" s="1153"/>
      <c r="N133" s="1153"/>
      <c r="O133" s="1153"/>
      <c r="P133" s="1153"/>
      <c r="Q133" s="1154"/>
      <c r="R133" s="998" t="s">
        <v>1933</v>
      </c>
      <c r="S133" s="998"/>
      <c r="U133" s="185"/>
      <c r="V133" s="185"/>
      <c r="W133" s="185"/>
      <c r="X133" s="185"/>
      <c r="Y133" s="185"/>
      <c r="Z133" s="185"/>
      <c r="AA133" s="185"/>
      <c r="AB133" s="185"/>
      <c r="AC133" s="185"/>
      <c r="AD133" s="185"/>
      <c r="AE133" s="186"/>
    </row>
    <row r="134" spans="1:31" ht="12" customHeight="1">
      <c r="A134" s="1163" t="s">
        <v>4051</v>
      </c>
      <c r="B134" s="1164"/>
      <c r="C134" s="1164"/>
      <c r="D134" s="1164"/>
      <c r="E134" s="1164"/>
      <c r="F134" s="1164"/>
      <c r="G134" s="1164"/>
      <c r="H134" s="1164"/>
      <c r="I134" s="1164"/>
      <c r="J134" s="1164"/>
      <c r="K134" s="1164"/>
      <c r="L134" s="1164"/>
      <c r="M134" s="1164"/>
      <c r="N134" s="1164"/>
      <c r="O134" s="1164"/>
      <c r="P134" s="1164"/>
      <c r="Q134" s="1165"/>
      <c r="R134" s="998"/>
      <c r="S134" s="998"/>
    </row>
    <row r="135" spans="1:31" ht="1.5" customHeight="1">
      <c r="A135" s="1155"/>
      <c r="B135" s="1156"/>
      <c r="C135" s="1156"/>
      <c r="D135" s="1156"/>
      <c r="E135" s="1156"/>
      <c r="F135" s="1156"/>
      <c r="G135" s="1156"/>
      <c r="H135" s="1156"/>
      <c r="I135" s="1156"/>
      <c r="J135" s="1156"/>
      <c r="K135" s="1156"/>
      <c r="L135" s="1156"/>
      <c r="M135" s="1156"/>
      <c r="N135" s="1156"/>
      <c r="O135" s="1156"/>
      <c r="P135" s="1156"/>
      <c r="Q135" s="1157"/>
      <c r="R135" s="998"/>
      <c r="S135" s="998"/>
    </row>
    <row r="136" spans="1:31" ht="11.25" customHeight="1">
      <c r="B136" s="187" t="s">
        <v>2922</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998" t="s">
        <v>1933</v>
      </c>
      <c r="S137" s="998"/>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98"/>
      <c r="S138" s="998"/>
    </row>
    <row r="139" spans="1:31" ht="12" customHeight="1">
      <c r="A139" s="995"/>
      <c r="B139" s="996"/>
      <c r="C139" s="996"/>
      <c r="D139" s="996"/>
      <c r="E139" s="996"/>
      <c r="F139" s="996"/>
      <c r="G139" s="996"/>
      <c r="H139" s="996"/>
      <c r="I139" s="996"/>
      <c r="J139" s="996"/>
      <c r="K139" s="996"/>
      <c r="L139" s="996"/>
      <c r="M139" s="996"/>
      <c r="N139" s="996"/>
      <c r="O139" s="996"/>
      <c r="P139" s="996"/>
      <c r="Q139" s="997"/>
      <c r="R139" s="998"/>
      <c r="S139" s="998"/>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1">
        <v>7</v>
      </c>
      <c r="B141" s="741" t="s">
        <v>1601</v>
      </c>
      <c r="C141" s="741"/>
      <c r="D141" s="740"/>
      <c r="E141" s="740"/>
      <c r="F141" s="740"/>
      <c r="G141" s="740"/>
      <c r="H141" s="740"/>
      <c r="I141" s="740"/>
      <c r="J141" s="740"/>
      <c r="K141" s="740"/>
      <c r="O141" s="180" t="s">
        <v>2923</v>
      </c>
      <c r="P141" s="992"/>
      <c r="Q141" s="993"/>
    </row>
    <row r="142" spans="1:31" ht="10.9" customHeight="1">
      <c r="B142" s="57" t="s">
        <v>3060</v>
      </c>
      <c r="C142" s="65" t="s">
        <v>3120</v>
      </c>
      <c r="D142" s="65"/>
      <c r="E142" s="65"/>
      <c r="F142" s="65"/>
      <c r="G142" s="65"/>
      <c r="H142" s="65"/>
      <c r="N142" s="65"/>
      <c r="O142" s="62" t="s">
        <v>3060</v>
      </c>
      <c r="P142" s="1166" t="s">
        <v>3925</v>
      </c>
      <c r="Q142" s="234"/>
    </row>
    <row r="143" spans="1:31" ht="12" customHeight="1">
      <c r="A143" s="189"/>
      <c r="B143" s="57" t="s">
        <v>3063</v>
      </c>
      <c r="C143" s="190" t="s">
        <v>204</v>
      </c>
      <c r="D143" s="190"/>
      <c r="E143" s="190"/>
      <c r="F143" s="190"/>
      <c r="G143" s="190"/>
      <c r="H143" s="190"/>
      <c r="M143" s="62" t="s">
        <v>3063</v>
      </c>
      <c r="N143" s="1241" t="s">
        <v>3974</v>
      </c>
      <c r="O143" s="1242"/>
      <c r="P143" s="1017"/>
      <c r="Q143" s="1018"/>
    </row>
    <row r="144" spans="1:31" ht="12" customHeight="1">
      <c r="A144" s="189"/>
      <c r="B144" s="57" t="s">
        <v>1239</v>
      </c>
      <c r="C144" s="190" t="s">
        <v>1033</v>
      </c>
      <c r="D144" s="190"/>
      <c r="E144" s="190"/>
      <c r="F144" s="190"/>
      <c r="G144" s="190"/>
      <c r="H144" s="190"/>
      <c r="J144" s="62" t="s">
        <v>1239</v>
      </c>
      <c r="K144" s="1243" t="s">
        <v>4046</v>
      </c>
      <c r="L144" s="1244"/>
      <c r="M144" s="1244"/>
      <c r="N144" s="1244"/>
      <c r="O144" s="1245"/>
      <c r="P144" s="1166" t="s">
        <v>3925</v>
      </c>
      <c r="Q144" s="234"/>
    </row>
    <row r="145" spans="1:31" ht="12" customHeight="1">
      <c r="B145" s="191" t="s">
        <v>2921</v>
      </c>
      <c r="D145" s="191"/>
      <c r="E145" s="191"/>
      <c r="F145" s="191"/>
      <c r="G145" s="191"/>
      <c r="H145" s="50"/>
      <c r="I145" s="179"/>
      <c r="J145" s="179"/>
      <c r="K145" s="179"/>
      <c r="L145" s="737"/>
      <c r="M145" s="737"/>
      <c r="N145" s="737"/>
      <c r="O145" s="737"/>
      <c r="P145" s="737"/>
      <c r="Q145" s="63"/>
    </row>
    <row r="146" spans="1:31" ht="39" customHeight="1">
      <c r="A146" s="1152" t="s">
        <v>4056</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2922</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7"/>
      <c r="B151" s="179"/>
      <c r="C151" s="740"/>
      <c r="D151" s="740"/>
      <c r="E151" s="740"/>
      <c r="F151" s="740"/>
      <c r="G151" s="740"/>
      <c r="H151" s="740"/>
      <c r="I151" s="740"/>
      <c r="J151" s="740"/>
      <c r="K151" s="740"/>
      <c r="L151" s="740"/>
      <c r="M151" s="740"/>
      <c r="Q151" s="737"/>
    </row>
    <row r="152" spans="1:31" ht="13.9" customHeight="1">
      <c r="A152" s="741">
        <v>8</v>
      </c>
      <c r="B152" s="741" t="s">
        <v>683</v>
      </c>
      <c r="C152" s="741"/>
      <c r="D152" s="740"/>
      <c r="E152" s="740"/>
      <c r="F152" s="740"/>
      <c r="G152" s="740"/>
      <c r="H152" s="740"/>
      <c r="I152" s="740"/>
      <c r="J152" s="740"/>
      <c r="K152" s="740"/>
      <c r="L152" s="740"/>
      <c r="M152" s="740"/>
      <c r="O152" s="180" t="s">
        <v>2923</v>
      </c>
      <c r="P152" s="992"/>
      <c r="Q152" s="993"/>
    </row>
    <row r="153" spans="1:31" ht="12" customHeight="1">
      <c r="B153" s="192" t="s">
        <v>3060</v>
      </c>
      <c r="C153" s="190" t="s">
        <v>109</v>
      </c>
      <c r="D153" s="190"/>
      <c r="E153" s="190"/>
      <c r="F153" s="190"/>
      <c r="G153" s="190"/>
      <c r="H153" s="190"/>
      <c r="I153" s="190"/>
      <c r="J153" s="190"/>
      <c r="K153" s="190"/>
      <c r="L153" s="197"/>
      <c r="M153" s="197"/>
      <c r="N153" s="197"/>
      <c r="O153" s="221" t="s">
        <v>3060</v>
      </c>
      <c r="P153" s="1166" t="s">
        <v>3925</v>
      </c>
      <c r="Q153" s="234"/>
    </row>
    <row r="154" spans="1:31" ht="22.15" customHeight="1">
      <c r="B154" s="192" t="s">
        <v>3063</v>
      </c>
      <c r="C154" s="994" t="s">
        <v>3791</v>
      </c>
      <c r="D154" s="994"/>
      <c r="E154" s="994"/>
      <c r="F154" s="994"/>
      <c r="G154" s="994"/>
      <c r="H154" s="994"/>
      <c r="I154" s="994"/>
      <c r="J154" s="994"/>
      <c r="K154" s="994"/>
      <c r="L154" s="994"/>
      <c r="M154" s="994"/>
      <c r="N154" s="994"/>
      <c r="O154" s="221" t="s">
        <v>3063</v>
      </c>
      <c r="P154" s="1166"/>
      <c r="Q154" s="234"/>
    </row>
    <row r="155" spans="1:31" ht="12" customHeight="1">
      <c r="B155" s="191" t="s">
        <v>2921</v>
      </c>
      <c r="D155" s="191"/>
      <c r="E155" s="191"/>
      <c r="F155" s="191"/>
      <c r="G155" s="191"/>
      <c r="H155" s="50"/>
      <c r="I155" s="179"/>
      <c r="J155" s="179"/>
      <c r="K155" s="179"/>
      <c r="L155" s="737"/>
      <c r="M155" s="737"/>
      <c r="N155" s="737"/>
      <c r="O155" s="737"/>
      <c r="P155" s="737"/>
      <c r="Q155" s="63"/>
    </row>
    <row r="156" spans="1:31" ht="11.45" customHeight="1">
      <c r="A156" s="1152" t="s">
        <v>3998</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2922</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12" t="s">
        <v>332</v>
      </c>
      <c r="C162" s="1012"/>
      <c r="D162" s="1012"/>
      <c r="O162" s="180" t="s">
        <v>2923</v>
      </c>
      <c r="P162" s="992"/>
      <c r="Q162" s="993"/>
    </row>
    <row r="163" spans="1:31" ht="12" customHeight="1">
      <c r="B163" s="192" t="s">
        <v>3060</v>
      </c>
      <c r="C163" s="197" t="s">
        <v>697</v>
      </c>
      <c r="D163" s="197"/>
      <c r="E163" s="197"/>
      <c r="F163" s="197"/>
      <c r="G163" s="197"/>
      <c r="H163" s="197"/>
      <c r="I163" s="197"/>
      <c r="J163" s="197"/>
      <c r="K163" s="197"/>
      <c r="L163" s="197"/>
      <c r="M163" s="197"/>
      <c r="O163" s="221" t="s">
        <v>3060</v>
      </c>
      <c r="P163" s="1166" t="s">
        <v>3925</v>
      </c>
      <c r="Q163" s="234"/>
    </row>
    <row r="164" spans="1:31" ht="12" customHeight="1">
      <c r="B164" s="192" t="s">
        <v>3063</v>
      </c>
      <c r="C164" s="190" t="s">
        <v>722</v>
      </c>
      <c r="D164" s="190"/>
      <c r="E164" s="190"/>
      <c r="F164" s="190"/>
      <c r="G164" s="190"/>
      <c r="H164" s="190"/>
      <c r="I164" s="190"/>
      <c r="J164" s="190"/>
      <c r="K164" s="190"/>
      <c r="L164" s="190"/>
      <c r="M164" s="190"/>
      <c r="O164" s="221" t="s">
        <v>3063</v>
      </c>
      <c r="P164" s="1166" t="s">
        <v>3925</v>
      </c>
      <c r="Q164" s="234"/>
    </row>
    <row r="165" spans="1:31" ht="12" customHeight="1">
      <c r="B165" s="192" t="s">
        <v>1239</v>
      </c>
      <c r="C165" s="197" t="s">
        <v>929</v>
      </c>
      <c r="D165" s="197"/>
      <c r="E165" s="197"/>
      <c r="F165" s="197"/>
      <c r="G165" s="197"/>
      <c r="H165" s="197"/>
      <c r="I165" s="197"/>
      <c r="J165" s="197"/>
      <c r="K165" s="197"/>
      <c r="L165" s="197"/>
      <c r="M165" s="197"/>
      <c r="O165" s="221" t="s">
        <v>1239</v>
      </c>
      <c r="P165" s="1166" t="s">
        <v>3925</v>
      </c>
      <c r="Q165" s="234"/>
    </row>
    <row r="166" spans="1:31" ht="12" customHeight="1">
      <c r="B166" s="192" t="s">
        <v>3212</v>
      </c>
      <c r="C166" s="197" t="s">
        <v>930</v>
      </c>
      <c r="D166" s="197"/>
      <c r="E166" s="197"/>
      <c r="F166" s="197"/>
      <c r="G166" s="197"/>
      <c r="H166" s="197"/>
      <c r="I166" s="197"/>
      <c r="J166" s="197"/>
      <c r="K166" s="197"/>
      <c r="L166" s="197"/>
      <c r="M166" s="197"/>
      <c r="O166" s="221" t="s">
        <v>3212</v>
      </c>
      <c r="P166" s="1166" t="s">
        <v>3925</v>
      </c>
      <c r="Q166" s="234"/>
    </row>
    <row r="167" spans="1:31" ht="12" customHeight="1">
      <c r="B167" s="192" t="s">
        <v>2763</v>
      </c>
      <c r="C167" s="197" t="s">
        <v>3594</v>
      </c>
      <c r="D167" s="197"/>
      <c r="E167" s="197"/>
      <c r="F167" s="197"/>
      <c r="G167" s="197"/>
      <c r="H167" s="197"/>
      <c r="I167" s="197"/>
      <c r="J167" s="197"/>
      <c r="K167" s="197"/>
      <c r="L167" s="197"/>
      <c r="M167" s="197"/>
      <c r="O167" s="221" t="s">
        <v>2763</v>
      </c>
      <c r="P167" s="1166" t="s">
        <v>3925</v>
      </c>
      <c r="Q167" s="234"/>
    </row>
    <row r="168" spans="1:31" ht="12" customHeight="1">
      <c r="B168" s="191" t="s">
        <v>2921</v>
      </c>
      <c r="D168" s="191"/>
      <c r="E168" s="191"/>
      <c r="F168" s="191"/>
      <c r="G168" s="191"/>
      <c r="H168" s="50"/>
      <c r="I168" s="179"/>
      <c r="J168" s="179"/>
      <c r="K168" s="179"/>
      <c r="L168" s="737"/>
      <c r="M168" s="737"/>
      <c r="N168" s="737"/>
      <c r="O168" s="737"/>
      <c r="P168" s="737"/>
      <c r="Q168" s="63"/>
    </row>
    <row r="169" spans="1:31" ht="11.4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2922</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1">
        <v>10</v>
      </c>
      <c r="B175" s="741" t="s">
        <v>348</v>
      </c>
      <c r="C175" s="741"/>
      <c r="D175" s="740"/>
      <c r="E175" s="199"/>
      <c r="F175" s="199"/>
      <c r="G175" s="740"/>
      <c r="J175" s="1036"/>
      <c r="K175" s="1036"/>
      <c r="L175" s="1036"/>
      <c r="M175" s="1036"/>
      <c r="N175" s="1036"/>
      <c r="O175" s="180" t="s">
        <v>2923</v>
      </c>
      <c r="P175" s="992"/>
      <c r="Q175" s="993"/>
    </row>
    <row r="176" spans="1:31" ht="12" customHeight="1">
      <c r="A176" s="189"/>
      <c r="B176" s="57" t="s">
        <v>3060</v>
      </c>
      <c r="C176" s="994" t="s">
        <v>110</v>
      </c>
      <c r="D176" s="994"/>
      <c r="E176" s="994"/>
      <c r="F176" s="994"/>
      <c r="G176" s="994"/>
      <c r="H176" s="83" t="s">
        <v>2765</v>
      </c>
      <c r="I176" s="65" t="s">
        <v>206</v>
      </c>
      <c r="J176" s="1224" t="s">
        <v>2761</v>
      </c>
      <c r="K176" s="1225"/>
      <c r="L176" s="1225"/>
      <c r="M176" s="1225"/>
      <c r="N176" s="1226"/>
      <c r="O176" s="83" t="s">
        <v>2765</v>
      </c>
      <c r="P176" s="1166" t="s">
        <v>3924</v>
      </c>
      <c r="Q176" s="234"/>
    </row>
    <row r="177" spans="1:31" ht="12" customHeight="1">
      <c r="A177" s="189"/>
      <c r="B177" s="179"/>
      <c r="C177" s="141"/>
      <c r="D177" s="141"/>
      <c r="E177" s="141"/>
      <c r="F177" s="141"/>
      <c r="H177" s="83" t="s">
        <v>2766</v>
      </c>
      <c r="I177" s="65" t="s">
        <v>2358</v>
      </c>
      <c r="J177" s="1224" t="s">
        <v>3999</v>
      </c>
      <c r="K177" s="1225"/>
      <c r="L177" s="1225"/>
      <c r="M177" s="1225"/>
      <c r="N177" s="1226"/>
      <c r="O177" s="83" t="s">
        <v>2766</v>
      </c>
      <c r="P177" s="1166" t="s">
        <v>3925</v>
      </c>
      <c r="Q177" s="234"/>
    </row>
    <row r="178" spans="1:31" ht="12" customHeight="1">
      <c r="B178" s="191" t="s">
        <v>2921</v>
      </c>
      <c r="D178" s="191"/>
      <c r="E178" s="191"/>
      <c r="F178" s="191"/>
      <c r="G178" s="191"/>
      <c r="J178" s="179"/>
      <c r="K178" s="179"/>
      <c r="L178" s="737"/>
      <c r="M178" s="737"/>
      <c r="N178" s="737"/>
      <c r="O178" s="737"/>
      <c r="P178" s="737"/>
      <c r="Q178" s="63"/>
    </row>
    <row r="179" spans="1:31" ht="11.45" customHeight="1">
      <c r="A179" s="1159" t="s">
        <v>4000</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2922</v>
      </c>
      <c r="C180" s="188"/>
      <c r="D180" s="740"/>
      <c r="E180" s="740"/>
      <c r="F180" s="740"/>
      <c r="G180" s="740"/>
      <c r="H180" s="740"/>
      <c r="I180" s="740"/>
      <c r="J180" s="740"/>
      <c r="K180" s="740"/>
      <c r="L180" s="740"/>
      <c r="M180" s="740"/>
      <c r="N180" s="740"/>
      <c r="O180" s="740"/>
      <c r="P180" s="740"/>
      <c r="Q180" s="740"/>
    </row>
    <row r="181" spans="1:31" ht="11.45" customHeight="1">
      <c r="A181" s="1013"/>
      <c r="B181" s="1014"/>
      <c r="C181" s="1014"/>
      <c r="D181" s="1014"/>
      <c r="E181" s="1014"/>
      <c r="F181" s="1014"/>
      <c r="G181" s="1014"/>
      <c r="H181" s="1014"/>
      <c r="I181" s="1014"/>
      <c r="J181" s="1014"/>
      <c r="K181" s="1014"/>
      <c r="L181" s="1014"/>
      <c r="M181" s="1014"/>
      <c r="N181" s="1014"/>
      <c r="O181" s="1014"/>
      <c r="P181" s="1014"/>
      <c r="Q181" s="1015"/>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3702</v>
      </c>
      <c r="C183" s="5"/>
      <c r="D183" s="118"/>
      <c r="E183" s="118"/>
      <c r="F183" s="118"/>
      <c r="G183" s="740"/>
      <c r="H183" s="740"/>
      <c r="I183" s="740"/>
      <c r="J183" s="740"/>
      <c r="K183" s="740"/>
      <c r="L183" s="740"/>
      <c r="M183" s="740"/>
      <c r="O183" s="180" t="s">
        <v>2923</v>
      </c>
      <c r="P183" s="992"/>
      <c r="Q183" s="993"/>
    </row>
    <row r="184" spans="1:31" ht="4.1500000000000004" customHeight="1"/>
    <row r="185" spans="1:31" ht="11.45" customHeight="1">
      <c r="B185" s="192" t="s">
        <v>3060</v>
      </c>
      <c r="C185" s="667" t="s">
        <v>2765</v>
      </c>
      <c r="D185" s="666" t="s">
        <v>802</v>
      </c>
      <c r="E185" s="666"/>
      <c r="F185" s="666"/>
      <c r="G185" s="666"/>
      <c r="H185" s="666"/>
      <c r="I185" s="666"/>
      <c r="J185" s="666"/>
      <c r="K185" s="666"/>
      <c r="L185" s="666"/>
      <c r="M185" s="666"/>
      <c r="N185" s="666"/>
      <c r="O185" s="221" t="s">
        <v>2231</v>
      </c>
      <c r="P185" s="1166"/>
      <c r="Q185" s="234"/>
    </row>
    <row r="186" spans="1:31" ht="11.45" customHeight="1">
      <c r="B186" s="192"/>
      <c r="C186" s="667" t="s">
        <v>2766</v>
      </c>
      <c r="D186" s="666" t="s">
        <v>2201</v>
      </c>
      <c r="E186" s="666"/>
      <c r="F186" s="666"/>
      <c r="G186" s="666"/>
      <c r="H186" s="666"/>
      <c r="I186" s="666"/>
      <c r="J186" s="666"/>
      <c r="K186" s="666"/>
      <c r="L186" s="666"/>
      <c r="M186" s="666"/>
      <c r="N186" s="666"/>
      <c r="O186" s="221" t="s">
        <v>2766</v>
      </c>
      <c r="P186" s="1166"/>
      <c r="Q186" s="234"/>
    </row>
    <row r="187" spans="1:31" ht="11.45" customHeight="1">
      <c r="A187" s="189"/>
      <c r="B187" s="192" t="s">
        <v>3063</v>
      </c>
      <c r="C187" s="994" t="s">
        <v>2903</v>
      </c>
      <c r="D187" s="994"/>
      <c r="E187" s="994"/>
      <c r="F187" s="994"/>
      <c r="G187" s="994"/>
      <c r="H187" s="83" t="s">
        <v>2765</v>
      </c>
      <c r="I187" s="65" t="s">
        <v>972</v>
      </c>
      <c r="J187" s="1224" t="s">
        <v>3926</v>
      </c>
      <c r="K187" s="1225"/>
      <c r="L187" s="1225"/>
      <c r="M187" s="1225"/>
      <c r="N187" s="1226"/>
      <c r="O187" s="83" t="s">
        <v>2171</v>
      </c>
      <c r="P187" s="1166" t="s">
        <v>3925</v>
      </c>
      <c r="Q187" s="234"/>
    </row>
    <row r="188" spans="1:31" ht="11.45" customHeight="1">
      <c r="A188" s="189"/>
      <c r="B188" s="744"/>
      <c r="C188" s="994"/>
      <c r="D188" s="994"/>
      <c r="E188" s="994"/>
      <c r="F188" s="994"/>
      <c r="G188" s="994"/>
      <c r="H188" s="83" t="s">
        <v>2766</v>
      </c>
      <c r="I188" s="65" t="s">
        <v>131</v>
      </c>
      <c r="J188" s="1224" t="s">
        <v>3926</v>
      </c>
      <c r="K188" s="1225"/>
      <c r="L188" s="1225"/>
      <c r="M188" s="1225"/>
      <c r="N188" s="1226"/>
      <c r="O188" s="83" t="s">
        <v>2766</v>
      </c>
      <c r="P188" s="1166" t="s">
        <v>3925</v>
      </c>
      <c r="Q188" s="234"/>
    </row>
    <row r="189" spans="1:31" ht="11.25" customHeight="1">
      <c r="B189" s="191" t="s">
        <v>2921</v>
      </c>
      <c r="D189" s="191"/>
      <c r="E189" s="191"/>
      <c r="F189" s="191"/>
      <c r="G189" s="191"/>
      <c r="H189" s="50"/>
      <c r="I189" s="179"/>
      <c r="J189" s="179"/>
      <c r="K189" s="179"/>
      <c r="L189" s="737"/>
      <c r="M189" s="737"/>
      <c r="N189" s="737"/>
      <c r="O189" s="737"/>
      <c r="P189" s="737"/>
      <c r="Q189" s="63"/>
    </row>
    <row r="190" spans="1:31" ht="11.45" customHeight="1">
      <c r="A190" s="1159"/>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2922</v>
      </c>
      <c r="C191" s="188"/>
      <c r="D191" s="740"/>
      <c r="E191" s="740"/>
      <c r="F191" s="740"/>
      <c r="G191" s="740"/>
      <c r="H191" s="740"/>
      <c r="I191" s="740"/>
      <c r="J191" s="740"/>
      <c r="K191" s="740"/>
      <c r="L191" s="740"/>
      <c r="M191" s="740"/>
      <c r="N191" s="740"/>
      <c r="O191" s="740"/>
      <c r="P191" s="740"/>
      <c r="Q191" s="740"/>
    </row>
    <row r="192" spans="1:31" ht="11.45" customHeight="1">
      <c r="A192" s="1013"/>
      <c r="B192" s="1014"/>
      <c r="C192" s="1014"/>
      <c r="D192" s="1014"/>
      <c r="E192" s="1014"/>
      <c r="F192" s="1014"/>
      <c r="G192" s="1014"/>
      <c r="H192" s="1014"/>
      <c r="I192" s="1014"/>
      <c r="J192" s="1014"/>
      <c r="K192" s="1014"/>
      <c r="L192" s="1014"/>
      <c r="M192" s="1014"/>
      <c r="N192" s="1014"/>
      <c r="O192" s="1014"/>
      <c r="P192" s="1014"/>
      <c r="Q192" s="1015"/>
    </row>
    <row r="193" spans="1:31" ht="3" customHeight="1">
      <c r="A193" s="737"/>
      <c r="B193" s="179"/>
      <c r="C193" s="740"/>
      <c r="D193" s="740"/>
      <c r="E193" s="740"/>
      <c r="F193" s="740"/>
      <c r="G193" s="740"/>
      <c r="H193" s="740"/>
      <c r="I193" s="740"/>
      <c r="J193" s="740"/>
      <c r="K193" s="740"/>
      <c r="L193" s="740"/>
      <c r="M193" s="740"/>
      <c r="Q193" s="737"/>
    </row>
    <row r="194" spans="1:31" ht="13.9" customHeight="1">
      <c r="A194" s="741">
        <v>12</v>
      </c>
      <c r="B194" s="5" t="s">
        <v>192</v>
      </c>
      <c r="C194" s="5"/>
      <c r="D194" s="118"/>
      <c r="E194" s="118"/>
      <c r="F194" s="118"/>
      <c r="G194" s="118"/>
      <c r="H194" s="740"/>
      <c r="I194" s="740"/>
      <c r="J194" s="740"/>
      <c r="K194" s="740"/>
      <c r="L194" s="740"/>
      <c r="M194" s="740"/>
      <c r="O194" s="180" t="s">
        <v>2923</v>
      </c>
      <c r="P194" s="992"/>
      <c r="Q194" s="993"/>
    </row>
    <row r="195" spans="1:31" ht="10.9" customHeight="1">
      <c r="B195" s="195" t="s">
        <v>193</v>
      </c>
    </row>
    <row r="196" spans="1:31" ht="11.45" customHeight="1">
      <c r="B196" s="57" t="s">
        <v>3060</v>
      </c>
      <c r="C196" s="65" t="s">
        <v>197</v>
      </c>
      <c r="D196" s="52"/>
      <c r="E196" s="65"/>
      <c r="F196" s="65"/>
      <c r="G196" s="65"/>
      <c r="H196" s="65"/>
      <c r="I196" s="52"/>
      <c r="J196" s="52"/>
      <c r="K196" s="52"/>
      <c r="L196" s="197"/>
      <c r="M196" s="197"/>
      <c r="O196" s="221" t="s">
        <v>3060</v>
      </c>
      <c r="P196" s="1166" t="s">
        <v>3925</v>
      </c>
      <c r="Q196" s="234"/>
    </row>
    <row r="197" spans="1:31" ht="11.45" customHeight="1">
      <c r="B197" s="57" t="s">
        <v>3063</v>
      </c>
      <c r="C197" s="65" t="s">
        <v>194</v>
      </c>
      <c r="D197" s="65"/>
      <c r="E197" s="65"/>
      <c r="F197" s="65"/>
      <c r="G197" s="65"/>
      <c r="H197" s="65"/>
      <c r="I197" s="52"/>
      <c r="J197" s="52"/>
      <c r="K197" s="52"/>
      <c r="L197" s="190"/>
      <c r="M197" s="190"/>
      <c r="O197" s="221" t="s">
        <v>3063</v>
      </c>
      <c r="P197" s="1166" t="s">
        <v>3925</v>
      </c>
      <c r="Q197" s="234"/>
    </row>
    <row r="198" spans="1:31" s="200" customFormat="1" ht="11.45" customHeight="1">
      <c r="B198" s="57" t="s">
        <v>1239</v>
      </c>
      <c r="C198" s="65" t="s">
        <v>195</v>
      </c>
      <c r="D198" s="65"/>
      <c r="E198" s="65"/>
      <c r="F198" s="65"/>
      <c r="G198" s="65"/>
      <c r="H198" s="65"/>
      <c r="I198" s="129"/>
      <c r="J198" s="129"/>
      <c r="K198" s="129"/>
      <c r="L198" s="197"/>
      <c r="M198" s="197"/>
      <c r="N198" s="45"/>
      <c r="O198" s="221" t="s">
        <v>1239</v>
      </c>
      <c r="P198" s="1166" t="s">
        <v>3924</v>
      </c>
      <c r="Q198" s="234"/>
    </row>
    <row r="199" spans="1:31" s="200" customFormat="1" ht="11.45" customHeight="1">
      <c r="B199" s="57" t="s">
        <v>3212</v>
      </c>
      <c r="C199" s="65" t="s">
        <v>196</v>
      </c>
      <c r="D199" s="65"/>
      <c r="E199" s="65"/>
      <c r="F199" s="65"/>
      <c r="G199" s="65"/>
      <c r="H199" s="65"/>
      <c r="I199" s="129"/>
      <c r="J199" s="129"/>
      <c r="K199" s="129"/>
      <c r="L199" s="129"/>
      <c r="M199" s="129"/>
      <c r="O199" s="62" t="s">
        <v>3212</v>
      </c>
      <c r="P199" s="1166" t="s">
        <v>3924</v>
      </c>
      <c r="Q199" s="234"/>
    </row>
    <row r="200" spans="1:31" ht="11.25" customHeight="1">
      <c r="B200" s="191" t="s">
        <v>2921</v>
      </c>
      <c r="D200" s="191"/>
      <c r="E200" s="191"/>
      <c r="F200" s="191"/>
      <c r="G200" s="191"/>
      <c r="H200" s="50"/>
      <c r="I200" s="179"/>
      <c r="J200" s="179"/>
      <c r="K200" s="179"/>
      <c r="L200" s="737"/>
      <c r="M200" s="737"/>
      <c r="N200" s="737"/>
      <c r="O200" s="737"/>
      <c r="P200" s="737"/>
      <c r="Q200" s="63"/>
    </row>
    <row r="201" spans="1:31" ht="28.5" customHeight="1">
      <c r="A201" s="1152" t="s">
        <v>4001</v>
      </c>
      <c r="B201" s="1153"/>
      <c r="C201" s="1153"/>
      <c r="D201" s="1153"/>
      <c r="E201" s="1153"/>
      <c r="F201" s="1153"/>
      <c r="G201" s="1153"/>
      <c r="H201" s="1153"/>
      <c r="I201" s="1153"/>
      <c r="J201" s="1153"/>
      <c r="K201" s="1153"/>
      <c r="L201" s="1153"/>
      <c r="M201" s="1153"/>
      <c r="N201" s="1153"/>
      <c r="O201" s="1153"/>
      <c r="P201" s="1153"/>
      <c r="Q201" s="1154"/>
      <c r="R201" s="998" t="s">
        <v>1933</v>
      </c>
      <c r="S201" s="998"/>
      <c r="U201" s="185"/>
      <c r="V201" s="185"/>
      <c r="W201" s="185"/>
      <c r="X201" s="185"/>
      <c r="Y201" s="185"/>
      <c r="Z201" s="185"/>
      <c r="AA201" s="185"/>
      <c r="AB201" s="185"/>
      <c r="AC201" s="185"/>
      <c r="AD201" s="185"/>
      <c r="AE201" s="186"/>
    </row>
    <row r="202" spans="1:31" ht="5.25" customHeight="1">
      <c r="A202" s="1155"/>
      <c r="B202" s="1156"/>
      <c r="C202" s="1156"/>
      <c r="D202" s="1156"/>
      <c r="E202" s="1156"/>
      <c r="F202" s="1156"/>
      <c r="G202" s="1156"/>
      <c r="H202" s="1156"/>
      <c r="I202" s="1156"/>
      <c r="J202" s="1156"/>
      <c r="K202" s="1156"/>
      <c r="L202" s="1156"/>
      <c r="M202" s="1156"/>
      <c r="N202" s="1156"/>
      <c r="O202" s="1156"/>
      <c r="P202" s="1156"/>
      <c r="Q202" s="1157"/>
      <c r="R202" s="998"/>
      <c r="S202" s="998"/>
    </row>
    <row r="203" spans="1:31" s="31" customFormat="1" ht="3" customHeight="1">
      <c r="C203" s="134"/>
      <c r="D203" s="134"/>
      <c r="R203" s="998"/>
      <c r="S203" s="998"/>
    </row>
    <row r="204" spans="1:31" ht="11.25" customHeight="1">
      <c r="B204" s="187" t="s">
        <v>2922</v>
      </c>
      <c r="C204" s="188"/>
      <c r="D204" s="740"/>
      <c r="E204" s="740"/>
      <c r="F204" s="740"/>
      <c r="G204" s="740"/>
      <c r="H204" s="740"/>
      <c r="I204" s="740"/>
      <c r="J204" s="740"/>
      <c r="K204" s="740"/>
      <c r="L204" s="740"/>
      <c r="M204" s="740"/>
      <c r="N204" s="740"/>
      <c r="O204" s="740"/>
      <c r="P204" s="740"/>
      <c r="Q204" s="740"/>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7"/>
      <c r="B207" s="179"/>
      <c r="C207" s="740"/>
      <c r="D207" s="740"/>
      <c r="E207" s="740"/>
      <c r="F207" s="740"/>
      <c r="G207" s="740"/>
      <c r="H207" s="740"/>
      <c r="I207" s="740"/>
      <c r="J207" s="740"/>
      <c r="K207" s="740"/>
      <c r="L207" s="740"/>
      <c r="M207" s="740"/>
      <c r="Q207" s="737"/>
    </row>
    <row r="208" spans="1:31" ht="13.9" customHeight="1">
      <c r="A208" s="741">
        <v>13</v>
      </c>
      <c r="B208" s="741" t="s">
        <v>681</v>
      </c>
      <c r="C208" s="153"/>
      <c r="D208" s="740"/>
      <c r="E208" s="740"/>
      <c r="F208" s="740"/>
      <c r="G208" s="740"/>
      <c r="H208" s="740"/>
      <c r="I208" s="740"/>
      <c r="J208" s="740"/>
      <c r="K208" s="740"/>
      <c r="L208" s="740"/>
      <c r="M208" s="740"/>
      <c r="O208" s="180" t="s">
        <v>2923</v>
      </c>
      <c r="P208" s="992"/>
      <c r="Q208" s="993"/>
    </row>
    <row r="209" spans="1:19" s="31" customFormat="1" ht="11.45" customHeight="1">
      <c r="B209" s="195" t="s">
        <v>1839</v>
      </c>
      <c r="N209" s="165"/>
      <c r="P209" s="1166" t="s">
        <v>3924</v>
      </c>
      <c r="Q209" s="234"/>
    </row>
    <row r="210" spans="1:19" ht="12" customHeight="1">
      <c r="B210" s="57" t="s">
        <v>3060</v>
      </c>
      <c r="C210" s="118" t="s">
        <v>2087</v>
      </c>
      <c r="D210" s="52"/>
      <c r="E210" s="52"/>
      <c r="F210" s="52"/>
      <c r="G210" s="52"/>
      <c r="H210" s="52"/>
      <c r="I210" s="52"/>
      <c r="J210" s="52"/>
      <c r="K210" s="52"/>
      <c r="L210" s="52"/>
      <c r="M210" s="52"/>
    </row>
    <row r="211" spans="1:19" ht="11.45" customHeight="1">
      <c r="B211" s="57"/>
      <c r="C211" s="83" t="s">
        <v>2765</v>
      </c>
      <c r="D211" s="65" t="s">
        <v>3003</v>
      </c>
      <c r="E211" s="65"/>
      <c r="F211" s="65"/>
      <c r="G211" s="65"/>
      <c r="H211" s="65"/>
      <c r="I211" s="52"/>
      <c r="J211" s="52"/>
      <c r="K211" s="52"/>
      <c r="L211" s="83" t="s">
        <v>2231</v>
      </c>
      <c r="M211" s="1224" t="s">
        <v>3975</v>
      </c>
      <c r="N211" s="1225"/>
      <c r="O211" s="1226"/>
      <c r="P211" s="1166" t="s">
        <v>3972</v>
      </c>
      <c r="Q211" s="234"/>
    </row>
    <row r="212" spans="1:19" ht="11.45" customHeight="1">
      <c r="B212" s="57"/>
      <c r="C212" s="83" t="s">
        <v>2766</v>
      </c>
      <c r="D212" s="40" t="s">
        <v>198</v>
      </c>
      <c r="E212" s="40"/>
      <c r="F212" s="40"/>
      <c r="G212" s="40"/>
      <c r="H212" s="40"/>
      <c r="I212" s="52"/>
      <c r="J212" s="52"/>
      <c r="K212" s="52"/>
      <c r="L212" s="83" t="s">
        <v>2232</v>
      </c>
      <c r="M212" s="1224" t="s">
        <v>3976</v>
      </c>
      <c r="N212" s="1225"/>
      <c r="O212" s="1226"/>
      <c r="P212" s="1166" t="s">
        <v>3972</v>
      </c>
      <c r="Q212" s="234"/>
    </row>
    <row r="213" spans="1:19" ht="11.45" customHeight="1">
      <c r="B213" s="57"/>
      <c r="C213" s="83" t="s">
        <v>2767</v>
      </c>
      <c r="D213" s="40" t="s">
        <v>856</v>
      </c>
      <c r="E213" s="40"/>
      <c r="F213" s="40"/>
      <c r="G213" s="40"/>
      <c r="H213" s="40"/>
      <c r="I213" s="52"/>
      <c r="J213" s="52"/>
      <c r="K213" s="52"/>
      <c r="L213" s="83" t="s">
        <v>2233</v>
      </c>
      <c r="M213" s="1246" t="s">
        <v>3977</v>
      </c>
      <c r="N213" s="1247"/>
      <c r="O213" s="1248"/>
      <c r="P213" s="1166" t="s">
        <v>3972</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3063</v>
      </c>
      <c r="C215" s="299" t="s">
        <v>3793</v>
      </c>
      <c r="D215" s="65"/>
      <c r="E215" s="65"/>
      <c r="F215" s="65"/>
      <c r="G215" s="65"/>
      <c r="H215" s="65"/>
      <c r="I215" s="65"/>
      <c r="J215" s="65"/>
      <c r="K215" s="52"/>
      <c r="L215" s="52"/>
      <c r="M215" s="52"/>
      <c r="N215" s="52"/>
      <c r="O215" s="62" t="s">
        <v>3063</v>
      </c>
      <c r="P215" s="1166" t="s">
        <v>3972</v>
      </c>
      <c r="Q215" s="234"/>
    </row>
    <row r="216" spans="1:19" ht="10.9" customHeight="1">
      <c r="B216" s="57"/>
      <c r="C216" s="65" t="s">
        <v>3792</v>
      </c>
      <c r="D216" s="65"/>
      <c r="E216" s="65"/>
      <c r="F216" s="65"/>
      <c r="G216" s="65"/>
      <c r="H216" s="65"/>
      <c r="I216" s="65"/>
      <c r="J216" s="65"/>
      <c r="K216" s="52"/>
      <c r="L216" s="52"/>
      <c r="M216" s="52"/>
      <c r="N216" s="52"/>
      <c r="O216" s="52"/>
      <c r="P216" s="1044" t="s">
        <v>4</v>
      </c>
      <c r="Q216" s="1044"/>
    </row>
    <row r="217" spans="1:19" ht="10.9" customHeight="1">
      <c r="B217" s="57"/>
      <c r="D217" s="65" t="s">
        <v>3</v>
      </c>
      <c r="E217" s="65"/>
      <c r="F217" s="65"/>
      <c r="G217" s="65"/>
      <c r="I217" s="453" t="s">
        <v>1350</v>
      </c>
      <c r="J217" s="454" t="s">
        <v>1351</v>
      </c>
      <c r="L217" s="65" t="s">
        <v>3</v>
      </c>
      <c r="M217" s="52"/>
      <c r="N217" s="52"/>
      <c r="O217" s="453"/>
      <c r="P217" s="455" t="s">
        <v>1350</v>
      </c>
      <c r="Q217" s="454" t="s">
        <v>1351</v>
      </c>
    </row>
    <row r="218" spans="1:19" s="53" customFormat="1" ht="11.45" customHeight="1">
      <c r="A218" s="129"/>
      <c r="B218" s="64"/>
      <c r="C218" s="83" t="s">
        <v>2765</v>
      </c>
      <c r="D218" s="1152" t="s">
        <v>3978</v>
      </c>
      <c r="E218" s="1153"/>
      <c r="F218" s="1153"/>
      <c r="G218" s="1153"/>
      <c r="H218" s="1154"/>
      <c r="I218" s="456"/>
      <c r="J218" s="294"/>
      <c r="K218" s="83" t="s">
        <v>2767</v>
      </c>
      <c r="L218" s="1152"/>
      <c r="M218" s="1153"/>
      <c r="N218" s="1153"/>
      <c r="O218" s="1154"/>
      <c r="P218" s="354"/>
      <c r="Q218" s="294"/>
    </row>
    <row r="219" spans="1:19" s="53" customFormat="1" ht="11.45" customHeight="1">
      <c r="A219" s="129"/>
      <c r="B219" s="64"/>
      <c r="C219" s="83" t="s">
        <v>2766</v>
      </c>
      <c r="D219" s="1155" t="s">
        <v>3979</v>
      </c>
      <c r="E219" s="1156"/>
      <c r="F219" s="1156"/>
      <c r="G219" s="1156"/>
      <c r="H219" s="1157"/>
      <c r="I219" s="689"/>
      <c r="J219" s="295"/>
      <c r="K219" s="83" t="s">
        <v>3571</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1239</v>
      </c>
      <c r="C221" s="299" t="s">
        <v>2088</v>
      </c>
      <c r="D221" s="65"/>
      <c r="E221" s="65"/>
      <c r="F221" s="65"/>
      <c r="G221" s="65"/>
      <c r="H221" s="65"/>
      <c r="I221" s="65"/>
      <c r="J221" s="65"/>
      <c r="K221" s="52"/>
      <c r="L221" s="65"/>
      <c r="M221" s="65"/>
      <c r="O221" s="62" t="s">
        <v>1239</v>
      </c>
      <c r="P221" s="1166" t="s">
        <v>3972</v>
      </c>
      <c r="Q221" s="234"/>
    </row>
    <row r="222" spans="1:19" ht="11.45" customHeight="1">
      <c r="B222" s="57"/>
      <c r="C222" s="83" t="s">
        <v>2765</v>
      </c>
      <c r="D222" s="65" t="s">
        <v>207</v>
      </c>
      <c r="E222" s="65"/>
      <c r="F222" s="65"/>
      <c r="G222" s="65"/>
      <c r="H222" s="65"/>
      <c r="I222" s="52"/>
      <c r="J222" s="42"/>
      <c r="K222" s="52"/>
      <c r="L222" s="42"/>
      <c r="M222" s="42"/>
      <c r="O222" s="83" t="s">
        <v>2765</v>
      </c>
      <c r="P222" s="1166" t="s">
        <v>3925</v>
      </c>
      <c r="Q222" s="234"/>
    </row>
    <row r="223" spans="1:19" ht="11.45" customHeight="1">
      <c r="C223" s="83" t="s">
        <v>2766</v>
      </c>
      <c r="D223" s="40" t="s">
        <v>2648</v>
      </c>
      <c r="E223" s="40"/>
      <c r="F223" s="40"/>
      <c r="G223" s="40"/>
      <c r="H223" s="40"/>
      <c r="I223" s="52"/>
      <c r="J223" s="42"/>
      <c r="K223" s="52"/>
      <c r="L223" s="42"/>
      <c r="M223" s="42"/>
      <c r="O223" s="83" t="s">
        <v>2766</v>
      </c>
      <c r="P223" s="1166" t="s">
        <v>3925</v>
      </c>
      <c r="Q223" s="234"/>
    </row>
    <row r="224" spans="1:19" ht="11.45" customHeight="1">
      <c r="C224" s="83" t="s">
        <v>2767</v>
      </c>
      <c r="D224" s="40" t="s">
        <v>2257</v>
      </c>
      <c r="E224" s="40"/>
      <c r="F224" s="40"/>
      <c r="G224" s="40"/>
      <c r="H224" s="40"/>
      <c r="I224" s="52"/>
      <c r="J224" s="42"/>
      <c r="K224" s="52"/>
      <c r="L224" s="42"/>
      <c r="M224" s="42"/>
      <c r="O224" s="83" t="s">
        <v>2767</v>
      </c>
      <c r="P224" s="1166" t="s">
        <v>3925</v>
      </c>
      <c r="Q224" s="234"/>
    </row>
    <row r="225" spans="1:31" ht="11.45" customHeight="1">
      <c r="B225" s="57"/>
      <c r="C225" s="83" t="s">
        <v>3571</v>
      </c>
      <c r="D225" s="40" t="s">
        <v>208</v>
      </c>
      <c r="E225" s="40"/>
      <c r="F225" s="40"/>
      <c r="G225" s="40"/>
      <c r="H225" s="40"/>
      <c r="I225" s="52"/>
      <c r="J225" s="42"/>
      <c r="K225" s="52"/>
      <c r="L225" s="42"/>
      <c r="M225" s="42"/>
      <c r="O225" s="83" t="s">
        <v>3571</v>
      </c>
      <c r="P225" s="1166" t="s">
        <v>3925</v>
      </c>
      <c r="Q225" s="234"/>
    </row>
    <row r="226" spans="1:31" ht="11.45" customHeight="1">
      <c r="B226" s="57"/>
      <c r="C226" s="83" t="s">
        <v>2304</v>
      </c>
      <c r="D226" s="65" t="s">
        <v>1352</v>
      </c>
      <c r="E226" s="65"/>
      <c r="F226" s="65"/>
      <c r="G226" s="65"/>
      <c r="H226" s="65"/>
      <c r="I226" s="52"/>
      <c r="J226" s="42"/>
      <c r="K226" s="52"/>
      <c r="L226" s="42"/>
      <c r="M226" s="42"/>
      <c r="O226" s="83" t="s">
        <v>1353</v>
      </c>
      <c r="P226" s="1166" t="s">
        <v>3925</v>
      </c>
      <c r="Q226" s="234"/>
    </row>
    <row r="227" spans="1:31" ht="11.45" customHeight="1">
      <c r="B227" s="57"/>
      <c r="C227" s="83"/>
      <c r="D227" s="65" t="s">
        <v>2234</v>
      </c>
      <c r="E227" s="65"/>
      <c r="F227" s="65"/>
      <c r="G227" s="65"/>
      <c r="H227" s="65"/>
      <c r="I227" s="52"/>
      <c r="J227" s="42"/>
      <c r="K227" s="52"/>
      <c r="L227" s="42"/>
      <c r="M227" s="42"/>
      <c r="O227" s="83" t="s">
        <v>1354</v>
      </c>
      <c r="P227" s="1166" t="s">
        <v>3924</v>
      </c>
      <c r="Q227" s="234"/>
    </row>
    <row r="228" spans="1:31" ht="3" customHeight="1">
      <c r="B228" s="57"/>
      <c r="C228" s="83"/>
      <c r="D228" s="65"/>
      <c r="E228" s="65"/>
      <c r="F228" s="65"/>
      <c r="G228" s="65"/>
      <c r="H228" s="65"/>
      <c r="I228" s="52"/>
      <c r="J228" s="42"/>
      <c r="K228" s="52"/>
      <c r="L228" s="42"/>
      <c r="M228" s="42"/>
    </row>
    <row r="229" spans="1:31" ht="12" customHeight="1">
      <c r="B229" s="57" t="s">
        <v>3212</v>
      </c>
      <c r="C229" s="299" t="s">
        <v>2345</v>
      </c>
      <c r="D229" s="65"/>
      <c r="E229" s="65"/>
      <c r="F229" s="65"/>
      <c r="G229" s="65"/>
      <c r="H229" s="65"/>
      <c r="I229" s="65"/>
      <c r="J229" s="65"/>
      <c r="K229" s="52"/>
      <c r="L229" s="65"/>
      <c r="M229" s="65"/>
      <c r="O229" s="62" t="s">
        <v>3212</v>
      </c>
      <c r="P229" s="1166"/>
      <c r="Q229" s="234"/>
    </row>
    <row r="230" spans="1:31" ht="11.45" customHeight="1">
      <c r="B230" s="57"/>
      <c r="C230" s="83" t="s">
        <v>2765</v>
      </c>
      <c r="D230" s="49" t="s">
        <v>1934</v>
      </c>
      <c r="E230" s="52"/>
      <c r="F230" s="52"/>
      <c r="G230" s="49"/>
      <c r="H230" s="40"/>
      <c r="I230" s="52"/>
      <c r="J230" s="40"/>
      <c r="K230" s="52"/>
      <c r="L230" s="40"/>
      <c r="M230" s="40"/>
      <c r="O230" s="83" t="s">
        <v>2765</v>
      </c>
      <c r="P230" s="1166"/>
      <c r="Q230" s="234"/>
    </row>
    <row r="231" spans="1:31" ht="11.45" customHeight="1">
      <c r="B231" s="57"/>
      <c r="C231" s="83" t="s">
        <v>2766</v>
      </c>
      <c r="D231" s="49" t="s">
        <v>199</v>
      </c>
      <c r="E231" s="52"/>
      <c r="F231" s="52"/>
      <c r="G231" s="40"/>
      <c r="H231" s="40"/>
      <c r="I231" s="52"/>
      <c r="J231" s="40"/>
      <c r="K231" s="52"/>
      <c r="L231" s="40"/>
      <c r="M231" s="40"/>
      <c r="O231" s="83" t="s">
        <v>2766</v>
      </c>
      <c r="P231" s="1166"/>
      <c r="Q231" s="234"/>
    </row>
    <row r="232" spans="1:31" ht="11.45" customHeight="1">
      <c r="B232" s="57"/>
      <c r="C232" s="83" t="s">
        <v>2767</v>
      </c>
      <c r="D232" s="40" t="s">
        <v>2626</v>
      </c>
      <c r="E232" s="52"/>
      <c r="F232" s="52"/>
      <c r="G232" s="40"/>
      <c r="H232" s="40"/>
      <c r="I232" s="52"/>
      <c r="J232" s="40"/>
      <c r="K232" s="52"/>
      <c r="L232" s="40"/>
      <c r="M232" s="40"/>
      <c r="O232" s="83" t="s">
        <v>3581</v>
      </c>
      <c r="P232" s="1166"/>
      <c r="Q232" s="234"/>
    </row>
    <row r="233" spans="1:31" ht="11.45" customHeight="1">
      <c r="B233" s="46"/>
      <c r="C233" s="52"/>
      <c r="D233" s="40" t="s">
        <v>1985</v>
      </c>
      <c r="E233" s="52"/>
      <c r="F233" s="52"/>
      <c r="G233" s="40"/>
      <c r="H233" s="40"/>
      <c r="I233" s="52"/>
      <c r="J233" s="40"/>
      <c r="K233" s="52"/>
      <c r="L233" s="40"/>
      <c r="M233" s="40"/>
      <c r="O233" s="83" t="s">
        <v>3582</v>
      </c>
      <c r="P233" s="1166"/>
      <c r="Q233" s="234"/>
    </row>
    <row r="234" spans="1:31" ht="11.25" customHeight="1">
      <c r="B234" s="191" t="s">
        <v>2921</v>
      </c>
      <c r="D234" s="191"/>
      <c r="E234" s="191"/>
      <c r="F234" s="191"/>
      <c r="G234" s="191"/>
      <c r="H234" s="50"/>
      <c r="I234" s="179"/>
      <c r="J234" s="179"/>
      <c r="K234" s="179"/>
      <c r="L234" s="737"/>
      <c r="M234" s="737"/>
      <c r="N234" s="737"/>
      <c r="O234" s="737"/>
      <c r="P234" s="737"/>
      <c r="Q234" s="63"/>
    </row>
    <row r="235" spans="1:31" ht="11.45" customHeight="1">
      <c r="A235" s="1152"/>
      <c r="B235" s="1153"/>
      <c r="C235" s="1153"/>
      <c r="D235" s="1153"/>
      <c r="E235" s="1153"/>
      <c r="F235" s="1153"/>
      <c r="G235" s="1153"/>
      <c r="H235" s="1153"/>
      <c r="I235" s="1153"/>
      <c r="J235" s="1153"/>
      <c r="K235" s="1153"/>
      <c r="L235" s="1153"/>
      <c r="M235" s="1153"/>
      <c r="N235" s="1153"/>
      <c r="O235" s="1153"/>
      <c r="P235" s="1153"/>
      <c r="Q235" s="1154"/>
      <c r="R235" s="998" t="s">
        <v>1933</v>
      </c>
      <c r="S235" s="998"/>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998"/>
      <c r="S236" s="998"/>
    </row>
    <row r="237" spans="1:31" ht="11.25" customHeight="1">
      <c r="B237" s="187" t="s">
        <v>2922</v>
      </c>
      <c r="C237" s="188"/>
      <c r="D237" s="740"/>
      <c r="E237" s="740"/>
      <c r="F237" s="740"/>
      <c r="G237" s="740"/>
      <c r="H237" s="740"/>
      <c r="I237" s="740"/>
      <c r="J237" s="740"/>
      <c r="K237" s="740"/>
      <c r="L237" s="740"/>
      <c r="M237" s="740"/>
      <c r="N237" s="740"/>
      <c r="O237" s="740"/>
      <c r="P237" s="740"/>
      <c r="Q237" s="740"/>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7"/>
      <c r="B240" s="179"/>
      <c r="C240" s="740"/>
      <c r="D240" s="740"/>
      <c r="E240" s="740"/>
      <c r="F240" s="740"/>
      <c r="G240" s="740"/>
      <c r="H240" s="740"/>
      <c r="I240" s="740"/>
      <c r="J240" s="740"/>
      <c r="K240" s="740"/>
      <c r="L240" s="740"/>
      <c r="M240" s="740"/>
      <c r="Q240" s="737"/>
    </row>
    <row r="241" spans="1:31" ht="13.9" customHeight="1">
      <c r="A241" s="741">
        <v>14</v>
      </c>
      <c r="B241" s="5" t="s">
        <v>3121</v>
      </c>
      <c r="C241" s="5"/>
      <c r="D241" s="118"/>
      <c r="E241" s="118"/>
      <c r="F241" s="118"/>
      <c r="G241" s="118"/>
      <c r="H241" s="740"/>
      <c r="I241" s="740"/>
      <c r="J241" s="740"/>
      <c r="K241" s="740"/>
      <c r="L241" s="740"/>
      <c r="M241" s="740"/>
      <c r="O241" s="180" t="s">
        <v>2923</v>
      </c>
      <c r="P241" s="992"/>
      <c r="Q241" s="993"/>
    </row>
    <row r="242" spans="1:31" ht="4.9000000000000004" customHeight="1"/>
    <row r="243" spans="1:31" ht="11.45" customHeight="1">
      <c r="B243" s="57" t="s">
        <v>3060</v>
      </c>
      <c r="C243" s="65" t="s">
        <v>1953</v>
      </c>
      <c r="D243" s="52"/>
      <c r="E243" s="65"/>
      <c r="F243" s="65"/>
      <c r="G243" s="65"/>
      <c r="H243" s="65"/>
      <c r="I243" s="52"/>
      <c r="J243" s="52"/>
      <c r="K243" s="52"/>
      <c r="L243" s="62" t="s">
        <v>3060</v>
      </c>
      <c r="M243" s="1224" t="s">
        <v>2801</v>
      </c>
      <c r="N243" s="1225"/>
      <c r="O243" s="1226"/>
      <c r="P243" s="1019" t="s">
        <v>2801</v>
      </c>
      <c r="Q243" s="1020"/>
    </row>
    <row r="244" spans="1:31" ht="11.45" customHeight="1">
      <c r="B244" s="57" t="s">
        <v>3063</v>
      </c>
      <c r="C244" s="65" t="s">
        <v>1922</v>
      </c>
      <c r="D244" s="65"/>
      <c r="E244" s="65"/>
      <c r="F244" s="65"/>
      <c r="G244" s="65"/>
      <c r="H244" s="65"/>
      <c r="I244" s="52"/>
      <c r="J244" s="52"/>
      <c r="K244" s="52"/>
      <c r="L244" s="62" t="s">
        <v>3063</v>
      </c>
      <c r="M244" s="1249"/>
      <c r="N244" s="1250"/>
      <c r="O244" s="1251"/>
      <c r="P244" s="1021"/>
      <c r="Q244" s="1022"/>
    </row>
    <row r="245" spans="1:31" s="200" customFormat="1" ht="11.45" customHeight="1">
      <c r="B245" s="57" t="s">
        <v>1239</v>
      </c>
      <c r="C245" s="65" t="s">
        <v>3017</v>
      </c>
      <c r="D245" s="65"/>
      <c r="E245" s="65"/>
      <c r="F245" s="65"/>
      <c r="G245" s="65"/>
      <c r="H245" s="65"/>
      <c r="I245" s="129"/>
      <c r="J245" s="129"/>
      <c r="K245" s="129"/>
      <c r="L245" s="62" t="s">
        <v>1239</v>
      </c>
      <c r="M245" s="1224"/>
      <c r="N245" s="1225"/>
      <c r="O245" s="1226"/>
      <c r="P245" s="1019"/>
      <c r="Q245" s="1020"/>
    </row>
    <row r="246" spans="1:31" s="200" customFormat="1" ht="11.45" customHeight="1">
      <c r="B246" s="57" t="s">
        <v>3212</v>
      </c>
      <c r="C246" s="65" t="s">
        <v>3842</v>
      </c>
      <c r="D246" s="65"/>
      <c r="E246" s="65"/>
      <c r="F246" s="65"/>
      <c r="G246" s="65"/>
      <c r="H246" s="65"/>
      <c r="I246" s="129"/>
      <c r="J246" s="129"/>
      <c r="K246" s="129"/>
      <c r="L246" s="129"/>
      <c r="M246" s="129"/>
      <c r="O246" s="62" t="s">
        <v>3212</v>
      </c>
      <c r="P246" s="1166"/>
      <c r="Q246" s="234"/>
    </row>
    <row r="247" spans="1:31" s="200" customFormat="1" ht="22.15" customHeight="1">
      <c r="B247" s="192" t="s">
        <v>2763</v>
      </c>
      <c r="C247" s="1023" t="s">
        <v>1970</v>
      </c>
      <c r="D247" s="1023"/>
      <c r="E247" s="1023"/>
      <c r="F247" s="1023"/>
      <c r="G247" s="1023"/>
      <c r="H247" s="1023"/>
      <c r="I247" s="1023"/>
      <c r="J247" s="1023"/>
      <c r="K247" s="1023"/>
      <c r="L247" s="1023"/>
      <c r="M247" s="1023"/>
      <c r="O247" s="221" t="s">
        <v>2763</v>
      </c>
      <c r="P247" s="1166"/>
      <c r="Q247" s="234"/>
    </row>
    <row r="248" spans="1:31" ht="11.25" customHeight="1">
      <c r="B248" s="191" t="s">
        <v>2921</v>
      </c>
      <c r="D248" s="191"/>
      <c r="E248" s="191"/>
      <c r="F248" s="191"/>
      <c r="G248" s="191"/>
      <c r="H248" s="50"/>
      <c r="I248" s="179"/>
      <c r="J248" s="179"/>
      <c r="K248" s="179"/>
      <c r="L248" s="737"/>
      <c r="M248" s="737"/>
      <c r="N248" s="737"/>
      <c r="O248" s="737"/>
      <c r="P248" s="737"/>
      <c r="Q248" s="63"/>
    </row>
    <row r="249" spans="1:31" ht="13.15" customHeight="1">
      <c r="A249" s="1152" t="s">
        <v>4002</v>
      </c>
      <c r="B249" s="1153"/>
      <c r="C249" s="1153"/>
      <c r="D249" s="1153"/>
      <c r="E249" s="1153"/>
      <c r="F249" s="1153"/>
      <c r="G249" s="1153"/>
      <c r="H249" s="1153"/>
      <c r="I249" s="1153"/>
      <c r="J249" s="1153"/>
      <c r="K249" s="1153"/>
      <c r="L249" s="1153"/>
      <c r="M249" s="1153"/>
      <c r="N249" s="1153"/>
      <c r="O249" s="1153"/>
      <c r="P249" s="1153"/>
      <c r="Q249" s="1154"/>
      <c r="R249" s="998" t="s">
        <v>1933</v>
      </c>
      <c r="S249" s="998"/>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98"/>
      <c r="S250" s="998"/>
    </row>
    <row r="251" spans="1:31" ht="10.9" customHeight="1">
      <c r="B251" s="187" t="s">
        <v>2922</v>
      </c>
      <c r="C251" s="188"/>
      <c r="D251" s="740"/>
      <c r="E251" s="740"/>
      <c r="F251" s="740"/>
      <c r="G251" s="740"/>
      <c r="H251" s="740"/>
      <c r="I251" s="740"/>
      <c r="J251" s="740"/>
      <c r="K251" s="740"/>
      <c r="L251" s="740"/>
      <c r="M251" s="740"/>
      <c r="N251" s="740"/>
      <c r="O251" s="740"/>
      <c r="P251" s="740"/>
      <c r="Q251" s="740"/>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7"/>
      <c r="B254" s="179"/>
      <c r="C254" s="740"/>
      <c r="D254" s="740"/>
      <c r="E254" s="740"/>
      <c r="F254" s="740"/>
      <c r="G254" s="740"/>
      <c r="H254" s="740"/>
      <c r="I254" s="740"/>
      <c r="J254" s="740"/>
      <c r="K254" s="740"/>
      <c r="L254" s="740"/>
      <c r="M254" s="740"/>
      <c r="Q254" s="737"/>
    </row>
    <row r="255" spans="1:31" ht="13.9" customHeight="1">
      <c r="A255" s="741">
        <v>15</v>
      </c>
      <c r="B255" s="5" t="s">
        <v>2820</v>
      </c>
      <c r="C255" s="5"/>
      <c r="D255" s="118"/>
      <c r="E255" s="118"/>
      <c r="F255" s="118"/>
      <c r="G255" s="118"/>
      <c r="H255" s="740"/>
      <c r="I255" s="740"/>
      <c r="J255" s="740"/>
      <c r="K255" s="740"/>
      <c r="L255" s="740"/>
      <c r="M255" s="740"/>
      <c r="O255" s="180" t="s">
        <v>2923</v>
      </c>
      <c r="P255" s="992"/>
      <c r="Q255" s="993"/>
    </row>
    <row r="256" spans="1:31" ht="3" customHeight="1"/>
    <row r="257" spans="1:31" s="200" customFormat="1" ht="11.45" customHeight="1">
      <c r="B257" s="57" t="s">
        <v>3060</v>
      </c>
      <c r="C257" s="40" t="s">
        <v>3125</v>
      </c>
      <c r="D257" s="40"/>
      <c r="E257" s="40"/>
      <c r="F257" s="40"/>
      <c r="G257" s="40"/>
      <c r="H257" s="40"/>
      <c r="I257" s="40"/>
      <c r="J257" s="40"/>
      <c r="K257" s="40"/>
      <c r="L257" s="40"/>
      <c r="M257" s="40"/>
      <c r="O257" s="62" t="s">
        <v>3060</v>
      </c>
      <c r="P257" s="1166" t="s">
        <v>3925</v>
      </c>
      <c r="Q257" s="234"/>
    </row>
    <row r="258" spans="1:31" s="200" customFormat="1" ht="11.45" customHeight="1">
      <c r="B258" s="57" t="s">
        <v>3063</v>
      </c>
      <c r="C258" s="65" t="s">
        <v>2114</v>
      </c>
      <c r="D258" s="65"/>
      <c r="E258" s="65"/>
      <c r="F258" s="65"/>
      <c r="G258" s="65"/>
      <c r="H258" s="65"/>
      <c r="I258" s="65"/>
      <c r="J258" s="65"/>
      <c r="K258" s="65"/>
      <c r="L258" s="65"/>
      <c r="M258" s="65"/>
      <c r="O258" s="62" t="s">
        <v>3063</v>
      </c>
      <c r="P258" s="1166" t="s">
        <v>3925</v>
      </c>
      <c r="Q258" s="234"/>
    </row>
    <row r="259" spans="1:31" ht="11.25" customHeight="1">
      <c r="B259" s="191" t="s">
        <v>2921</v>
      </c>
      <c r="D259" s="191"/>
      <c r="E259" s="191"/>
      <c r="F259" s="191"/>
      <c r="G259" s="191"/>
      <c r="H259" s="50"/>
      <c r="I259" s="179"/>
      <c r="J259" s="179"/>
      <c r="K259" s="179"/>
      <c r="L259" s="737"/>
      <c r="M259" s="737"/>
      <c r="N259" s="737"/>
      <c r="O259" s="737"/>
      <c r="P259" s="737"/>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998" t="s">
        <v>1933</v>
      </c>
      <c r="S260" s="998"/>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98"/>
      <c r="S261" s="998"/>
    </row>
    <row r="262" spans="1:31" ht="11.25" customHeight="1">
      <c r="B262" s="187" t="s">
        <v>2922</v>
      </c>
      <c r="C262" s="188"/>
      <c r="D262" s="740"/>
      <c r="E262" s="740"/>
      <c r="F262" s="740"/>
      <c r="G262" s="740"/>
      <c r="H262" s="740"/>
      <c r="I262" s="740"/>
      <c r="J262" s="740"/>
      <c r="K262" s="740"/>
      <c r="L262" s="740"/>
      <c r="M262" s="740"/>
      <c r="N262" s="740"/>
      <c r="O262" s="740"/>
      <c r="P262" s="740"/>
      <c r="Q262" s="740"/>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1090</v>
      </c>
      <c r="C266" s="741"/>
      <c r="D266" s="740"/>
      <c r="E266" s="740"/>
      <c r="F266" s="740"/>
      <c r="G266" s="740"/>
      <c r="H266" s="740"/>
      <c r="I266" s="740"/>
      <c r="J266" s="740"/>
      <c r="K266" s="740"/>
      <c r="L266" s="740"/>
      <c r="M266" s="740"/>
      <c r="O266" s="180" t="s">
        <v>2923</v>
      </c>
      <c r="P266" s="992"/>
      <c r="Q266" s="993"/>
    </row>
    <row r="267" spans="1:31" ht="3" customHeight="1"/>
    <row r="268" spans="1:31" s="705" customFormat="1" ht="24" customHeight="1">
      <c r="B268" s="192" t="s">
        <v>3060</v>
      </c>
      <c r="C268" s="994" t="s">
        <v>1208</v>
      </c>
      <c r="D268" s="1039"/>
      <c r="E268" s="1039"/>
      <c r="F268" s="1039"/>
      <c r="G268" s="1039"/>
      <c r="H268" s="1039"/>
      <c r="I268" s="1039"/>
      <c r="J268" s="1039"/>
      <c r="K268" s="1039"/>
      <c r="L268" s="1039"/>
      <c r="M268" s="1039"/>
      <c r="N268" s="1039"/>
      <c r="O268" s="221" t="s">
        <v>3060</v>
      </c>
      <c r="P268" s="1166" t="s">
        <v>3972</v>
      </c>
      <c r="Q268" s="234"/>
    </row>
    <row r="269" spans="1:31" s="705" customFormat="1" ht="24" customHeight="1">
      <c r="B269" s="192" t="s">
        <v>3063</v>
      </c>
      <c r="C269" s="994" t="s">
        <v>1209</v>
      </c>
      <c r="D269" s="1039"/>
      <c r="E269" s="1039"/>
      <c r="F269" s="1039"/>
      <c r="G269" s="1039"/>
      <c r="H269" s="1039"/>
      <c r="I269" s="1039"/>
      <c r="J269" s="1039"/>
      <c r="K269" s="1039"/>
      <c r="L269" s="1039"/>
      <c r="M269" s="1039"/>
      <c r="N269" s="1039"/>
      <c r="O269" s="221" t="s">
        <v>3063</v>
      </c>
      <c r="P269" s="1166" t="s">
        <v>3972</v>
      </c>
      <c r="Q269" s="234"/>
    </row>
    <row r="270" spans="1:31" s="705" customFormat="1" ht="33" customHeight="1">
      <c r="B270" s="192" t="s">
        <v>1239</v>
      </c>
      <c r="C270" s="994" t="s">
        <v>1210</v>
      </c>
      <c r="D270" s="1039"/>
      <c r="E270" s="1039"/>
      <c r="F270" s="1039"/>
      <c r="G270" s="1039"/>
      <c r="H270" s="1039"/>
      <c r="I270" s="1039"/>
      <c r="J270" s="1039"/>
      <c r="K270" s="1039"/>
      <c r="L270" s="1039"/>
      <c r="M270" s="1039"/>
      <c r="N270" s="1039"/>
      <c r="O270" s="221" t="s">
        <v>3063</v>
      </c>
      <c r="P270" s="1166"/>
      <c r="Q270" s="234"/>
    </row>
    <row r="271" spans="1:31" ht="11.25" customHeight="1">
      <c r="B271" s="191" t="s">
        <v>2921</v>
      </c>
      <c r="D271" s="191"/>
      <c r="E271" s="191"/>
      <c r="F271" s="191"/>
      <c r="G271" s="191"/>
      <c r="H271" s="50"/>
      <c r="I271" s="179"/>
      <c r="J271" s="179"/>
      <c r="K271" s="179"/>
      <c r="L271" s="737"/>
      <c r="M271" s="737"/>
      <c r="N271" s="737"/>
      <c r="O271" s="737"/>
      <c r="P271" s="737"/>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998" t="s">
        <v>1933</v>
      </c>
      <c r="S272" s="998"/>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998"/>
      <c r="S273" s="998"/>
    </row>
    <row r="274" spans="1:31" ht="11.25" customHeight="1">
      <c r="B274" s="187" t="s">
        <v>2922</v>
      </c>
      <c r="C274" s="188"/>
      <c r="D274" s="740"/>
      <c r="E274" s="740"/>
      <c r="F274" s="740"/>
      <c r="G274" s="740"/>
      <c r="H274" s="740"/>
      <c r="I274" s="740"/>
      <c r="J274" s="740"/>
      <c r="K274" s="740"/>
      <c r="L274" s="740"/>
      <c r="M274" s="740"/>
      <c r="N274" s="740"/>
      <c r="O274" s="740"/>
      <c r="P274" s="740"/>
      <c r="Q274" s="740"/>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7"/>
      <c r="B277" s="179"/>
      <c r="C277" s="740"/>
      <c r="D277" s="740"/>
      <c r="E277" s="740"/>
      <c r="F277" s="740"/>
      <c r="G277" s="740"/>
      <c r="H277" s="740"/>
      <c r="I277" s="740"/>
      <c r="J277" s="740"/>
      <c r="K277" s="740"/>
      <c r="L277" s="740"/>
      <c r="M277" s="740"/>
      <c r="Q277" s="737"/>
    </row>
    <row r="278" spans="1:31" ht="13.9" customHeight="1">
      <c r="A278" s="741">
        <v>17</v>
      </c>
      <c r="B278" s="741" t="s">
        <v>878</v>
      </c>
      <c r="C278" s="201"/>
      <c r="D278" s="202"/>
      <c r="E278" s="740"/>
      <c r="F278" s="740"/>
      <c r="G278" s="740"/>
      <c r="H278" s="740"/>
      <c r="I278" s="740"/>
      <c r="J278" s="740"/>
      <c r="K278" s="740"/>
      <c r="L278" s="740"/>
      <c r="M278" s="740"/>
      <c r="O278" s="180" t="s">
        <v>2923</v>
      </c>
      <c r="P278" s="992"/>
      <c r="Q278" s="993"/>
    </row>
    <row r="279" spans="1:31" s="200" customFormat="1" ht="22.9" customHeight="1">
      <c r="B279" s="192" t="s">
        <v>3060</v>
      </c>
      <c r="C279" s="1023" t="s">
        <v>2944</v>
      </c>
      <c r="D279" s="1023"/>
      <c r="E279" s="1023"/>
      <c r="F279" s="1023"/>
      <c r="G279" s="1023"/>
      <c r="H279" s="1023"/>
      <c r="I279" s="1023"/>
      <c r="J279" s="1023"/>
      <c r="K279" s="1023"/>
      <c r="L279" s="1023"/>
      <c r="M279" s="1023"/>
      <c r="O279" s="221" t="s">
        <v>3060</v>
      </c>
      <c r="P279" s="1252" t="s">
        <v>3925</v>
      </c>
      <c r="Q279" s="234"/>
    </row>
    <row r="280" spans="1:31" s="200" customFormat="1" ht="12" customHeight="1">
      <c r="B280" s="57" t="s">
        <v>3063</v>
      </c>
      <c r="C280" s="40" t="s">
        <v>3119</v>
      </c>
      <c r="D280" s="40"/>
      <c r="E280" s="40"/>
      <c r="F280" s="40"/>
      <c r="G280" s="40"/>
      <c r="H280" s="40"/>
      <c r="I280" s="40"/>
      <c r="J280" s="40"/>
      <c r="K280" s="40"/>
      <c r="L280" s="40"/>
      <c r="M280" s="40"/>
      <c r="O280" s="62" t="s">
        <v>3063</v>
      </c>
      <c r="P280" s="1252" t="s">
        <v>3925</v>
      </c>
      <c r="Q280" s="234"/>
    </row>
    <row r="281" spans="1:31" s="200" customFormat="1" ht="22.9" customHeight="1">
      <c r="B281" s="192" t="s">
        <v>1239</v>
      </c>
      <c r="C281" s="994" t="s">
        <v>2888</v>
      </c>
      <c r="D281" s="1039"/>
      <c r="E281" s="1039"/>
      <c r="F281" s="1039"/>
      <c r="G281" s="1039"/>
      <c r="H281" s="1039"/>
      <c r="I281" s="1039"/>
      <c r="J281" s="1039"/>
      <c r="K281" s="1039"/>
      <c r="L281" s="1039"/>
      <c r="M281" s="1039"/>
      <c r="N281" s="1039"/>
      <c r="O281" s="62" t="s">
        <v>1239</v>
      </c>
      <c r="P281" s="1252" t="s">
        <v>3925</v>
      </c>
      <c r="Q281" s="234"/>
    </row>
    <row r="282" spans="1:31" s="200" customFormat="1" ht="12" customHeight="1">
      <c r="B282" s="57" t="s">
        <v>3212</v>
      </c>
      <c r="C282" s="40" t="s">
        <v>2889</v>
      </c>
      <c r="D282" s="40"/>
      <c r="E282" s="40"/>
      <c r="F282" s="40"/>
      <c r="G282" s="40"/>
      <c r="H282" s="40"/>
      <c r="I282" s="40"/>
      <c r="J282" s="40"/>
      <c r="K282" s="40"/>
      <c r="L282" s="40"/>
      <c r="M282" s="40"/>
      <c r="O282" s="62" t="s">
        <v>3212</v>
      </c>
      <c r="P282" s="1252" t="s">
        <v>3925</v>
      </c>
      <c r="Q282" s="234"/>
    </row>
    <row r="283" spans="1:31" s="200" customFormat="1" ht="22.9" customHeight="1">
      <c r="B283" s="192" t="s">
        <v>2763</v>
      </c>
      <c r="C283" s="994" t="s">
        <v>1081</v>
      </c>
      <c r="D283" s="1039"/>
      <c r="E283" s="1039"/>
      <c r="F283" s="1039"/>
      <c r="G283" s="1039"/>
      <c r="H283" s="1039"/>
      <c r="I283" s="1039"/>
      <c r="J283" s="1039"/>
      <c r="K283" s="1039"/>
      <c r="L283" s="1039"/>
      <c r="M283" s="1039"/>
      <c r="N283" s="1039"/>
      <c r="O283" s="62" t="s">
        <v>2763</v>
      </c>
      <c r="P283" s="1252" t="s">
        <v>3925</v>
      </c>
      <c r="Q283" s="234"/>
    </row>
    <row r="284" spans="1:31" ht="11.25" customHeight="1">
      <c r="B284" s="191" t="s">
        <v>2921</v>
      </c>
      <c r="D284" s="191"/>
      <c r="E284" s="191"/>
      <c r="F284" s="191"/>
      <c r="G284" s="191"/>
      <c r="H284" s="50"/>
      <c r="I284" s="179"/>
      <c r="J284" s="179"/>
      <c r="K284" s="179"/>
      <c r="L284" s="737"/>
      <c r="M284" s="737"/>
      <c r="N284" s="737"/>
      <c r="O284" s="737"/>
      <c r="P284" s="737"/>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998" t="s">
        <v>1933</v>
      </c>
      <c r="S285" s="998"/>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98"/>
      <c r="S286" s="998"/>
    </row>
    <row r="287" spans="1:31" ht="11.25" customHeight="1">
      <c r="B287" s="187" t="s">
        <v>2922</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1">
        <v>18</v>
      </c>
      <c r="B290" s="1012" t="s">
        <v>3325</v>
      </c>
      <c r="C290" s="1012"/>
      <c r="D290" s="1012"/>
      <c r="E290" s="1012"/>
      <c r="F290" s="1012"/>
      <c r="G290" s="1012"/>
      <c r="H290" s="740"/>
      <c r="I290" s="740"/>
      <c r="J290" s="740"/>
      <c r="K290" s="740"/>
      <c r="L290" s="740"/>
      <c r="M290" s="740"/>
      <c r="O290" s="180" t="s">
        <v>2923</v>
      </c>
      <c r="P290" s="992"/>
      <c r="Q290" s="993"/>
    </row>
    <row r="291" spans="1:256" ht="11.45" customHeight="1">
      <c r="B291" s="195" t="s">
        <v>3382</v>
      </c>
      <c r="P291" s="1166" t="s">
        <v>3924</v>
      </c>
      <c r="Q291" s="234"/>
    </row>
    <row r="292" spans="1:256" ht="12" customHeight="1">
      <c r="B292" s="197" t="s">
        <v>3326</v>
      </c>
      <c r="C292" s="197"/>
      <c r="D292" s="197"/>
      <c r="E292" s="197"/>
      <c r="F292" s="197"/>
      <c r="G292" s="197"/>
      <c r="H292" s="197"/>
      <c r="I292" s="197"/>
      <c r="J292" s="197"/>
      <c r="K292" s="197"/>
      <c r="L292" s="197"/>
      <c r="P292" s="1166" t="s">
        <v>3925</v>
      </c>
      <c r="Q292" s="234"/>
    </row>
    <row r="293" spans="1:256" ht="11.45" customHeight="1">
      <c r="B293" s="192" t="s">
        <v>3060</v>
      </c>
      <c r="C293" s="263" t="s">
        <v>674</v>
      </c>
      <c r="D293" s="40"/>
      <c r="E293" s="40"/>
      <c r="F293" s="40"/>
      <c r="G293" s="40"/>
      <c r="H293" s="40"/>
      <c r="I293" s="40"/>
      <c r="J293" s="40"/>
      <c r="K293" s="40"/>
      <c r="L293" s="40"/>
      <c r="M293" s="40"/>
      <c r="N293" s="221"/>
    </row>
    <row r="294" spans="1:256" ht="33.6" customHeight="1">
      <c r="A294" s="194"/>
      <c r="C294" s="1038" t="s">
        <v>1082</v>
      </c>
      <c r="D294" s="1038"/>
      <c r="E294" s="1038"/>
      <c r="F294" s="1038"/>
      <c r="G294" s="1038"/>
      <c r="H294" s="1038"/>
      <c r="I294" s="1038"/>
      <c r="J294" s="1038"/>
      <c r="K294" s="1038"/>
      <c r="L294" s="1038"/>
      <c r="M294" s="1038"/>
      <c r="N294" s="1038"/>
      <c r="O294" s="221" t="s">
        <v>3060</v>
      </c>
      <c r="P294" s="1252" t="s">
        <v>3925</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3063</v>
      </c>
      <c r="C296" s="1037" t="s">
        <v>675</v>
      </c>
      <c r="D296" s="1037"/>
      <c r="E296" s="1037"/>
      <c r="F296" s="1037"/>
      <c r="G296" s="1037"/>
      <c r="H296" s="1037"/>
      <c r="I296" s="1037"/>
      <c r="J296" s="1037"/>
      <c r="K296" s="1037"/>
      <c r="L296" s="1037"/>
      <c r="M296" s="1037"/>
      <c r="O296" s="221" t="s">
        <v>3063</v>
      </c>
      <c r="P296" s="1166" t="s">
        <v>3925</v>
      </c>
      <c r="Q296" s="234"/>
    </row>
    <row r="297" spans="1:256" ht="24" customHeight="1">
      <c r="A297" s="194"/>
      <c r="C297" s="296" t="s">
        <v>2765</v>
      </c>
      <c r="D297" s="297" t="s">
        <v>1767</v>
      </c>
      <c r="E297" s="181"/>
      <c r="F297" s="181"/>
      <c r="G297" s="1253" t="s">
        <v>2168</v>
      </c>
      <c r="H297" s="1254"/>
      <c r="I297" s="1254"/>
      <c r="J297" s="1254"/>
      <c r="K297" s="1254"/>
      <c r="L297" s="1254"/>
      <c r="M297" s="1254"/>
      <c r="N297" s="1255"/>
      <c r="O297" s="301" t="s">
        <v>2765</v>
      </c>
      <c r="P297" s="1252" t="s">
        <v>3925</v>
      </c>
      <c r="Q297" s="353"/>
    </row>
    <row r="298" spans="1:256" ht="12.6" customHeight="1">
      <c r="A298" s="194"/>
      <c r="C298" s="296" t="s">
        <v>2766</v>
      </c>
      <c r="D298" s="297" t="s">
        <v>1769</v>
      </c>
      <c r="E298" s="181"/>
      <c r="F298" s="181"/>
      <c r="G298" s="1152" t="s">
        <v>2781</v>
      </c>
      <c r="H298" s="1256"/>
      <c r="I298" s="1256"/>
      <c r="J298" s="1256"/>
      <c r="K298" s="1256"/>
      <c r="L298" s="1256"/>
      <c r="M298" s="1256"/>
      <c r="N298" s="1257"/>
      <c r="O298" s="301" t="s">
        <v>2766</v>
      </c>
      <c r="P298" s="1252" t="s">
        <v>3925</v>
      </c>
      <c r="Q298" s="354"/>
    </row>
    <row r="299" spans="1:256" ht="12.6" customHeight="1">
      <c r="A299" s="194"/>
      <c r="C299" s="296"/>
      <c r="D299" s="298"/>
      <c r="E299" s="181"/>
      <c r="F299" s="181"/>
      <c r="G299" s="1258" t="s">
        <v>3578</v>
      </c>
      <c r="H299" s="1259"/>
      <c r="I299" s="1259"/>
      <c r="J299" s="1259"/>
      <c r="K299" s="1259"/>
      <c r="L299" s="1259"/>
      <c r="M299" s="1259"/>
      <c r="N299" s="1260"/>
      <c r="O299" s="301"/>
      <c r="P299" s="1252" t="s">
        <v>3925</v>
      </c>
      <c r="Q299" s="355"/>
    </row>
    <row r="300" spans="1:256" ht="24" customHeight="1">
      <c r="A300" s="194"/>
      <c r="C300" s="296" t="s">
        <v>2767</v>
      </c>
      <c r="D300" s="1024" t="s">
        <v>1768</v>
      </c>
      <c r="E300" s="1039"/>
      <c r="F300" s="1040"/>
      <c r="G300" s="1159" t="s">
        <v>1713</v>
      </c>
      <c r="H300" s="1261"/>
      <c r="I300" s="1261"/>
      <c r="J300" s="1261"/>
      <c r="K300" s="1261"/>
      <c r="L300" s="1261"/>
      <c r="M300" s="1261"/>
      <c r="N300" s="1262"/>
      <c r="O300" s="301" t="s">
        <v>2767</v>
      </c>
      <c r="P300" s="1252" t="s">
        <v>3925</v>
      </c>
      <c r="Q300" s="353"/>
    </row>
    <row r="301" spans="1:256" ht="12.6" customHeight="1">
      <c r="A301" s="194"/>
      <c r="C301" s="296" t="s">
        <v>3571</v>
      </c>
      <c r="D301" s="1024" t="s">
        <v>1770</v>
      </c>
      <c r="E301" s="1024"/>
      <c r="F301" s="1025"/>
      <c r="G301" s="1263" t="s">
        <v>3215</v>
      </c>
      <c r="H301" s="1264"/>
      <c r="I301" s="1264"/>
      <c r="J301" s="1264"/>
      <c r="K301" s="1264"/>
      <c r="L301" s="1264"/>
      <c r="M301" s="1264"/>
      <c r="N301" s="1265"/>
      <c r="O301" s="301" t="s">
        <v>3571</v>
      </c>
      <c r="P301" s="1266" t="s">
        <v>3925</v>
      </c>
      <c r="Q301" s="356"/>
    </row>
    <row r="302" spans="1:256" ht="12.6" customHeight="1">
      <c r="A302" s="194"/>
      <c r="C302" s="296"/>
      <c r="D302" s="1024"/>
      <c r="E302" s="1024"/>
      <c r="F302" s="1025"/>
      <c r="G302" s="1155" t="s">
        <v>225</v>
      </c>
      <c r="H302" s="1267"/>
      <c r="I302" s="1267"/>
      <c r="J302" s="1267"/>
      <c r="K302" s="1267"/>
      <c r="L302" s="1267"/>
      <c r="M302" s="1267"/>
      <c r="N302" s="1268"/>
      <c r="P302" s="1269" t="s">
        <v>3925</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2921</v>
      </c>
      <c r="D304" s="191"/>
      <c r="E304" s="191"/>
      <c r="F304" s="191"/>
      <c r="G304" s="191"/>
      <c r="H304" s="50"/>
      <c r="I304" s="179"/>
      <c r="J304" s="179"/>
      <c r="K304" s="179"/>
      <c r="L304" s="737"/>
      <c r="M304" s="737"/>
      <c r="N304" s="737"/>
      <c r="O304" s="737"/>
      <c r="P304" s="737"/>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16" t="s">
        <v>1933</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2922</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1">
        <v>19</v>
      </c>
      <c r="B311" s="741" t="s">
        <v>3122</v>
      </c>
      <c r="C311" s="741"/>
      <c r="D311" s="740"/>
      <c r="E311" s="740"/>
      <c r="F311" s="740"/>
      <c r="G311" s="740"/>
      <c r="H311" s="740"/>
      <c r="O311" s="180" t="s">
        <v>2923</v>
      </c>
      <c r="P311" s="992"/>
      <c r="Q311" s="993"/>
    </row>
    <row r="312" spans="1:31" ht="3" customHeight="1"/>
    <row r="313" spans="1:31" ht="11.45" customHeight="1">
      <c r="B313" s="195" t="s">
        <v>3514</v>
      </c>
      <c r="P313" s="1166" t="s">
        <v>3925</v>
      </c>
      <c r="Q313" s="234"/>
    </row>
    <row r="314" spans="1:31" ht="11.45" customHeight="1">
      <c r="B314" s="195" t="s">
        <v>3515</v>
      </c>
      <c r="P314" s="1166" t="s">
        <v>3925</v>
      </c>
      <c r="Q314" s="234"/>
    </row>
    <row r="315" spans="1:31" ht="11.45" customHeight="1">
      <c r="B315" s="195" t="s">
        <v>925</v>
      </c>
      <c r="L315" s="1270" t="s">
        <v>4003</v>
      </c>
      <c r="M315" s="1271"/>
      <c r="N315" s="1271"/>
      <c r="O315" s="1272"/>
      <c r="P315" s="1166" t="s">
        <v>3925</v>
      </c>
      <c r="Q315" s="234"/>
    </row>
    <row r="316" spans="1:31" ht="11.45" customHeight="1">
      <c r="B316" s="690" t="s">
        <v>3516</v>
      </c>
      <c r="L316" s="1041"/>
      <c r="M316" s="1042"/>
      <c r="N316" s="1042"/>
      <c r="O316" s="1043"/>
    </row>
    <row r="317" spans="1:31" ht="4.1500000000000004" customHeight="1">
      <c r="A317" s="189"/>
      <c r="C317" s="190"/>
    </row>
    <row r="318" spans="1:31" ht="11.25" customHeight="1">
      <c r="B318" s="191" t="s">
        <v>2921</v>
      </c>
      <c r="D318" s="191"/>
      <c r="E318" s="191"/>
      <c r="F318" s="191"/>
      <c r="G318" s="191"/>
      <c r="H318" s="50"/>
      <c r="I318" s="179"/>
      <c r="J318" s="179"/>
      <c r="K318" s="179"/>
      <c r="L318" s="737"/>
      <c r="M318" s="737"/>
      <c r="N318" s="737"/>
      <c r="O318" s="737"/>
      <c r="P318" s="737"/>
      <c r="Q318" s="63"/>
    </row>
    <row r="319" spans="1:31" ht="29.25" customHeight="1">
      <c r="A319" s="1152" t="s">
        <v>4004</v>
      </c>
      <c r="B319" s="1153"/>
      <c r="C319" s="1153"/>
      <c r="D319" s="1153"/>
      <c r="E319" s="1153"/>
      <c r="F319" s="1153"/>
      <c r="G319" s="1153"/>
      <c r="H319" s="1153"/>
      <c r="I319" s="1153"/>
      <c r="J319" s="1153"/>
      <c r="K319" s="1153"/>
      <c r="L319" s="1153"/>
      <c r="M319" s="1153"/>
      <c r="N319" s="1153"/>
      <c r="O319" s="1153"/>
      <c r="P319" s="1153"/>
      <c r="Q319" s="1154"/>
      <c r="R319" s="998" t="s">
        <v>1933</v>
      </c>
      <c r="S319" s="998"/>
      <c r="U319" s="185"/>
      <c r="V319" s="185"/>
      <c r="W319" s="185"/>
      <c r="X319" s="185"/>
      <c r="Y319" s="185"/>
      <c r="Z319" s="185"/>
      <c r="AA319" s="185"/>
      <c r="AB319" s="185"/>
      <c r="AC319" s="185"/>
      <c r="AD319" s="185"/>
      <c r="AE319" s="186"/>
    </row>
    <row r="320" spans="1:31" ht="2.25" customHeight="1">
      <c r="A320" s="1163"/>
      <c r="B320" s="1164"/>
      <c r="C320" s="1164"/>
      <c r="D320" s="1164"/>
      <c r="E320" s="1164"/>
      <c r="F320" s="1164"/>
      <c r="G320" s="1164"/>
      <c r="H320" s="1164"/>
      <c r="I320" s="1164"/>
      <c r="J320" s="1164"/>
      <c r="K320" s="1164"/>
      <c r="L320" s="1164"/>
      <c r="M320" s="1164"/>
      <c r="N320" s="1164"/>
      <c r="O320" s="1164"/>
      <c r="P320" s="1164"/>
      <c r="Q320" s="1165"/>
      <c r="R320" s="998"/>
      <c r="S320" s="998"/>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98"/>
      <c r="S321" s="998"/>
    </row>
    <row r="322" spans="1:31" ht="11.25" customHeight="1">
      <c r="B322" s="187" t="s">
        <v>2922</v>
      </c>
      <c r="C322" s="188"/>
      <c r="D322" s="740"/>
      <c r="E322" s="740"/>
      <c r="F322" s="740"/>
      <c r="G322" s="740"/>
      <c r="H322" s="740"/>
      <c r="I322" s="740"/>
      <c r="J322" s="740"/>
      <c r="K322" s="740"/>
      <c r="L322" s="740"/>
      <c r="M322" s="740"/>
      <c r="N322" s="740"/>
      <c r="O322" s="740"/>
      <c r="P322" s="740"/>
      <c r="Q322" s="740"/>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471</v>
      </c>
      <c r="C327" s="5"/>
      <c r="D327" s="118"/>
      <c r="E327" s="740"/>
      <c r="F327" s="740"/>
      <c r="G327" s="740"/>
      <c r="H327" s="740"/>
      <c r="I327" s="740"/>
      <c r="J327" s="740"/>
      <c r="K327" s="740"/>
      <c r="L327" s="740"/>
      <c r="M327" s="740"/>
      <c r="O327" s="180" t="s">
        <v>2923</v>
      </c>
      <c r="P327" s="992"/>
      <c r="Q327" s="993"/>
    </row>
    <row r="328" spans="1:31" ht="3" customHeight="1"/>
    <row r="329" spans="1:31" ht="22.15" customHeight="1">
      <c r="B329" s="192" t="s">
        <v>3060</v>
      </c>
      <c r="C329" s="994" t="s">
        <v>2544</v>
      </c>
      <c r="D329" s="994"/>
      <c r="E329" s="994"/>
      <c r="F329" s="994"/>
      <c r="G329" s="994"/>
      <c r="H329" s="994"/>
      <c r="I329" s="994"/>
      <c r="J329" s="994"/>
      <c r="K329" s="994"/>
      <c r="L329" s="994"/>
      <c r="M329" s="994"/>
      <c r="N329" s="994"/>
      <c r="O329" s="221" t="s">
        <v>3060</v>
      </c>
      <c r="P329" s="1166" t="s">
        <v>3925</v>
      </c>
      <c r="Q329" s="234"/>
    </row>
    <row r="330" spans="1:31" ht="11.45" customHeight="1">
      <c r="B330" s="192" t="s">
        <v>3063</v>
      </c>
      <c r="C330" s="994" t="s">
        <v>356</v>
      </c>
      <c r="D330" s="994"/>
      <c r="E330" s="994"/>
      <c r="F330" s="994"/>
      <c r="G330" s="994"/>
      <c r="H330" s="994"/>
      <c r="I330" s="994"/>
      <c r="J330" s="994"/>
      <c r="K330" s="994"/>
      <c r="L330" s="994"/>
      <c r="M330" s="740"/>
      <c r="O330" s="221" t="s">
        <v>3063</v>
      </c>
      <c r="P330" s="1166" t="s">
        <v>3925</v>
      </c>
      <c r="Q330" s="234"/>
    </row>
    <row r="331" spans="1:31" ht="11.45" customHeight="1">
      <c r="B331" s="192" t="s">
        <v>1239</v>
      </c>
      <c r="C331" s="197" t="s">
        <v>1966</v>
      </c>
      <c r="D331" s="197"/>
      <c r="E331" s="197"/>
      <c r="F331" s="197"/>
      <c r="G331" s="197"/>
      <c r="H331" s="197"/>
      <c r="I331" s="197"/>
      <c r="J331" s="197"/>
      <c r="K331" s="197"/>
      <c r="L331" s="197"/>
      <c r="M331" s="197"/>
      <c r="O331" s="221" t="s">
        <v>1239</v>
      </c>
      <c r="P331" s="1166" t="s">
        <v>3925</v>
      </c>
      <c r="Q331" s="234"/>
    </row>
    <row r="332" spans="1:31" ht="22.15" customHeight="1">
      <c r="B332" s="192" t="s">
        <v>3212</v>
      </c>
      <c r="C332" s="994" t="s">
        <v>1059</v>
      </c>
      <c r="D332" s="994"/>
      <c r="E332" s="994"/>
      <c r="F332" s="994"/>
      <c r="G332" s="994"/>
      <c r="H332" s="994"/>
      <c r="I332" s="994"/>
      <c r="J332" s="994"/>
      <c r="K332" s="994"/>
      <c r="L332" s="994"/>
      <c r="M332" s="994"/>
      <c r="N332" s="994"/>
      <c r="O332" s="221" t="s">
        <v>3212</v>
      </c>
      <c r="P332" s="1166" t="s">
        <v>3925</v>
      </c>
      <c r="Q332" s="234"/>
    </row>
    <row r="333" spans="1:31" ht="11.25" customHeight="1">
      <c r="B333" s="191" t="s">
        <v>2921</v>
      </c>
      <c r="D333" s="191"/>
      <c r="E333" s="191"/>
      <c r="F333" s="191"/>
      <c r="G333" s="191"/>
      <c r="H333" s="50"/>
      <c r="I333" s="179"/>
      <c r="J333" s="179"/>
      <c r="K333" s="179"/>
      <c r="L333" s="737"/>
      <c r="M333" s="737"/>
      <c r="N333" s="737"/>
      <c r="O333" s="737"/>
      <c r="P333" s="737"/>
      <c r="Q333" s="63"/>
    </row>
    <row r="334" spans="1:31" ht="11.45" customHeight="1">
      <c r="A334" s="1152"/>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2922</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1554</v>
      </c>
      <c r="C341" s="5"/>
      <c r="D341" s="5"/>
      <c r="E341" s="5"/>
      <c r="F341" s="5"/>
      <c r="G341" s="5"/>
      <c r="H341" s="740"/>
      <c r="I341" s="740"/>
      <c r="J341" s="740"/>
      <c r="K341" s="740"/>
      <c r="L341" s="740"/>
      <c r="M341" s="740"/>
      <c r="O341" s="180" t="s">
        <v>2923</v>
      </c>
      <c r="P341" s="992"/>
      <c r="Q341" s="993"/>
    </row>
    <row r="342" spans="1:31" ht="12" customHeight="1">
      <c r="B342" s="57" t="s">
        <v>3060</v>
      </c>
      <c r="C342" s="160" t="s">
        <v>2084</v>
      </c>
      <c r="D342" s="744"/>
      <c r="E342" s="744"/>
      <c r="F342" s="744"/>
      <c r="G342" s="744"/>
      <c r="H342" s="744"/>
      <c r="I342" s="52"/>
      <c r="J342" s="62" t="s">
        <v>3060</v>
      </c>
      <c r="K342" s="1224" t="s">
        <v>3921</v>
      </c>
      <c r="L342" s="1225"/>
      <c r="M342" s="1225"/>
      <c r="N342" s="1225"/>
      <c r="O342" s="1226"/>
      <c r="P342" s="1166" t="s">
        <v>3925</v>
      </c>
      <c r="Q342" s="234"/>
    </row>
    <row r="343" spans="1:31" ht="24" customHeight="1">
      <c r="B343" s="192" t="s">
        <v>3063</v>
      </c>
      <c r="C343" s="977" t="s">
        <v>2907</v>
      </c>
      <c r="D343" s="977"/>
      <c r="E343" s="977"/>
      <c r="F343" s="977"/>
      <c r="G343" s="977"/>
      <c r="H343" s="977"/>
      <c r="I343" s="977"/>
      <c r="J343" s="977"/>
      <c r="K343" s="977"/>
      <c r="L343" s="977"/>
      <c r="M343" s="977"/>
      <c r="O343" s="221" t="s">
        <v>3063</v>
      </c>
      <c r="P343" s="1252" t="s">
        <v>3925</v>
      </c>
      <c r="Q343" s="234"/>
    </row>
    <row r="344" spans="1:31" ht="12" customHeight="1">
      <c r="B344" s="57" t="s">
        <v>1239</v>
      </c>
      <c r="C344" s="65" t="s">
        <v>1555</v>
      </c>
      <c r="D344" s="65"/>
      <c r="E344" s="65"/>
      <c r="F344" s="65"/>
      <c r="G344" s="65"/>
      <c r="H344" s="65"/>
      <c r="I344" s="65"/>
      <c r="J344" s="65"/>
      <c r="K344" s="65"/>
      <c r="L344" s="40"/>
      <c r="M344" s="40"/>
      <c r="O344" s="62" t="s">
        <v>1239</v>
      </c>
      <c r="P344" s="1166" t="s">
        <v>3925</v>
      </c>
      <c r="Q344" s="234"/>
    </row>
    <row r="345" spans="1:31" ht="12" customHeight="1">
      <c r="B345" s="57" t="s">
        <v>3212</v>
      </c>
      <c r="C345" s="65" t="s">
        <v>355</v>
      </c>
      <c r="D345" s="65"/>
      <c r="E345" s="65"/>
      <c r="F345" s="65"/>
      <c r="G345" s="65"/>
      <c r="H345" s="65"/>
      <c r="I345" s="65"/>
      <c r="J345" s="65"/>
      <c r="K345" s="65"/>
      <c r="L345" s="65"/>
      <c r="M345" s="65"/>
      <c r="O345" s="62" t="s">
        <v>3212</v>
      </c>
      <c r="P345" s="1166" t="s">
        <v>3925</v>
      </c>
      <c r="Q345" s="234"/>
    </row>
    <row r="346" spans="1:31" ht="22.9" customHeight="1">
      <c r="B346" s="192" t="s">
        <v>2763</v>
      </c>
      <c r="C346" s="994" t="s">
        <v>430</v>
      </c>
      <c r="D346" s="994"/>
      <c r="E346" s="994"/>
      <c r="F346" s="994"/>
      <c r="G346" s="994"/>
      <c r="H346" s="994"/>
      <c r="I346" s="994"/>
      <c r="J346" s="994"/>
      <c r="K346" s="994"/>
      <c r="L346" s="994"/>
      <c r="M346" s="994"/>
      <c r="N346" s="994"/>
      <c r="O346" s="221" t="s">
        <v>2763</v>
      </c>
      <c r="P346" s="1252" t="s">
        <v>3925</v>
      </c>
      <c r="Q346" s="353"/>
    </row>
    <row r="347" spans="1:31" ht="12" customHeight="1">
      <c r="B347" s="57" t="s">
        <v>2764</v>
      </c>
      <c r="C347" s="65" t="s">
        <v>1986</v>
      </c>
      <c r="D347" s="65"/>
      <c r="E347" s="65"/>
      <c r="F347" s="65"/>
      <c r="G347" s="65"/>
      <c r="H347" s="65"/>
      <c r="I347" s="65"/>
      <c r="J347" s="65"/>
      <c r="K347" s="65"/>
      <c r="L347" s="65"/>
      <c r="M347" s="65"/>
      <c r="O347" s="62" t="s">
        <v>2764</v>
      </c>
      <c r="P347" s="1166" t="s">
        <v>3925</v>
      </c>
      <c r="Q347" s="234"/>
    </row>
    <row r="348" spans="1:31" ht="11.25" customHeight="1">
      <c r="B348" s="191" t="s">
        <v>2921</v>
      </c>
      <c r="D348" s="191"/>
      <c r="E348" s="191"/>
      <c r="F348" s="191"/>
      <c r="G348" s="191"/>
      <c r="H348" s="50"/>
      <c r="I348" s="179"/>
      <c r="J348" s="179"/>
      <c r="K348" s="179"/>
      <c r="L348" s="737"/>
      <c r="M348" s="737"/>
      <c r="N348" s="737"/>
      <c r="O348" s="737"/>
      <c r="P348" s="737"/>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2922</v>
      </c>
      <c r="C350" s="188"/>
      <c r="D350" s="740"/>
      <c r="E350" s="740"/>
      <c r="F350" s="740"/>
      <c r="G350" s="740"/>
      <c r="H350" s="740"/>
      <c r="I350" s="740"/>
      <c r="J350" s="740"/>
      <c r="K350" s="740"/>
      <c r="L350" s="740"/>
      <c r="M350" s="740"/>
      <c r="N350" s="740"/>
      <c r="O350" s="740"/>
      <c r="P350" s="740"/>
      <c r="Q350" s="740"/>
    </row>
    <row r="351" spans="1:31" ht="11.45" customHeight="1">
      <c r="A351" s="1013"/>
      <c r="B351" s="1014"/>
      <c r="C351" s="1014"/>
      <c r="D351" s="1014"/>
      <c r="E351" s="1014"/>
      <c r="F351" s="1014"/>
      <c r="G351" s="1014"/>
      <c r="H351" s="1014"/>
      <c r="I351" s="1014"/>
      <c r="J351" s="1014"/>
      <c r="K351" s="1014"/>
      <c r="L351" s="1014"/>
      <c r="M351" s="1014"/>
      <c r="N351" s="1014"/>
      <c r="O351" s="1014"/>
      <c r="P351" s="1014"/>
      <c r="Q351" s="1015"/>
    </row>
    <row r="352" spans="1:31" ht="6" customHeight="1">
      <c r="A352" s="737"/>
      <c r="B352" s="179"/>
      <c r="C352" s="740"/>
      <c r="D352" s="740"/>
      <c r="E352" s="740"/>
      <c r="F352" s="740"/>
      <c r="G352" s="740"/>
      <c r="H352" s="740"/>
      <c r="I352" s="740"/>
      <c r="J352" s="740"/>
      <c r="K352" s="740"/>
      <c r="L352" s="740"/>
      <c r="M352" s="740"/>
      <c r="Q352" s="63"/>
    </row>
    <row r="353" spans="1:31" ht="13.9" customHeight="1">
      <c r="A353" s="741">
        <v>22</v>
      </c>
      <c r="B353" s="5" t="s">
        <v>3755</v>
      </c>
      <c r="C353" s="5"/>
      <c r="D353" s="5"/>
      <c r="E353" s="5"/>
      <c r="F353" s="5"/>
      <c r="G353" s="5"/>
      <c r="H353" s="740"/>
      <c r="I353" s="740"/>
      <c r="J353" s="740"/>
      <c r="O353" s="180" t="s">
        <v>2923</v>
      </c>
      <c r="P353" s="992"/>
      <c r="Q353" s="993"/>
    </row>
    <row r="354" spans="1:31" ht="11.45" customHeight="1">
      <c r="B354" s="57" t="s">
        <v>3060</v>
      </c>
      <c r="C354" s="160" t="s">
        <v>1658</v>
      </c>
      <c r="D354" s="744"/>
      <c r="E354" s="744"/>
      <c r="F354" s="744"/>
      <c r="G354" s="744"/>
      <c r="H354" s="744"/>
      <c r="I354" s="52"/>
      <c r="J354" s="62" t="s">
        <v>3060</v>
      </c>
      <c r="K354" s="1224" t="s">
        <v>4005</v>
      </c>
      <c r="L354" s="1225"/>
      <c r="M354" s="1225"/>
      <c r="N354" s="1225"/>
      <c r="O354" s="1226"/>
      <c r="P354" s="1166"/>
      <c r="Q354" s="234"/>
    </row>
    <row r="355" spans="1:31" ht="11.45" customHeight="1">
      <c r="B355" s="57" t="s">
        <v>3063</v>
      </c>
      <c r="C355" s="65" t="s">
        <v>2768</v>
      </c>
      <c r="D355" s="65"/>
      <c r="E355" s="65"/>
      <c r="F355" s="65"/>
      <c r="G355" s="65"/>
      <c r="H355" s="65"/>
      <c r="I355" s="65"/>
      <c r="J355" s="65"/>
      <c r="K355" s="65"/>
      <c r="L355" s="40"/>
      <c r="M355" s="40"/>
      <c r="O355" s="62" t="s">
        <v>3063</v>
      </c>
      <c r="P355" s="1166"/>
      <c r="Q355" s="234"/>
    </row>
    <row r="356" spans="1:31" ht="11.45" customHeight="1">
      <c r="B356" s="57" t="s">
        <v>1239</v>
      </c>
      <c r="C356" s="65" t="s">
        <v>2148</v>
      </c>
      <c r="D356" s="65"/>
      <c r="E356" s="65"/>
      <c r="F356" s="65"/>
      <c r="G356" s="65"/>
      <c r="H356" s="65"/>
      <c r="I356" s="65"/>
      <c r="J356" s="65"/>
      <c r="K356" s="65"/>
      <c r="L356" s="65"/>
      <c r="M356" s="65"/>
      <c r="O356" s="62" t="s">
        <v>1239</v>
      </c>
      <c r="P356" s="1166"/>
      <c r="Q356" s="234"/>
    </row>
    <row r="357" spans="1:31" ht="11.45" customHeight="1">
      <c r="B357" s="57" t="s">
        <v>3212</v>
      </c>
      <c r="C357" s="65" t="s">
        <v>3090</v>
      </c>
      <c r="D357" s="65"/>
      <c r="E357" s="65"/>
      <c r="F357" s="65"/>
      <c r="G357" s="65"/>
      <c r="H357" s="65"/>
      <c r="I357" s="65"/>
      <c r="J357" s="65"/>
      <c r="K357" s="65"/>
      <c r="L357" s="65"/>
      <c r="M357" s="65"/>
      <c r="O357" s="62" t="s">
        <v>3212</v>
      </c>
      <c r="P357" s="1166"/>
      <c r="Q357" s="234"/>
    </row>
    <row r="358" spans="1:31" ht="22.15" customHeight="1">
      <c r="B358" s="192" t="s">
        <v>2763</v>
      </c>
      <c r="C358" s="994" t="s">
        <v>636</v>
      </c>
      <c r="D358" s="994"/>
      <c r="E358" s="994"/>
      <c r="F358" s="994"/>
      <c r="G358" s="994"/>
      <c r="H358" s="994"/>
      <c r="I358" s="994"/>
      <c r="J358" s="994"/>
      <c r="K358" s="994"/>
      <c r="L358" s="994"/>
      <c r="M358" s="994"/>
      <c r="N358" s="994"/>
      <c r="O358" s="221" t="s">
        <v>2763</v>
      </c>
      <c r="P358" s="1166"/>
      <c r="Q358" s="234"/>
    </row>
    <row r="359" spans="1:31" ht="20.45" customHeight="1">
      <c r="B359" s="192" t="s">
        <v>2764</v>
      </c>
      <c r="C359" s="977" t="s">
        <v>230</v>
      </c>
      <c r="D359" s="977"/>
      <c r="E359" s="977"/>
      <c r="F359" s="977"/>
      <c r="G359" s="977"/>
      <c r="H359" s="977"/>
      <c r="I359" s="977"/>
      <c r="J359" s="977"/>
      <c r="K359" s="977"/>
      <c r="L359" s="977"/>
      <c r="M359" s="977"/>
      <c r="N359" s="977"/>
      <c r="O359" s="221" t="s">
        <v>2764</v>
      </c>
      <c r="P359" s="1252"/>
      <c r="Q359" s="234"/>
    </row>
    <row r="360" spans="1:31" ht="11.45" customHeight="1">
      <c r="B360" s="57" t="s">
        <v>3020</v>
      </c>
      <c r="C360" s="40" t="s">
        <v>852</v>
      </c>
      <c r="D360" s="204"/>
      <c r="E360" s="204"/>
      <c r="F360" s="204"/>
      <c r="G360" s="204"/>
      <c r="H360" s="204"/>
      <c r="I360" s="204"/>
      <c r="J360" s="204"/>
      <c r="K360" s="204"/>
      <c r="L360" s="204"/>
      <c r="M360" s="204"/>
      <c r="O360" s="62" t="s">
        <v>3020</v>
      </c>
      <c r="P360" s="1166"/>
      <c r="Q360" s="234"/>
    </row>
    <row r="361" spans="1:31" ht="11.25" customHeight="1">
      <c r="B361" s="191" t="s">
        <v>2921</v>
      </c>
      <c r="D361" s="191"/>
      <c r="E361" s="191"/>
      <c r="F361" s="191"/>
      <c r="G361" s="191"/>
      <c r="H361" s="50"/>
      <c r="I361" s="179"/>
      <c r="J361" s="179"/>
      <c r="K361" s="179"/>
      <c r="L361" s="737"/>
      <c r="M361" s="737"/>
      <c r="N361" s="737"/>
      <c r="O361" s="737"/>
      <c r="P361" s="737"/>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2922</v>
      </c>
      <c r="C363" s="188"/>
      <c r="D363" s="740"/>
      <c r="E363" s="740"/>
      <c r="F363" s="740"/>
      <c r="G363" s="740"/>
      <c r="H363" s="740"/>
      <c r="I363" s="740"/>
      <c r="J363" s="740"/>
      <c r="K363" s="740"/>
      <c r="L363" s="740"/>
      <c r="M363" s="740"/>
      <c r="N363" s="740"/>
      <c r="O363" s="740"/>
      <c r="P363" s="740"/>
      <c r="Q363" s="740"/>
    </row>
    <row r="364" spans="1:31" ht="11.45" customHeight="1">
      <c r="A364" s="1013"/>
      <c r="B364" s="1014"/>
      <c r="C364" s="1014"/>
      <c r="D364" s="1014"/>
      <c r="E364" s="1014"/>
      <c r="F364" s="1014"/>
      <c r="G364" s="1014"/>
      <c r="H364" s="1014"/>
      <c r="I364" s="1014"/>
      <c r="J364" s="1014"/>
      <c r="K364" s="1014"/>
      <c r="L364" s="1014"/>
      <c r="M364" s="1014"/>
      <c r="N364" s="1014"/>
      <c r="O364" s="1014"/>
      <c r="P364" s="1014"/>
      <c r="Q364" s="1015"/>
    </row>
    <row r="365" spans="1:31" ht="3.6" customHeight="1">
      <c r="A365" s="737"/>
      <c r="B365" s="179"/>
      <c r="C365" s="740"/>
      <c r="D365" s="740"/>
      <c r="E365" s="740"/>
      <c r="F365" s="740"/>
      <c r="G365" s="740"/>
      <c r="H365" s="740"/>
      <c r="I365" s="740"/>
      <c r="J365" s="740"/>
      <c r="K365" s="740"/>
      <c r="L365" s="740"/>
      <c r="M365" s="740"/>
      <c r="Q365" s="63"/>
    </row>
    <row r="366" spans="1:31" ht="13.9" customHeight="1">
      <c r="A366" s="741">
        <v>23</v>
      </c>
      <c r="B366" s="5" t="s">
        <v>1083</v>
      </c>
      <c r="C366" s="5"/>
      <c r="D366" s="118"/>
      <c r="E366" s="740"/>
      <c r="F366" s="740"/>
      <c r="G366" s="740"/>
      <c r="H366" s="740"/>
      <c r="I366" s="740"/>
      <c r="J366" s="740"/>
      <c r="K366" s="740"/>
      <c r="L366" s="740"/>
      <c r="M366" s="740"/>
      <c r="O366" s="180" t="s">
        <v>2923</v>
      </c>
      <c r="P366" s="992"/>
      <c r="Q366" s="993"/>
    </row>
    <row r="367" spans="1:31" s="2" customFormat="1" ht="23.45" customHeight="1">
      <c r="B367" s="192" t="s">
        <v>3060</v>
      </c>
      <c r="C367" s="994" t="s">
        <v>201</v>
      </c>
      <c r="D367" s="994"/>
      <c r="E367" s="994"/>
      <c r="F367" s="994"/>
      <c r="G367" s="994"/>
      <c r="H367" s="994"/>
      <c r="I367" s="994"/>
      <c r="J367" s="994"/>
      <c r="K367" s="994"/>
      <c r="L367" s="994"/>
      <c r="M367" s="221" t="s">
        <v>3060</v>
      </c>
      <c r="N367" s="1273" t="s">
        <v>2801</v>
      </c>
      <c r="O367" s="1274"/>
      <c r="P367" s="1010" t="s">
        <v>2801</v>
      </c>
      <c r="Q367" s="1011"/>
    </row>
    <row r="368" spans="1:31" s="2" customFormat="1" ht="12" customHeight="1">
      <c r="B368" s="57" t="s">
        <v>3063</v>
      </c>
      <c r="C368" s="157" t="s">
        <v>2</v>
      </c>
      <c r="D368" s="204"/>
      <c r="E368" s="204"/>
      <c r="G368" s="62" t="s">
        <v>3063</v>
      </c>
      <c r="H368" s="1236"/>
      <c r="I368" s="1237"/>
      <c r="J368" s="1237"/>
      <c r="K368" s="1237"/>
      <c r="L368" s="1237"/>
      <c r="M368" s="1237"/>
      <c r="N368" s="1237"/>
      <c r="O368" s="1238"/>
      <c r="P368" s="1166"/>
      <c r="Q368" s="234"/>
    </row>
    <row r="369" spans="1:31" s="2" customFormat="1" ht="12" customHeight="1">
      <c r="B369" s="57" t="s">
        <v>1239</v>
      </c>
      <c r="C369" s="40" t="s">
        <v>2126</v>
      </c>
      <c r="D369" s="12"/>
      <c r="E369" s="12"/>
      <c r="F369" s="12"/>
      <c r="G369" s="8"/>
      <c r="H369" s="8"/>
      <c r="I369" s="40"/>
      <c r="K369" s="8"/>
      <c r="L369" s="8"/>
      <c r="M369" s="8"/>
      <c r="O369" s="62" t="s">
        <v>1239</v>
      </c>
      <c r="P369" s="1166"/>
      <c r="Q369" s="234"/>
    </row>
    <row r="370" spans="1:31" ht="11.25" customHeight="1">
      <c r="B370" s="191" t="s">
        <v>2921</v>
      </c>
      <c r="D370" s="191"/>
      <c r="E370" s="191"/>
      <c r="F370" s="191"/>
      <c r="G370" s="191"/>
      <c r="H370" s="50"/>
      <c r="I370" s="179"/>
      <c r="J370" s="179"/>
      <c r="K370" s="179"/>
      <c r="L370" s="737"/>
      <c r="M370" s="737"/>
      <c r="N370" s="737"/>
      <c r="O370" s="737"/>
      <c r="P370" s="737"/>
      <c r="Q370" s="63"/>
    </row>
    <row r="371" spans="1:31" ht="11.45" customHeight="1">
      <c r="A371" s="1152" t="s">
        <v>4006</v>
      </c>
      <c r="B371" s="1153"/>
      <c r="C371" s="1153"/>
      <c r="D371" s="1153"/>
      <c r="E371" s="1153"/>
      <c r="F371" s="1153"/>
      <c r="G371" s="1153"/>
      <c r="H371" s="1153"/>
      <c r="I371" s="1153"/>
      <c r="J371" s="1153"/>
      <c r="K371" s="1153"/>
      <c r="L371" s="1153"/>
      <c r="M371" s="1153"/>
      <c r="N371" s="1153"/>
      <c r="O371" s="1153"/>
      <c r="P371" s="1153"/>
      <c r="Q371" s="1154"/>
      <c r="R371" s="998" t="s">
        <v>1933</v>
      </c>
      <c r="S371" s="998"/>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8"/>
      <c r="S372" s="998"/>
    </row>
    <row r="373" spans="1:31" s="31" customFormat="1" ht="3" customHeight="1">
      <c r="C373" s="134"/>
      <c r="D373" s="134"/>
      <c r="R373" s="998"/>
      <c r="S373" s="998"/>
    </row>
    <row r="374" spans="1:31" ht="11.25" customHeight="1">
      <c r="B374" s="187" t="s">
        <v>2922</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1">
        <v>24</v>
      </c>
      <c r="B378" s="5" t="s">
        <v>2530</v>
      </c>
      <c r="C378" s="5"/>
      <c r="D378" s="5"/>
      <c r="E378" s="740"/>
      <c r="F378" s="190" t="s">
        <v>1058</v>
      </c>
      <c r="G378" s="740"/>
      <c r="H378" s="740"/>
      <c r="I378" s="740"/>
      <c r="J378" s="740"/>
      <c r="K378" s="740"/>
      <c r="L378" s="740"/>
      <c r="M378" s="740"/>
      <c r="O378" s="180" t="s">
        <v>2923</v>
      </c>
      <c r="P378" s="992"/>
      <c r="Q378" s="1009"/>
    </row>
    <row r="379" spans="1:31" ht="12" customHeight="1">
      <c r="A379" s="194"/>
      <c r="B379" s="57" t="s">
        <v>3060</v>
      </c>
      <c r="C379" s="65" t="s">
        <v>2127</v>
      </c>
      <c r="D379" s="743"/>
      <c r="E379" s="743"/>
      <c r="H379" s="190"/>
      <c r="O379" s="62" t="s">
        <v>3060</v>
      </c>
      <c r="P379" s="1166"/>
      <c r="Q379" s="234"/>
    </row>
    <row r="380" spans="1:31" ht="12" customHeight="1">
      <c r="A380" s="194"/>
      <c r="B380" s="57" t="s">
        <v>3063</v>
      </c>
      <c r="C380" s="65" t="s">
        <v>1242</v>
      </c>
      <c r="D380" s="743"/>
      <c r="E380" s="743"/>
      <c r="O380" s="62" t="s">
        <v>3063</v>
      </c>
      <c r="P380" s="1166"/>
      <c r="Q380" s="234"/>
    </row>
    <row r="381" spans="1:31" ht="12" customHeight="1">
      <c r="A381" s="194"/>
      <c r="B381" s="57" t="s">
        <v>1239</v>
      </c>
      <c r="C381" s="65" t="s">
        <v>1243</v>
      </c>
      <c r="D381" s="743"/>
      <c r="E381" s="743"/>
      <c r="O381" s="62" t="s">
        <v>1239</v>
      </c>
      <c r="P381" s="1166" t="s">
        <v>3925</v>
      </c>
      <c r="Q381" s="234"/>
    </row>
    <row r="382" spans="1:31" ht="12" customHeight="1">
      <c r="A382" s="194"/>
      <c r="B382" s="57" t="s">
        <v>3212</v>
      </c>
      <c r="C382" s="65" t="s">
        <v>878</v>
      </c>
      <c r="E382" s="190"/>
      <c r="O382" s="62" t="s">
        <v>3212</v>
      </c>
      <c r="P382" s="1166"/>
      <c r="Q382" s="234"/>
    </row>
    <row r="383" spans="1:31" ht="12" customHeight="1">
      <c r="B383" s="57" t="s">
        <v>2763</v>
      </c>
      <c r="C383" s="65" t="s">
        <v>3175</v>
      </c>
      <c r="E383" s="190"/>
      <c r="G383" s="62" t="s">
        <v>2763</v>
      </c>
      <c r="H383" s="1236"/>
      <c r="I383" s="1237"/>
      <c r="J383" s="1237"/>
      <c r="K383" s="1237"/>
      <c r="L383" s="1237"/>
      <c r="M383" s="1237"/>
      <c r="N383" s="1237"/>
      <c r="O383" s="1238"/>
      <c r="P383" s="1166"/>
      <c r="Q383" s="234"/>
    </row>
    <row r="384" spans="1:31" ht="11.25" customHeight="1">
      <c r="B384" s="191" t="s">
        <v>2921</v>
      </c>
      <c r="D384" s="191"/>
      <c r="E384" s="191"/>
      <c r="F384" s="191"/>
      <c r="G384" s="191"/>
      <c r="H384" s="50"/>
      <c r="I384" s="179"/>
      <c r="J384" s="179"/>
      <c r="K384" s="179"/>
      <c r="L384" s="737"/>
      <c r="M384" s="737"/>
      <c r="N384" s="737"/>
      <c r="O384" s="737"/>
      <c r="P384" s="737"/>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2922</v>
      </c>
      <c r="C386" s="188"/>
      <c r="D386" s="740"/>
      <c r="E386" s="740"/>
      <c r="F386" s="740"/>
      <c r="G386" s="740"/>
      <c r="H386" s="740"/>
      <c r="I386" s="740"/>
      <c r="J386" s="740"/>
      <c r="K386" s="740"/>
      <c r="L386" s="740"/>
      <c r="M386" s="740"/>
      <c r="N386" s="740"/>
      <c r="O386" s="740"/>
      <c r="P386" s="740"/>
      <c r="Q386" s="740"/>
    </row>
    <row r="387" spans="1:31" ht="11.45" customHeight="1">
      <c r="A387" s="1013"/>
      <c r="B387" s="1014"/>
      <c r="C387" s="1014"/>
      <c r="D387" s="1014"/>
      <c r="E387" s="1014"/>
      <c r="F387" s="1014"/>
      <c r="G387" s="1014"/>
      <c r="H387" s="1014"/>
      <c r="I387" s="1014"/>
      <c r="J387" s="1014"/>
      <c r="K387" s="1014"/>
      <c r="L387" s="1014"/>
      <c r="M387" s="1014"/>
      <c r="N387" s="1014"/>
      <c r="O387" s="1014"/>
      <c r="P387" s="1014"/>
      <c r="Q387" s="1015"/>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1">
        <v>25</v>
      </c>
      <c r="B389" s="1012" t="s">
        <v>3756</v>
      </c>
      <c r="C389" s="1012"/>
      <c r="D389" s="1012"/>
      <c r="E389" s="1012"/>
      <c r="F389" s="1012"/>
      <c r="G389" s="1012"/>
      <c r="H389" s="740"/>
      <c r="I389" s="740"/>
      <c r="J389" s="740"/>
      <c r="K389" s="740"/>
      <c r="L389" s="740"/>
      <c r="M389" s="740"/>
      <c r="O389" s="180" t="s">
        <v>2923</v>
      </c>
      <c r="P389" s="992"/>
      <c r="Q389" s="1009"/>
    </row>
    <row r="390" spans="1:31" ht="23.45" customHeight="1">
      <c r="A390" s="189"/>
      <c r="B390" s="192" t="s">
        <v>3060</v>
      </c>
      <c r="C390" s="994" t="s">
        <v>908</v>
      </c>
      <c r="D390" s="994"/>
      <c r="E390" s="994"/>
      <c r="F390" s="994"/>
      <c r="G390" s="994"/>
      <c r="H390" s="994"/>
      <c r="I390" s="994"/>
      <c r="J390" s="994"/>
      <c r="K390" s="994"/>
      <c r="L390" s="994"/>
      <c r="M390" s="994"/>
      <c r="N390" s="994"/>
      <c r="O390" s="221" t="s">
        <v>3060</v>
      </c>
      <c r="P390" s="1166" t="s">
        <v>3972</v>
      </c>
      <c r="Q390" s="234"/>
    </row>
    <row r="391" spans="1:31" ht="12" customHeight="1">
      <c r="A391" s="189"/>
      <c r="B391" s="57" t="s">
        <v>3063</v>
      </c>
      <c r="C391" s="197" t="s">
        <v>853</v>
      </c>
      <c r="D391" s="740"/>
      <c r="E391" s="740"/>
      <c r="F391" s="740"/>
      <c r="G391" s="740"/>
      <c r="H391" s="740"/>
      <c r="I391" s="740"/>
      <c r="J391" s="740"/>
      <c r="K391" s="740"/>
      <c r="L391" s="740"/>
      <c r="M391" s="740"/>
      <c r="O391" s="62" t="s">
        <v>3063</v>
      </c>
      <c r="P391" s="1166" t="s">
        <v>3925</v>
      </c>
      <c r="Q391" s="234"/>
    </row>
    <row r="392" spans="1:31" ht="11.25" customHeight="1">
      <c r="B392" s="131" t="s">
        <v>2921</v>
      </c>
      <c r="D392" s="131"/>
      <c r="E392" s="131"/>
      <c r="F392" s="131"/>
      <c r="G392" s="131"/>
      <c r="H392" s="50"/>
      <c r="I392" s="179"/>
      <c r="J392" s="179"/>
      <c r="K392" s="187" t="s">
        <v>2922</v>
      </c>
      <c r="L392" s="737"/>
      <c r="M392" s="737"/>
      <c r="N392" s="737"/>
      <c r="O392" s="237"/>
      <c r="P392" s="737"/>
      <c r="Q392" s="63"/>
    </row>
    <row r="393" spans="1:31" ht="11.45" customHeight="1">
      <c r="A393" s="1159"/>
      <c r="B393" s="1160"/>
      <c r="C393" s="1160"/>
      <c r="D393" s="1160"/>
      <c r="E393" s="1160"/>
      <c r="F393" s="1160"/>
      <c r="G393" s="1160"/>
      <c r="H393" s="1160"/>
      <c r="I393" s="1160"/>
      <c r="J393" s="1161"/>
      <c r="K393" s="1013"/>
      <c r="L393" s="1014"/>
      <c r="M393" s="1014"/>
      <c r="N393" s="1014"/>
      <c r="O393" s="1014"/>
      <c r="P393" s="1014"/>
      <c r="Q393" s="1015"/>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012" t="s">
        <v>2005</v>
      </c>
      <c r="C395" s="1012"/>
      <c r="D395" s="1012"/>
      <c r="E395" s="1012"/>
      <c r="F395" s="1012"/>
      <c r="G395" s="1012"/>
      <c r="H395" s="740"/>
      <c r="I395" s="740"/>
      <c r="J395" s="740"/>
      <c r="K395" s="740"/>
      <c r="L395" s="740"/>
      <c r="M395" s="740"/>
      <c r="O395" s="180" t="s">
        <v>2923</v>
      </c>
      <c r="P395" s="992"/>
      <c r="Q395" s="1009"/>
    </row>
    <row r="396" spans="1:31" ht="12" customHeight="1">
      <c r="A396" s="52"/>
      <c r="B396" s="57" t="s">
        <v>3060</v>
      </c>
      <c r="C396" s="49" t="s">
        <v>1244</v>
      </c>
      <c r="D396" s="52"/>
      <c r="E396" s="52"/>
      <c r="F396" s="52"/>
      <c r="G396" s="52"/>
      <c r="H396" s="52"/>
      <c r="I396" s="52"/>
      <c r="J396" s="52"/>
      <c r="K396" s="52"/>
      <c r="L396" s="52"/>
      <c r="M396" s="52"/>
      <c r="N396" s="52"/>
      <c r="O396" s="62" t="s">
        <v>3060</v>
      </c>
      <c r="P396" s="1166" t="s">
        <v>3924</v>
      </c>
      <c r="Q396" s="234"/>
    </row>
    <row r="397" spans="1:31" ht="12" customHeight="1">
      <c r="A397" s="52"/>
      <c r="B397" s="57" t="s">
        <v>3063</v>
      </c>
      <c r="C397" s="49" t="s">
        <v>3314</v>
      </c>
      <c r="D397" s="52"/>
      <c r="E397" s="52"/>
      <c r="F397" s="52"/>
      <c r="G397" s="52"/>
      <c r="H397" s="52"/>
      <c r="I397" s="52"/>
      <c r="J397" s="52"/>
      <c r="K397" s="52"/>
      <c r="L397" s="52"/>
      <c r="M397" s="52"/>
      <c r="N397" s="52"/>
      <c r="O397" s="62" t="s">
        <v>2171</v>
      </c>
      <c r="P397" s="1166" t="s">
        <v>3924</v>
      </c>
      <c r="Q397" s="234"/>
    </row>
    <row r="398" spans="1:31" ht="12" customHeight="1">
      <c r="A398" s="52"/>
      <c r="B398" s="57"/>
      <c r="C398" s="65" t="s">
        <v>2227</v>
      </c>
      <c r="D398" s="65"/>
      <c r="E398" s="65"/>
      <c r="F398" s="65"/>
      <c r="G398" s="65"/>
      <c r="H398" s="65"/>
      <c r="I398" s="65"/>
      <c r="J398" s="65"/>
      <c r="K398" s="65"/>
      <c r="L398" s="65"/>
      <c r="M398" s="65"/>
      <c r="N398" s="52"/>
    </row>
    <row r="399" spans="1:31" ht="12" customHeight="1">
      <c r="A399" s="52"/>
      <c r="B399" s="57"/>
      <c r="C399" s="65" t="s">
        <v>3315</v>
      </c>
      <c r="D399" s="65"/>
      <c r="E399" s="65"/>
      <c r="F399" s="65"/>
      <c r="G399" s="65"/>
      <c r="H399" s="65"/>
      <c r="I399" s="65"/>
      <c r="J399" s="65"/>
      <c r="K399" s="65"/>
      <c r="L399" s="65"/>
      <c r="M399" s="65"/>
      <c r="N399" s="52"/>
      <c r="O399" s="62" t="s">
        <v>2766</v>
      </c>
      <c r="P399" s="1166"/>
      <c r="Q399" s="234"/>
    </row>
    <row r="400" spans="1:31" ht="12" customHeight="1">
      <c r="A400" s="52"/>
      <c r="B400" s="57" t="s">
        <v>1239</v>
      </c>
      <c r="C400" s="977" t="s">
        <v>3313</v>
      </c>
      <c r="D400" s="977"/>
      <c r="E400" s="977"/>
      <c r="F400" s="977"/>
      <c r="G400" s="977"/>
      <c r="H400" s="977"/>
      <c r="I400" s="977"/>
      <c r="J400" s="977"/>
      <c r="K400" s="977"/>
      <c r="L400" s="977"/>
      <c r="M400" s="977"/>
      <c r="N400" s="977"/>
      <c r="O400" s="62" t="s">
        <v>1239</v>
      </c>
      <c r="P400" s="1166"/>
      <c r="Q400" s="234"/>
    </row>
    <row r="401" spans="1:31" ht="12" customHeight="1">
      <c r="A401" s="52"/>
      <c r="B401" s="57" t="s">
        <v>3212</v>
      </c>
      <c r="C401" s="40" t="s">
        <v>151</v>
      </c>
      <c r="D401" s="40"/>
      <c r="E401" s="40"/>
      <c r="F401" s="40"/>
      <c r="G401" s="40"/>
      <c r="H401" s="40"/>
      <c r="I401" s="40"/>
      <c r="J401" s="40"/>
      <c r="K401" s="40"/>
      <c r="L401" s="40"/>
      <c r="M401" s="40"/>
      <c r="N401" s="52"/>
      <c r="O401" s="62" t="s">
        <v>3212</v>
      </c>
      <c r="P401" s="52"/>
      <c r="Q401" s="52"/>
    </row>
    <row r="402" spans="1:31" ht="12" customHeight="1">
      <c r="A402" s="52"/>
      <c r="B402" s="57"/>
      <c r="C402" s="183" t="s">
        <v>3316</v>
      </c>
      <c r="D402" s="52"/>
      <c r="E402" s="52"/>
      <c r="F402" s="40"/>
      <c r="G402" s="40"/>
      <c r="H402" s="52"/>
      <c r="K402" s="40"/>
      <c r="L402" s="40"/>
      <c r="M402" s="40"/>
      <c r="N402" s="52"/>
      <c r="O402" s="62" t="s">
        <v>2765</v>
      </c>
      <c r="P402" s="1275"/>
      <c r="Q402" s="706" t="s">
        <v>311</v>
      </c>
    </row>
    <row r="403" spans="1:31" ht="12" customHeight="1">
      <c r="A403" s="52"/>
      <c r="B403" s="57"/>
      <c r="C403" s="183" t="s">
        <v>3317</v>
      </c>
      <c r="D403" s="52"/>
      <c r="E403" s="52"/>
      <c r="F403" s="40"/>
      <c r="G403" s="40"/>
      <c r="H403" s="52"/>
      <c r="K403" s="40"/>
      <c r="L403" s="40"/>
      <c r="M403" s="40"/>
      <c r="N403" s="52"/>
      <c r="O403" s="62" t="s">
        <v>2766</v>
      </c>
      <c r="P403" s="1275"/>
      <c r="Q403" s="706"/>
    </row>
    <row r="404" spans="1:31" ht="12" customHeight="1">
      <c r="A404" s="52"/>
      <c r="B404" s="57"/>
      <c r="C404" s="183" t="s">
        <v>3318</v>
      </c>
      <c r="D404" s="52"/>
      <c r="E404" s="52"/>
      <c r="F404" s="40"/>
      <c r="G404" s="40"/>
      <c r="H404" s="52"/>
      <c r="K404" s="40"/>
      <c r="L404" s="40"/>
      <c r="M404" s="40"/>
      <c r="N404" s="52"/>
      <c r="O404" s="62" t="s">
        <v>2767</v>
      </c>
      <c r="P404" s="1275"/>
      <c r="Q404" s="706" t="s">
        <v>311</v>
      </c>
    </row>
    <row r="405" spans="1:31" ht="12" customHeight="1">
      <c r="A405" s="52"/>
      <c r="B405" s="57"/>
      <c r="C405" s="183" t="s">
        <v>3319</v>
      </c>
      <c r="D405" s="52"/>
      <c r="E405" s="52"/>
      <c r="F405" s="40"/>
      <c r="G405" s="40"/>
      <c r="H405" s="52"/>
      <c r="K405" s="40"/>
      <c r="L405" s="40"/>
      <c r="M405" s="40"/>
      <c r="N405" s="52"/>
      <c r="O405" s="62" t="s">
        <v>3571</v>
      </c>
      <c r="P405" s="1275"/>
      <c r="Q405" s="706" t="s">
        <v>311</v>
      </c>
    </row>
    <row r="406" spans="1:31" ht="12" customHeight="1">
      <c r="A406" s="52"/>
      <c r="B406" s="57"/>
      <c r="C406" s="183" t="s">
        <v>3320</v>
      </c>
      <c r="D406" s="52"/>
      <c r="E406" s="52"/>
      <c r="F406" s="40"/>
      <c r="G406" s="40"/>
      <c r="H406" s="52"/>
      <c r="K406" s="40"/>
      <c r="L406" s="40"/>
      <c r="M406" s="40"/>
      <c r="N406" s="52"/>
      <c r="O406" s="62" t="s">
        <v>2304</v>
      </c>
      <c r="P406" s="1275"/>
      <c r="Q406" s="706" t="s">
        <v>311</v>
      </c>
    </row>
    <row r="407" spans="1:31" ht="12" customHeight="1">
      <c r="A407" s="52"/>
      <c r="B407" s="57" t="s">
        <v>2763</v>
      </c>
      <c r="C407" s="40" t="s">
        <v>3614</v>
      </c>
      <c r="D407" s="40"/>
      <c r="E407" s="40"/>
      <c r="F407" s="40"/>
      <c r="G407" s="40"/>
      <c r="J407" s="52"/>
      <c r="K407" s="40"/>
      <c r="L407" s="40"/>
      <c r="M407" s="40"/>
      <c r="N407" s="52"/>
      <c r="O407" s="62" t="s">
        <v>2763</v>
      </c>
      <c r="P407" s="62"/>
      <c r="Q407" s="62"/>
    </row>
    <row r="408" spans="1:31" ht="12" customHeight="1">
      <c r="A408" s="52"/>
      <c r="B408" s="57"/>
      <c r="C408" s="1276" t="s">
        <v>3321</v>
      </c>
      <c r="D408" s="40"/>
      <c r="E408" s="40"/>
      <c r="F408" s="40"/>
      <c r="G408" s="40"/>
      <c r="J408" s="52"/>
      <c r="K408" s="40"/>
      <c r="L408" s="40"/>
      <c r="M408" s="40"/>
      <c r="N408" s="52"/>
      <c r="O408" s="62" t="s">
        <v>2765</v>
      </c>
      <c r="P408" s="1166"/>
      <c r="Q408" s="234"/>
    </row>
    <row r="409" spans="1:31" ht="12" customHeight="1">
      <c r="A409" s="52"/>
      <c r="B409" s="57"/>
      <c r="C409" s="1276" t="s">
        <v>1827</v>
      </c>
      <c r="D409" s="40"/>
      <c r="E409" s="40"/>
      <c r="F409" s="40"/>
      <c r="G409" s="40"/>
      <c r="N409" s="52"/>
      <c r="O409" s="62" t="s">
        <v>2766</v>
      </c>
      <c r="P409" s="1166"/>
      <c r="Q409" s="234"/>
    </row>
    <row r="410" spans="1:31" ht="12" customHeight="1">
      <c r="A410" s="52"/>
      <c r="C410" s="1276" t="s">
        <v>1828</v>
      </c>
      <c r="D410" s="65"/>
      <c r="E410" s="65"/>
      <c r="F410" s="65"/>
      <c r="G410" s="65"/>
      <c r="J410" s="52"/>
      <c r="K410" s="65"/>
      <c r="L410" s="65"/>
      <c r="M410" s="65"/>
      <c r="N410" s="52"/>
      <c r="O410" s="62" t="s">
        <v>2767</v>
      </c>
      <c r="P410" s="1166"/>
      <c r="Q410" s="234"/>
    </row>
    <row r="411" spans="1:31" ht="12" customHeight="1">
      <c r="A411" s="52"/>
      <c r="B411" s="57"/>
      <c r="C411" s="1276" t="s">
        <v>3384</v>
      </c>
      <c r="D411" s="65"/>
      <c r="E411" s="65"/>
      <c r="F411" s="65"/>
      <c r="G411" s="62" t="s">
        <v>3571</v>
      </c>
      <c r="H411" s="1277"/>
      <c r="I411" s="1278"/>
      <c r="J411" s="1278"/>
      <c r="K411" s="1278"/>
      <c r="L411" s="1278"/>
      <c r="M411" s="1278"/>
      <c r="N411" s="1278"/>
      <c r="O411" s="1242"/>
      <c r="P411" s="1166"/>
      <c r="Q411" s="234"/>
    </row>
    <row r="412" spans="1:31" ht="12" customHeight="1">
      <c r="B412" s="191" t="s">
        <v>2921</v>
      </c>
      <c r="D412" s="191"/>
      <c r="E412" s="191"/>
      <c r="F412" s="191"/>
      <c r="G412" s="191"/>
      <c r="H412" s="50"/>
      <c r="I412" s="179"/>
      <c r="J412" s="179"/>
      <c r="K412" s="179"/>
      <c r="L412" s="737"/>
      <c r="M412" s="737"/>
      <c r="N412" s="737"/>
      <c r="O412" s="737"/>
      <c r="P412" s="737"/>
      <c r="Q412" s="63"/>
    </row>
    <row r="413" spans="1:31" ht="12" customHeight="1">
      <c r="A413" s="1152"/>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2922</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7"/>
      <c r="B419" s="179"/>
      <c r="C419" s="740"/>
      <c r="D419" s="740"/>
      <c r="E419" s="740"/>
      <c r="F419" s="740"/>
      <c r="G419" s="740"/>
      <c r="H419" s="740"/>
      <c r="I419" s="740"/>
      <c r="J419" s="740"/>
      <c r="K419" s="740"/>
      <c r="L419" s="740"/>
      <c r="M419" s="740"/>
      <c r="Q419" s="63"/>
    </row>
    <row r="420" spans="1:31" ht="13.9" customHeight="1">
      <c r="A420" s="741">
        <v>27</v>
      </c>
      <c r="B420" s="5" t="s">
        <v>3123</v>
      </c>
      <c r="C420" s="5"/>
      <c r="D420" s="118"/>
      <c r="E420" s="740"/>
      <c r="F420" s="740"/>
      <c r="G420" s="740"/>
      <c r="H420" s="740"/>
      <c r="O420" s="180" t="s">
        <v>2923</v>
      </c>
      <c r="P420" s="992"/>
      <c r="Q420" s="993"/>
    </row>
    <row r="421" spans="1:31" ht="13.15" customHeight="1">
      <c r="B421" s="57" t="s">
        <v>3060</v>
      </c>
      <c r="C421" s="49" t="s">
        <v>888</v>
      </c>
      <c r="D421" s="52"/>
      <c r="E421" s="52"/>
      <c r="F421" s="52"/>
      <c r="G421" s="52"/>
      <c r="H421" s="52"/>
      <c r="I421" s="52"/>
      <c r="J421" s="52"/>
      <c r="K421" s="52"/>
      <c r="L421" s="52"/>
      <c r="M421" s="52"/>
      <c r="O421" s="62" t="s">
        <v>3060</v>
      </c>
      <c r="P421" s="1166" t="s">
        <v>3972</v>
      </c>
      <c r="Q421" s="234"/>
    </row>
    <row r="422" spans="1:31" ht="13.15" customHeight="1">
      <c r="B422" s="57" t="s">
        <v>3063</v>
      </c>
      <c r="C422" s="49" t="s">
        <v>889</v>
      </c>
      <c r="D422" s="52"/>
      <c r="E422" s="52"/>
      <c r="F422" s="52"/>
      <c r="G422" s="52"/>
      <c r="H422" s="52"/>
      <c r="I422" s="52"/>
      <c r="J422" s="52"/>
      <c r="K422" s="52"/>
      <c r="L422" s="52"/>
      <c r="M422" s="52"/>
      <c r="O422" s="62" t="s">
        <v>3063</v>
      </c>
      <c r="P422" s="1166" t="s">
        <v>3972</v>
      </c>
      <c r="Q422" s="234"/>
    </row>
    <row r="423" spans="1:31" ht="24" customHeight="1">
      <c r="B423" s="192" t="s">
        <v>1239</v>
      </c>
      <c r="C423" s="1008" t="s">
        <v>890</v>
      </c>
      <c r="D423" s="1008"/>
      <c r="E423" s="1008"/>
      <c r="F423" s="1008"/>
      <c r="G423" s="1008"/>
      <c r="H423" s="1008"/>
      <c r="I423" s="1008"/>
      <c r="J423" s="1008"/>
      <c r="K423" s="1008"/>
      <c r="L423" s="1008"/>
      <c r="M423" s="1008"/>
      <c r="N423" s="1008"/>
      <c r="O423" s="221" t="s">
        <v>1239</v>
      </c>
      <c r="P423" s="1252" t="s">
        <v>3972</v>
      </c>
      <c r="Q423" s="353"/>
    </row>
    <row r="424" spans="1:31" ht="11.25" customHeight="1">
      <c r="B424" s="191" t="s">
        <v>2921</v>
      </c>
      <c r="D424" s="191"/>
      <c r="E424" s="191"/>
      <c r="F424" s="191"/>
      <c r="G424" s="191"/>
      <c r="H424" s="50"/>
      <c r="I424" s="179"/>
      <c r="J424" s="179"/>
      <c r="K424" s="179"/>
      <c r="L424" s="737"/>
      <c r="M424" s="737"/>
      <c r="N424" s="737"/>
      <c r="O424" s="737"/>
      <c r="P424" s="737"/>
      <c r="Q424" s="63"/>
    </row>
    <row r="425" spans="1:31" ht="11.45" customHeight="1">
      <c r="A425" s="1152"/>
      <c r="B425" s="1153"/>
      <c r="C425" s="1153"/>
      <c r="D425" s="1153"/>
      <c r="E425" s="1153"/>
      <c r="F425" s="1153"/>
      <c r="G425" s="1153"/>
      <c r="H425" s="1153"/>
      <c r="I425" s="1153"/>
      <c r="J425" s="1153"/>
      <c r="K425" s="1153"/>
      <c r="L425" s="1153"/>
      <c r="M425" s="1153"/>
      <c r="N425" s="1153"/>
      <c r="O425" s="1153"/>
      <c r="P425" s="1153"/>
      <c r="Q425" s="1154"/>
      <c r="R425" s="998" t="s">
        <v>1933</v>
      </c>
      <c r="S425" s="998"/>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8"/>
      <c r="S426" s="998"/>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8"/>
      <c r="S427" s="998"/>
    </row>
    <row r="428" spans="1:31" ht="11.25" customHeight="1">
      <c r="B428" s="187" t="s">
        <v>2922</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7"/>
      <c r="B432" s="179"/>
      <c r="C432" s="740"/>
      <c r="D432" s="740"/>
      <c r="E432" s="740"/>
      <c r="F432" s="740"/>
      <c r="G432" s="740"/>
      <c r="H432" s="740"/>
      <c r="I432" s="740"/>
      <c r="J432" s="740"/>
      <c r="K432" s="740"/>
      <c r="L432" s="740"/>
      <c r="M432" s="740"/>
      <c r="Q432" s="63"/>
    </row>
    <row r="433" spans="1:31" ht="13.9" customHeight="1">
      <c r="A433" s="741">
        <v>28</v>
      </c>
      <c r="B433" s="5" t="s">
        <v>1355</v>
      </c>
      <c r="C433" s="5"/>
      <c r="D433" s="118"/>
      <c r="E433" s="740"/>
      <c r="F433" s="740"/>
      <c r="G433" s="740"/>
      <c r="H433" s="740"/>
      <c r="I433" s="740"/>
      <c r="J433" s="740"/>
      <c r="K433" s="740"/>
      <c r="L433" s="740"/>
      <c r="M433" s="740"/>
      <c r="O433" s="180" t="s">
        <v>2923</v>
      </c>
      <c r="P433" s="992"/>
      <c r="Q433" s="993"/>
    </row>
    <row r="434" spans="1:31" ht="11.25" customHeight="1">
      <c r="A434" s="741"/>
      <c r="B434" s="191" t="s">
        <v>2921</v>
      </c>
      <c r="D434" s="191"/>
      <c r="E434" s="191"/>
      <c r="F434" s="191"/>
      <c r="G434" s="191"/>
      <c r="H434" s="50"/>
      <c r="I434" s="179"/>
      <c r="J434" s="179"/>
      <c r="K434" s="179"/>
      <c r="L434" s="737"/>
      <c r="M434" s="737"/>
      <c r="N434" s="737"/>
      <c r="O434" s="737"/>
      <c r="P434" s="737"/>
      <c r="Q434" s="63"/>
    </row>
    <row r="435" spans="1:31" ht="60.75" customHeight="1">
      <c r="A435" s="1152" t="s">
        <v>4007</v>
      </c>
      <c r="B435" s="1153"/>
      <c r="C435" s="1153"/>
      <c r="D435" s="1153"/>
      <c r="E435" s="1153"/>
      <c r="F435" s="1153"/>
      <c r="G435" s="1153"/>
      <c r="H435" s="1153"/>
      <c r="I435" s="1153"/>
      <c r="J435" s="1153"/>
      <c r="K435" s="1153"/>
      <c r="L435" s="1153"/>
      <c r="M435" s="1153"/>
      <c r="N435" s="1153"/>
      <c r="O435" s="1153"/>
      <c r="P435" s="1153"/>
      <c r="Q435" s="1154"/>
      <c r="R435" s="998" t="s">
        <v>1933</v>
      </c>
      <c r="S435" s="998"/>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98"/>
      <c r="S436" s="998"/>
    </row>
    <row r="437" spans="1:31" ht="11.25" customHeight="1">
      <c r="B437" s="187" t="s">
        <v>2922</v>
      </c>
      <c r="C437" s="188"/>
      <c r="D437" s="740"/>
      <c r="E437" s="740"/>
      <c r="F437" s="740"/>
      <c r="G437" s="740"/>
      <c r="H437" s="740"/>
      <c r="I437" s="740"/>
      <c r="J437" s="740"/>
      <c r="K437" s="740"/>
      <c r="L437" s="740"/>
      <c r="M437" s="740"/>
      <c r="N437" s="740"/>
      <c r="O437" s="740"/>
      <c r="P437" s="740"/>
      <c r="Q437" s="740"/>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1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79"/>
      <c r="B445" s="1279" t="s">
        <v>1239</v>
      </c>
      <c r="C445" s="1279" t="s">
        <v>796</v>
      </c>
      <c r="D445" s="1279"/>
      <c r="E445" s="1279"/>
      <c r="F445" s="1279"/>
      <c r="G445" s="1279"/>
      <c r="H445" s="1279"/>
      <c r="I445" s="1279"/>
      <c r="J445" s="1279"/>
      <c r="K445" s="1279"/>
      <c r="L445" s="1279"/>
      <c r="M445" s="1279"/>
      <c r="N445" s="1279"/>
      <c r="O445" s="1279" t="s">
        <v>1239</v>
      </c>
      <c r="P445" s="1279"/>
      <c r="Q445" s="1279"/>
    </row>
    <row r="446" spans="1:31" ht="12" customHeight="1">
      <c r="A446" s="1279"/>
      <c r="B446" s="1279"/>
      <c r="C446" s="1279" t="s">
        <v>2765</v>
      </c>
      <c r="D446" s="1279" t="s">
        <v>884</v>
      </c>
      <c r="E446" s="1279"/>
      <c r="F446" s="1279"/>
      <c r="G446" s="1279"/>
      <c r="H446" s="1279"/>
      <c r="I446" s="1279"/>
      <c r="J446" s="1279"/>
      <c r="K446" s="1279"/>
      <c r="L446" s="1279"/>
      <c r="M446" s="1279"/>
      <c r="N446" s="1279"/>
      <c r="O446" s="1279" t="s">
        <v>2765</v>
      </c>
      <c r="P446" s="1279"/>
      <c r="Q446" s="1279"/>
    </row>
    <row r="447" spans="1:31" ht="12" customHeight="1">
      <c r="A447" s="1279"/>
      <c r="B447" s="1279"/>
      <c r="C447" s="1279" t="s">
        <v>2766</v>
      </c>
      <c r="D447" s="1279" t="s">
        <v>0</v>
      </c>
      <c r="E447" s="1279"/>
      <c r="F447" s="1279"/>
      <c r="G447" s="1279"/>
      <c r="H447" s="1279"/>
      <c r="I447" s="1279"/>
      <c r="J447" s="1279"/>
      <c r="K447" s="1279"/>
      <c r="L447" s="1279"/>
      <c r="M447" s="1279"/>
      <c r="N447" s="1279"/>
      <c r="O447" s="1279" t="s">
        <v>2766</v>
      </c>
      <c r="P447" s="1279"/>
      <c r="Q447" s="1279"/>
    </row>
    <row r="448" spans="1:31" ht="12" customHeight="1">
      <c r="A448" s="1279"/>
      <c r="B448" s="1279"/>
      <c r="C448" s="1279" t="s">
        <v>2767</v>
      </c>
      <c r="D448" s="1279" t="s">
        <v>797</v>
      </c>
      <c r="E448" s="1279"/>
      <c r="F448" s="1279"/>
      <c r="G448" s="1279"/>
      <c r="H448" s="1279"/>
      <c r="I448" s="1279"/>
      <c r="J448" s="1279"/>
      <c r="K448" s="1279"/>
      <c r="L448" s="1279"/>
      <c r="M448" s="1279"/>
      <c r="N448" s="1279"/>
      <c r="O448" s="1279" t="s">
        <v>2767</v>
      </c>
      <c r="P448" s="1279"/>
      <c r="Q448" s="1279"/>
    </row>
    <row r="449" spans="1:19" ht="12" customHeight="1">
      <c r="A449" s="1279"/>
      <c r="B449" s="1279"/>
      <c r="C449" s="1279" t="s">
        <v>3571</v>
      </c>
      <c r="D449" s="1279" t="s">
        <v>798</v>
      </c>
      <c r="E449" s="1279"/>
      <c r="F449" s="1279"/>
      <c r="G449" s="1279"/>
      <c r="H449" s="1279"/>
      <c r="I449" s="1279"/>
      <c r="J449" s="1279"/>
      <c r="K449" s="1279"/>
      <c r="L449" s="1279"/>
      <c r="M449" s="1279"/>
      <c r="N449" s="1279"/>
      <c r="O449" s="1279" t="s">
        <v>3571</v>
      </c>
      <c r="P449" s="1279"/>
      <c r="Q449" s="1279"/>
    </row>
    <row r="450" spans="1:19" ht="12" customHeight="1">
      <c r="A450" s="1279"/>
      <c r="B450" s="1279"/>
      <c r="C450" s="1279" t="s">
        <v>2304</v>
      </c>
      <c r="D450" s="1279" t="s">
        <v>799</v>
      </c>
      <c r="E450" s="1279"/>
      <c r="F450" s="1279"/>
      <c r="G450" s="1279"/>
      <c r="H450" s="1279"/>
      <c r="I450" s="1279"/>
      <c r="J450" s="1279"/>
      <c r="K450" s="1279"/>
      <c r="L450" s="1279"/>
      <c r="M450" s="1279"/>
      <c r="N450" s="1279"/>
      <c r="O450" s="1279" t="s">
        <v>2304</v>
      </c>
      <c r="P450" s="1279"/>
      <c r="Q450" s="1279"/>
    </row>
    <row r="451" spans="1:19" ht="12" customHeight="1">
      <c r="A451" s="1279"/>
      <c r="B451" s="1279"/>
      <c r="C451" s="1279" t="s">
        <v>2305</v>
      </c>
      <c r="D451" s="1279" t="s">
        <v>2357</v>
      </c>
      <c r="E451" s="1279"/>
      <c r="F451" s="1279"/>
      <c r="G451" s="1279"/>
      <c r="H451" s="1279"/>
      <c r="I451" s="1279"/>
      <c r="J451" s="1279"/>
      <c r="K451" s="1279"/>
      <c r="L451" s="1279"/>
      <c r="M451" s="1279"/>
      <c r="N451" s="1279"/>
      <c r="O451" s="1279" t="s">
        <v>2305</v>
      </c>
      <c r="P451" s="1279"/>
      <c r="Q451" s="1279"/>
    </row>
    <row r="452" spans="1:19" ht="12" customHeight="1">
      <c r="A452" s="1279"/>
      <c r="B452" s="1279"/>
      <c r="C452" s="1279" t="s">
        <v>112</v>
      </c>
      <c r="D452" s="1279" t="s">
        <v>800</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790</v>
      </c>
      <c r="D453" s="1279" t="s">
        <v>801</v>
      </c>
      <c r="E453" s="1279"/>
      <c r="F453" s="1279"/>
      <c r="G453" s="1279"/>
      <c r="H453" s="1279"/>
      <c r="I453" s="1279"/>
      <c r="J453" s="1279"/>
      <c r="K453" s="1279"/>
      <c r="L453" s="1279"/>
      <c r="M453" s="1279"/>
      <c r="N453" s="1279"/>
      <c r="O453" s="1279" t="s">
        <v>790</v>
      </c>
      <c r="P453" s="1279"/>
      <c r="Q453" s="1279"/>
    </row>
    <row r="454" spans="1:19" ht="12" customHeight="1">
      <c r="A454" s="1279"/>
      <c r="B454" s="1279"/>
      <c r="C454" s="1279" t="s">
        <v>791</v>
      </c>
      <c r="D454" s="1279" t="s">
        <v>2649</v>
      </c>
      <c r="E454" s="1279"/>
      <c r="F454" s="1279"/>
      <c r="G454" s="1279"/>
      <c r="H454" s="1279"/>
      <c r="I454" s="1279"/>
      <c r="J454" s="1279"/>
      <c r="K454" s="1279"/>
      <c r="L454" s="1279"/>
      <c r="M454" s="1279"/>
      <c r="N454" s="1279"/>
      <c r="O454" s="1279" t="s">
        <v>791</v>
      </c>
      <c r="P454" s="1279"/>
      <c r="Q454" s="1279"/>
    </row>
    <row r="455" spans="1:19" ht="12" customHeight="1">
      <c r="A455" s="1279"/>
      <c r="B455" s="1279"/>
      <c r="C455" s="1279" t="s">
        <v>792</v>
      </c>
      <c r="D455" s="1279" t="s">
        <v>2973</v>
      </c>
      <c r="E455" s="1279"/>
      <c r="F455" s="1279"/>
      <c r="G455" s="1279"/>
      <c r="H455" s="1279"/>
      <c r="I455" s="1279"/>
      <c r="J455" s="1279"/>
      <c r="K455" s="1279"/>
      <c r="L455" s="1279"/>
      <c r="M455" s="1279"/>
      <c r="N455" s="1279"/>
      <c r="O455" s="1279" t="s">
        <v>2975</v>
      </c>
      <c r="P455" s="1279"/>
      <c r="Q455" s="1279"/>
    </row>
    <row r="456" spans="1:19" ht="12" customHeight="1">
      <c r="A456" s="1279"/>
      <c r="B456" s="1279"/>
      <c r="C456" s="1279" t="s">
        <v>792</v>
      </c>
      <c r="D456" s="1279" t="s">
        <v>2974</v>
      </c>
      <c r="E456" s="1279"/>
      <c r="F456" s="1279"/>
      <c r="G456" s="1279"/>
      <c r="H456" s="1279"/>
      <c r="I456" s="1279"/>
      <c r="J456" s="1279"/>
      <c r="K456" s="1279"/>
      <c r="L456" s="1279"/>
      <c r="M456" s="1279"/>
      <c r="N456" s="1279"/>
      <c r="O456" s="1279"/>
      <c r="P456" s="1279"/>
      <c r="Q456" s="1279"/>
    </row>
    <row r="457" spans="1:19" ht="12" customHeight="1">
      <c r="A457" s="1279"/>
      <c r="B457" s="1279"/>
      <c r="C457" s="1279" t="s">
        <v>793</v>
      </c>
      <c r="D457" s="1279" t="s">
        <v>2976</v>
      </c>
      <c r="E457" s="1279"/>
      <c r="F457" s="1279"/>
      <c r="G457" s="1279"/>
      <c r="H457" s="1279"/>
      <c r="I457" s="1279"/>
      <c r="J457" s="1279"/>
      <c r="K457" s="1279"/>
      <c r="L457" s="1279"/>
      <c r="M457" s="1279"/>
      <c r="N457" s="1279"/>
      <c r="O457" s="1279" t="s">
        <v>793</v>
      </c>
      <c r="P457" s="1279"/>
      <c r="Q457" s="1279"/>
    </row>
    <row r="458" spans="1:19" ht="12" customHeight="1">
      <c r="A458" s="1279"/>
      <c r="B458" s="1279"/>
      <c r="C458" s="1279" t="s">
        <v>794</v>
      </c>
      <c r="D458" s="1279" t="s">
        <v>2977</v>
      </c>
      <c r="E458" s="1279"/>
      <c r="F458" s="1279"/>
      <c r="G458" s="1279"/>
      <c r="H458" s="1279"/>
      <c r="I458" s="1279"/>
      <c r="J458" s="1279"/>
      <c r="K458" s="1279"/>
      <c r="L458" s="1279"/>
      <c r="M458" s="1279"/>
      <c r="N458" s="1279"/>
      <c r="O458" s="1279" t="s">
        <v>794</v>
      </c>
      <c r="P458" s="1279"/>
      <c r="Q458" s="1279"/>
    </row>
    <row r="459" spans="1:19" ht="12" customHeight="1">
      <c r="A459" s="1279"/>
      <c r="B459" s="1279"/>
      <c r="C459" s="1279" t="s">
        <v>795</v>
      </c>
      <c r="D459" s="1279" t="s">
        <v>2978</v>
      </c>
      <c r="E459" s="1279"/>
      <c r="F459" s="1279"/>
      <c r="G459" s="1279"/>
      <c r="H459" s="1279" t="s">
        <v>2801</v>
      </c>
      <c r="I459" s="1279"/>
      <c r="J459" s="1279"/>
      <c r="K459" s="1279"/>
      <c r="L459" s="1279"/>
      <c r="M459" s="1279"/>
      <c r="N459" s="1279"/>
      <c r="O459" s="1279" t="s">
        <v>795</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2635</v>
      </c>
      <c r="D462" s="113"/>
      <c r="E462" s="113"/>
      <c r="F462" s="113"/>
      <c r="G462" s="113"/>
      <c r="H462" s="113"/>
      <c r="I462" s="113"/>
      <c r="J462" s="113" t="s">
        <v>1629</v>
      </c>
      <c r="K462" s="209"/>
      <c r="L462" s="166"/>
      <c r="M462" s="166"/>
      <c r="N462" s="364"/>
      <c r="O462" s="363"/>
      <c r="P462" s="363"/>
      <c r="Q462" s="218"/>
      <c r="R462" s="218"/>
      <c r="S462" s="218"/>
    </row>
    <row r="463" spans="1:19" s="31" customFormat="1">
      <c r="A463" s="218"/>
      <c r="B463" s="166"/>
      <c r="C463" s="166" t="s">
        <v>3185</v>
      </c>
      <c r="D463" s="166"/>
      <c r="E463" s="166"/>
      <c r="F463" s="166"/>
      <c r="G463" s="166"/>
      <c r="H463" s="166"/>
      <c r="I463" s="166"/>
      <c r="J463" s="166" t="s">
        <v>2801</v>
      </c>
      <c r="K463" s="166"/>
      <c r="L463" s="166"/>
      <c r="M463" s="166"/>
      <c r="N463" s="364"/>
      <c r="O463" s="363"/>
      <c r="P463" s="363"/>
      <c r="Q463" s="218"/>
      <c r="R463" s="218"/>
      <c r="S463" s="218"/>
    </row>
    <row r="464" spans="1:19" s="31" customFormat="1" ht="15">
      <c r="A464" s="218"/>
      <c r="B464" s="166"/>
      <c r="C464" s="113" t="s">
        <v>3843</v>
      </c>
      <c r="D464" s="113"/>
      <c r="E464" s="113"/>
      <c r="F464" s="113"/>
      <c r="G464" s="113"/>
      <c r="H464" s="113"/>
      <c r="I464" s="113"/>
      <c r="J464" s="358" t="s">
        <v>2751</v>
      </c>
      <c r="K464" s="209"/>
      <c r="L464" s="166"/>
      <c r="M464" s="166"/>
      <c r="N464" s="364"/>
      <c r="O464" s="363"/>
      <c r="P464" s="363"/>
      <c r="Q464" s="218"/>
      <c r="R464" s="218"/>
      <c r="S464" s="218"/>
    </row>
    <row r="465" spans="1:19" s="31" customFormat="1" ht="15">
      <c r="A465" s="218"/>
      <c r="B465" s="166"/>
      <c r="C465" s="113" t="s">
        <v>3186</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3187</v>
      </c>
      <c r="D466" s="113"/>
      <c r="E466" s="113"/>
      <c r="F466" s="113"/>
      <c r="G466" s="113"/>
      <c r="H466" s="113"/>
      <c r="I466" s="113"/>
      <c r="J466" s="362" t="s">
        <v>1832</v>
      </c>
      <c r="K466" s="209"/>
      <c r="L466" s="166"/>
      <c r="M466" s="166"/>
      <c r="N466" s="364"/>
      <c r="O466" s="363"/>
      <c r="P466" s="363"/>
      <c r="Q466" s="218"/>
      <c r="R466" s="218"/>
      <c r="S466" s="218"/>
    </row>
    <row r="467" spans="1:19" s="31" customFormat="1" ht="15">
      <c r="A467" s="218"/>
      <c r="B467" s="166"/>
      <c r="C467" s="359" t="s">
        <v>3188</v>
      </c>
      <c r="D467" s="113"/>
      <c r="E467" s="113"/>
      <c r="F467" s="113"/>
      <c r="G467" s="113"/>
      <c r="H467" s="113"/>
      <c r="I467" s="113"/>
      <c r="J467" s="365" t="s">
        <v>3200</v>
      </c>
      <c r="K467" s="209"/>
      <c r="L467" s="166"/>
      <c r="M467" s="166"/>
      <c r="N467" s="364"/>
      <c r="O467" s="363"/>
      <c r="P467" s="363"/>
      <c r="Q467" s="218"/>
      <c r="R467" s="218"/>
      <c r="S467" s="218"/>
    </row>
    <row r="468" spans="1:19" s="31" customFormat="1" ht="15">
      <c r="A468" s="218"/>
      <c r="B468" s="166"/>
      <c r="C468" s="359" t="s">
        <v>3189</v>
      </c>
      <c r="D468" s="113"/>
      <c r="E468" s="113"/>
      <c r="F468" s="113"/>
      <c r="G468" s="113"/>
      <c r="H468" s="113"/>
      <c r="I468" s="113"/>
      <c r="J468" s="358" t="s">
        <v>2647</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1840</v>
      </c>
      <c r="K469" s="209"/>
      <c r="L469" s="166"/>
      <c r="M469" s="166"/>
      <c r="N469" s="364"/>
      <c r="O469" s="363"/>
      <c r="P469" s="363"/>
      <c r="Q469" s="218"/>
      <c r="R469" s="218"/>
      <c r="S469" s="218"/>
    </row>
    <row r="470" spans="1:19" s="31" customFormat="1" ht="15">
      <c r="A470" s="218"/>
      <c r="B470" s="166"/>
      <c r="C470" s="166" t="s">
        <v>2801</v>
      </c>
      <c r="D470" s="113"/>
      <c r="E470" s="113"/>
      <c r="F470" s="113"/>
      <c r="G470" s="113"/>
      <c r="H470" s="113"/>
      <c r="I470" s="113"/>
      <c r="J470" s="358" t="s">
        <v>2644</v>
      </c>
      <c r="K470" s="209"/>
      <c r="L470" s="166"/>
      <c r="M470" s="166"/>
      <c r="N470" s="364"/>
      <c r="O470" s="363"/>
      <c r="P470" s="363"/>
      <c r="Q470" s="218"/>
      <c r="R470" s="218"/>
      <c r="S470" s="218"/>
    </row>
    <row r="471" spans="1:19" s="31" customFormat="1" ht="15">
      <c r="A471" s="218"/>
      <c r="B471" s="166"/>
      <c r="C471" s="360" t="s">
        <v>2099</v>
      </c>
      <c r="D471" s="113"/>
      <c r="E471" s="113"/>
      <c r="F471" s="113"/>
      <c r="G471" s="113"/>
      <c r="H471" s="113"/>
      <c r="I471" s="113"/>
      <c r="J471" s="358" t="s">
        <v>3201</v>
      </c>
      <c r="K471" s="209"/>
      <c r="L471" s="166"/>
      <c r="M471" s="166"/>
      <c r="N471" s="364"/>
      <c r="O471" s="363"/>
      <c r="P471" s="363"/>
      <c r="Q471" s="218"/>
      <c r="R471" s="218"/>
      <c r="S471" s="218"/>
    </row>
    <row r="472" spans="1:19" s="31" customFormat="1" ht="15">
      <c r="A472" s="218"/>
      <c r="B472" s="166"/>
      <c r="C472" s="360" t="s">
        <v>2100</v>
      </c>
      <c r="D472" s="113"/>
      <c r="E472" s="113"/>
      <c r="F472" s="113"/>
      <c r="G472" s="113"/>
      <c r="H472" s="113"/>
      <c r="I472" s="113"/>
      <c r="J472" s="358" t="s">
        <v>2637</v>
      </c>
      <c r="K472" s="209"/>
      <c r="L472" s="166"/>
      <c r="M472" s="166"/>
      <c r="N472" s="364"/>
      <c r="O472" s="363"/>
      <c r="P472" s="363"/>
      <c r="Q472" s="218"/>
      <c r="R472" s="218"/>
      <c r="S472" s="218"/>
    </row>
    <row r="473" spans="1:19" s="31" customFormat="1" ht="15">
      <c r="A473" s="218"/>
      <c r="B473" s="166"/>
      <c r="C473" s="361" t="s">
        <v>3230</v>
      </c>
      <c r="D473" s="113"/>
      <c r="E473" s="113"/>
      <c r="F473" s="113"/>
      <c r="G473" s="113"/>
      <c r="H473" s="113"/>
      <c r="I473" s="113"/>
      <c r="J473" s="358" t="s">
        <v>1841</v>
      </c>
      <c r="K473" s="209"/>
      <c r="L473" s="166"/>
      <c r="M473" s="166"/>
      <c r="N473" s="364"/>
      <c r="O473" s="363"/>
      <c r="P473" s="363"/>
      <c r="Q473" s="218"/>
      <c r="R473" s="218"/>
      <c r="S473" s="218"/>
    </row>
    <row r="474" spans="1:19" s="31" customFormat="1" ht="15">
      <c r="A474" s="218"/>
      <c r="B474" s="166"/>
      <c r="C474" s="361" t="s">
        <v>2096</v>
      </c>
      <c r="D474" s="113"/>
      <c r="E474" s="113"/>
      <c r="F474" s="113"/>
      <c r="G474" s="113"/>
      <c r="H474" s="113"/>
      <c r="I474" s="113"/>
      <c r="J474" s="358" t="s">
        <v>907</v>
      </c>
      <c r="K474" s="209"/>
      <c r="L474" s="166"/>
      <c r="M474" s="166"/>
      <c r="N474" s="364"/>
      <c r="O474" s="363"/>
      <c r="P474" s="363"/>
      <c r="Q474" s="218"/>
      <c r="R474" s="218"/>
      <c r="S474" s="218"/>
    </row>
    <row r="475" spans="1:19" s="31" customFormat="1" ht="15">
      <c r="A475" s="218"/>
      <c r="B475" s="166"/>
      <c r="C475" s="361" t="s">
        <v>2097</v>
      </c>
      <c r="D475" s="113"/>
      <c r="E475" s="113"/>
      <c r="F475" s="113"/>
      <c r="G475" s="113"/>
      <c r="H475" s="113"/>
      <c r="I475" s="113"/>
      <c r="J475" s="358" t="s">
        <v>2643</v>
      </c>
      <c r="K475" s="209"/>
      <c r="L475" s="166"/>
      <c r="M475" s="166"/>
      <c r="N475" s="364"/>
      <c r="O475" s="363"/>
      <c r="P475" s="363"/>
      <c r="Q475" s="218"/>
      <c r="R475" s="218"/>
      <c r="S475" s="218"/>
    </row>
    <row r="476" spans="1:19" s="31" customFormat="1" ht="15">
      <c r="A476" s="218"/>
      <c r="B476" s="166"/>
      <c r="C476" s="360" t="s">
        <v>3225</v>
      </c>
      <c r="D476" s="113"/>
      <c r="E476" s="113"/>
      <c r="F476" s="113"/>
      <c r="G476" s="113"/>
      <c r="H476" s="113"/>
      <c r="I476" s="113"/>
      <c r="J476" s="358" t="s">
        <v>1834</v>
      </c>
      <c r="K476" s="209"/>
      <c r="L476" s="166"/>
      <c r="M476" s="166"/>
      <c r="N476" s="364"/>
      <c r="O476" s="363"/>
      <c r="P476" s="363"/>
      <c r="Q476" s="218"/>
      <c r="R476" s="218"/>
      <c r="S476" s="218"/>
    </row>
    <row r="477" spans="1:19" s="31" customFormat="1" ht="15">
      <c r="A477" s="218"/>
      <c r="B477" s="166"/>
      <c r="C477" s="360" t="s">
        <v>3226</v>
      </c>
      <c r="D477" s="113"/>
      <c r="E477" s="113"/>
      <c r="F477" s="113"/>
      <c r="G477" s="113"/>
      <c r="H477" s="113"/>
      <c r="I477" s="113"/>
      <c r="J477" s="358" t="s">
        <v>1833</v>
      </c>
      <c r="K477" s="166"/>
      <c r="L477" s="166"/>
      <c r="M477" s="166"/>
      <c r="N477" s="364"/>
      <c r="O477" s="363"/>
      <c r="P477" s="363"/>
      <c r="Q477" s="218"/>
      <c r="R477" s="218"/>
      <c r="S477" s="218"/>
    </row>
    <row r="478" spans="1:19" s="31" customFormat="1" ht="15">
      <c r="A478" s="218"/>
      <c r="B478" s="166"/>
      <c r="C478" s="360" t="s">
        <v>3227</v>
      </c>
      <c r="D478" s="166"/>
      <c r="E478" s="166"/>
      <c r="F478" s="166"/>
      <c r="G478" s="166"/>
      <c r="H478" s="166"/>
      <c r="I478" s="166"/>
      <c r="J478" s="358" t="s">
        <v>2752</v>
      </c>
      <c r="K478" s="166"/>
      <c r="L478" s="166"/>
      <c r="M478" s="166"/>
      <c r="N478" s="364"/>
      <c r="O478" s="363"/>
      <c r="P478" s="363"/>
      <c r="Q478" s="218"/>
      <c r="R478" s="218"/>
      <c r="S478" s="218"/>
    </row>
    <row r="479" spans="1:19" s="31" customFormat="1" ht="15">
      <c r="A479" s="218"/>
      <c r="B479" s="166"/>
      <c r="C479" s="360" t="s">
        <v>3228</v>
      </c>
      <c r="D479" s="166"/>
      <c r="E479" s="166"/>
      <c r="F479" s="166"/>
      <c r="G479" s="166"/>
      <c r="H479" s="166"/>
      <c r="I479" s="166"/>
      <c r="J479" s="358" t="s">
        <v>2646</v>
      </c>
      <c r="K479" s="166"/>
      <c r="L479" s="166"/>
      <c r="M479" s="166"/>
      <c r="N479" s="364"/>
      <c r="O479" s="363"/>
      <c r="P479" s="363"/>
      <c r="Q479" s="218"/>
      <c r="R479" s="218"/>
      <c r="S479" s="218"/>
    </row>
    <row r="480" spans="1:19" s="31" customFormat="1" ht="15">
      <c r="A480" s="218"/>
      <c r="B480" s="166"/>
      <c r="C480" s="360" t="s">
        <v>3229</v>
      </c>
      <c r="D480" s="166"/>
      <c r="E480" s="166"/>
      <c r="F480" s="166"/>
      <c r="G480" s="166"/>
      <c r="H480" s="166"/>
      <c r="I480" s="166"/>
      <c r="J480" s="358" t="s">
        <v>2638</v>
      </c>
      <c r="K480" s="166"/>
      <c r="L480" s="166"/>
      <c r="M480" s="166"/>
      <c r="N480" s="364"/>
      <c r="O480" s="363"/>
      <c r="P480" s="363"/>
      <c r="Q480" s="218"/>
      <c r="R480" s="218"/>
      <c r="S480" s="218"/>
    </row>
    <row r="481" spans="1:19" s="31" customFormat="1" ht="15">
      <c r="A481" s="218"/>
      <c r="B481" s="166"/>
      <c r="C481" s="360" t="s">
        <v>2098</v>
      </c>
      <c r="D481" s="166"/>
      <c r="E481" s="166"/>
      <c r="F481" s="166"/>
      <c r="G481" s="166"/>
      <c r="H481" s="166"/>
      <c r="I481" s="166"/>
      <c r="J481" s="358" t="s">
        <v>3199</v>
      </c>
      <c r="K481" s="166"/>
      <c r="L481" s="166"/>
      <c r="M481" s="166"/>
      <c r="N481" s="364"/>
      <c r="O481" s="363"/>
      <c r="P481" s="363"/>
      <c r="Q481" s="218"/>
      <c r="R481" s="218"/>
      <c r="S481" s="218"/>
    </row>
    <row r="482" spans="1:19" s="31" customFormat="1">
      <c r="A482" s="218"/>
      <c r="B482" s="166"/>
      <c r="C482" s="360" t="s">
        <v>3415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2346</v>
      </c>
      <c r="D486" s="113"/>
      <c r="E486" s="113"/>
      <c r="F486" s="113"/>
      <c r="G486" s="113"/>
      <c r="H486" s="113"/>
      <c r="I486" s="113"/>
      <c r="J486" s="113"/>
      <c r="K486" s="113"/>
      <c r="L486" s="113"/>
      <c r="M486" s="113"/>
      <c r="N486" s="113"/>
      <c r="O486" s="113"/>
      <c r="P486" s="113"/>
      <c r="Q486" s="9"/>
      <c r="R486" s="9"/>
      <c r="S486" s="9"/>
    </row>
    <row r="487" spans="1:19">
      <c r="A487" s="9"/>
      <c r="B487" s="113"/>
      <c r="C487" s="113" t="s">
        <v>2801</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3843</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2636</v>
      </c>
      <c r="D491" s="123"/>
      <c r="E491" s="123"/>
      <c r="F491" s="123"/>
      <c r="G491" s="123"/>
      <c r="H491" s="113"/>
      <c r="I491" s="123"/>
      <c r="J491" s="123"/>
      <c r="K491" s="123"/>
      <c r="L491" s="123"/>
      <c r="M491" s="123"/>
      <c r="N491" s="113"/>
      <c r="O491" s="113"/>
      <c r="P491" s="113"/>
      <c r="Q491" s="9"/>
      <c r="R491" s="9"/>
      <c r="S491" s="9"/>
    </row>
    <row r="492" spans="1:19">
      <c r="A492" s="9"/>
      <c r="B492" s="113"/>
      <c r="C492" s="359" t="s">
        <v>3092</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2637</v>
      </c>
      <c r="D494" s="123"/>
      <c r="E494" s="123"/>
      <c r="F494" s="123"/>
      <c r="G494" s="123"/>
      <c r="H494" s="113"/>
      <c r="I494" s="123"/>
      <c r="J494" s="113"/>
      <c r="K494" s="123"/>
      <c r="L494" s="123"/>
      <c r="M494" s="123"/>
      <c r="N494" s="113"/>
      <c r="O494" s="113"/>
      <c r="P494" s="113"/>
      <c r="Q494" s="9"/>
      <c r="R494" s="9"/>
      <c r="S494" s="9"/>
    </row>
    <row r="495" spans="1:19">
      <c r="A495" s="9"/>
      <c r="B495" s="113"/>
      <c r="C495" s="113" t="s">
        <v>2638</v>
      </c>
      <c r="D495" s="123"/>
      <c r="E495" s="123"/>
      <c r="F495" s="123"/>
      <c r="G495" s="123"/>
      <c r="H495" s="113"/>
      <c r="I495" s="123"/>
      <c r="J495" s="113"/>
      <c r="K495" s="123"/>
      <c r="L495" s="123"/>
      <c r="M495" s="123"/>
      <c r="N495" s="113"/>
      <c r="O495" s="113"/>
      <c r="P495" s="113"/>
      <c r="Q495" s="9"/>
      <c r="R495" s="9"/>
      <c r="S495" s="9"/>
    </row>
    <row r="496" spans="1:19">
      <c r="A496" s="9"/>
      <c r="B496" s="113"/>
      <c r="C496" s="113" t="s">
        <v>3785</v>
      </c>
      <c r="D496" s="123"/>
      <c r="E496" s="123"/>
      <c r="F496" s="123"/>
      <c r="G496" s="123"/>
      <c r="H496" s="123"/>
      <c r="I496" s="123"/>
      <c r="J496" s="123"/>
      <c r="K496" s="123"/>
      <c r="L496" s="123"/>
      <c r="M496" s="123"/>
      <c r="N496" s="113"/>
      <c r="O496" s="113"/>
      <c r="P496" s="113"/>
      <c r="Q496" s="9"/>
      <c r="R496" s="9"/>
      <c r="S496" s="9"/>
    </row>
    <row r="497" spans="1:19">
      <c r="A497" s="9"/>
      <c r="B497" s="113"/>
      <c r="C497" s="113" t="s">
        <v>2347</v>
      </c>
      <c r="D497" s="123"/>
      <c r="E497" s="123"/>
      <c r="F497" s="123"/>
      <c r="G497" s="123"/>
      <c r="H497" s="123"/>
      <c r="I497" s="123"/>
      <c r="J497" s="123"/>
      <c r="K497" s="123"/>
      <c r="L497" s="123"/>
      <c r="M497" s="123"/>
      <c r="N497" s="113"/>
      <c r="O497" s="113"/>
      <c r="P497" s="113"/>
      <c r="Q497" s="9"/>
      <c r="R497" s="9"/>
      <c r="S497" s="9"/>
    </row>
    <row r="498" spans="1:19">
      <c r="A498" s="9"/>
      <c r="B498" s="113"/>
      <c r="C498" s="113" t="s">
        <v>2640</v>
      </c>
      <c r="D498" s="123"/>
      <c r="E498" s="123"/>
      <c r="F498" s="123"/>
      <c r="G498" s="123"/>
      <c r="H498" s="123"/>
      <c r="I498" s="123"/>
      <c r="J498" s="123"/>
      <c r="K498" s="123"/>
      <c r="L498" s="123"/>
      <c r="M498" s="123"/>
      <c r="N498" s="113"/>
      <c r="O498" s="113"/>
      <c r="P498" s="113"/>
      <c r="Q498" s="9"/>
      <c r="R498" s="9"/>
      <c r="S498" s="9"/>
    </row>
    <row r="499" spans="1:19">
      <c r="A499" s="9"/>
      <c r="B499" s="113"/>
      <c r="C499" s="113" t="s">
        <v>3788</v>
      </c>
      <c r="D499" s="123"/>
      <c r="E499" s="123"/>
      <c r="F499" s="123"/>
      <c r="G499" s="123"/>
      <c r="H499" s="123"/>
      <c r="I499" s="123"/>
      <c r="J499" s="123"/>
      <c r="K499" s="123"/>
      <c r="L499" s="123"/>
      <c r="M499" s="123"/>
      <c r="N499" s="113"/>
      <c r="O499" s="113"/>
      <c r="P499" s="113"/>
      <c r="Q499" s="9"/>
      <c r="R499" s="9"/>
      <c r="S499" s="9"/>
    </row>
    <row r="500" spans="1:19">
      <c r="A500" s="9"/>
      <c r="B500" s="113"/>
      <c r="C500" s="113" t="s">
        <v>2642</v>
      </c>
      <c r="D500" s="123"/>
      <c r="E500" s="123"/>
      <c r="F500" s="123"/>
      <c r="G500" s="123"/>
      <c r="H500" s="123"/>
      <c r="I500" s="123"/>
      <c r="J500" s="123"/>
      <c r="K500" s="123"/>
      <c r="L500" s="123"/>
      <c r="M500" s="123"/>
      <c r="N500" s="113" t="s">
        <v>3786</v>
      </c>
      <c r="O500" s="113"/>
      <c r="P500" s="113"/>
      <c r="Q500" s="9"/>
      <c r="R500" s="9"/>
      <c r="S500" s="9"/>
    </row>
    <row r="501" spans="1:19">
      <c r="A501" s="9"/>
      <c r="B501" s="113"/>
      <c r="C501" s="113" t="s">
        <v>2643</v>
      </c>
      <c r="D501" s="123"/>
      <c r="E501" s="123"/>
      <c r="F501" s="123"/>
      <c r="G501" s="123"/>
      <c r="H501" s="123"/>
      <c r="I501" s="123"/>
      <c r="J501" s="123"/>
      <c r="K501" s="123"/>
      <c r="L501" s="123"/>
      <c r="M501" s="123"/>
      <c r="N501" s="113"/>
      <c r="O501" s="113"/>
      <c r="P501" s="113"/>
      <c r="Q501" s="9"/>
      <c r="R501" s="9"/>
      <c r="S501" s="9"/>
    </row>
    <row r="502" spans="1:19">
      <c r="A502" s="9"/>
      <c r="B502" s="113"/>
      <c r="C502" s="113" t="s">
        <v>2644</v>
      </c>
      <c r="D502" s="123"/>
      <c r="E502" s="123"/>
      <c r="F502" s="123"/>
      <c r="G502" s="123"/>
      <c r="H502" s="123"/>
      <c r="I502" s="123"/>
      <c r="J502" s="123"/>
      <c r="K502" s="123"/>
      <c r="L502" s="123"/>
      <c r="M502" s="123"/>
      <c r="N502" s="113"/>
      <c r="O502" s="113"/>
      <c r="P502" s="113"/>
      <c r="Q502" s="9"/>
      <c r="R502" s="9"/>
      <c r="S502" s="9"/>
    </row>
    <row r="503" spans="1:19">
      <c r="A503" s="9"/>
      <c r="B503" s="113"/>
      <c r="C503" s="113" t="s">
        <v>907</v>
      </c>
      <c r="D503" s="123"/>
      <c r="E503" s="123"/>
      <c r="F503" s="123"/>
      <c r="G503" s="123"/>
      <c r="H503" s="123"/>
      <c r="I503" s="123"/>
      <c r="J503" s="123"/>
      <c r="K503" s="123"/>
      <c r="L503" s="123"/>
      <c r="M503" s="123"/>
      <c r="N503" s="113"/>
      <c r="O503" s="113"/>
      <c r="P503" s="113"/>
      <c r="Q503" s="9"/>
      <c r="R503" s="9"/>
      <c r="S503" s="9"/>
    </row>
    <row r="504" spans="1:19">
      <c r="A504" s="9"/>
      <c r="B504" s="113"/>
      <c r="C504" s="113" t="s">
        <v>2645</v>
      </c>
      <c r="D504" s="123"/>
      <c r="E504" s="123"/>
      <c r="F504" s="123"/>
      <c r="G504" s="123"/>
      <c r="H504" s="123"/>
      <c r="I504" s="123"/>
      <c r="J504" s="123"/>
      <c r="K504" s="123"/>
      <c r="L504" s="123"/>
      <c r="M504" s="123"/>
      <c r="N504" s="113"/>
      <c r="O504" s="113"/>
      <c r="P504" s="113"/>
      <c r="Q504" s="9"/>
      <c r="R504" s="9"/>
      <c r="S504" s="9"/>
    </row>
    <row r="505" spans="1:19">
      <c r="A505" s="9"/>
      <c r="B505" s="113"/>
      <c r="C505" s="113" t="s">
        <v>2937</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2821</v>
      </c>
      <c r="D510" s="113"/>
      <c r="E510" s="113"/>
      <c r="F510" s="113"/>
      <c r="G510" s="113"/>
      <c r="H510" s="113"/>
      <c r="I510" s="113"/>
      <c r="J510" s="113"/>
      <c r="K510" s="113"/>
      <c r="L510" s="113"/>
      <c r="M510" s="113"/>
      <c r="N510" s="113"/>
      <c r="O510" s="113"/>
      <c r="P510" s="113"/>
      <c r="Q510" s="9"/>
      <c r="R510" s="9"/>
      <c r="S510" s="9"/>
    </row>
    <row r="511" spans="1:19">
      <c r="A511" s="9"/>
      <c r="B511" s="113"/>
      <c r="C511" s="113" t="s">
        <v>1523</v>
      </c>
      <c r="D511" s="113"/>
      <c r="E511" s="113"/>
      <c r="F511" s="113"/>
      <c r="G511" s="113"/>
      <c r="H511" s="113"/>
      <c r="I511" s="113"/>
      <c r="J511" s="113"/>
      <c r="K511" s="113"/>
      <c r="L511" s="113"/>
      <c r="M511" s="113"/>
      <c r="N511" s="113"/>
      <c r="O511" s="113"/>
      <c r="P511" s="113"/>
      <c r="Q511" s="9"/>
      <c r="R511" s="9"/>
      <c r="S511" s="9"/>
    </row>
    <row r="512" spans="1:19">
      <c r="A512" s="9"/>
      <c r="B512" s="113"/>
      <c r="C512" s="360" t="s">
        <v>2535</v>
      </c>
      <c r="D512" s="113"/>
      <c r="E512" s="113"/>
      <c r="F512" s="113"/>
      <c r="G512" s="113"/>
      <c r="H512" s="113"/>
      <c r="I512" s="113"/>
      <c r="J512" s="113"/>
      <c r="K512" s="113"/>
      <c r="L512" s="113"/>
      <c r="M512" s="113"/>
      <c r="N512" s="113"/>
      <c r="O512" s="113"/>
      <c r="P512" s="113"/>
      <c r="Q512" s="9"/>
      <c r="R512" s="9"/>
      <c r="S512" s="9"/>
    </row>
    <row r="513" spans="1:19">
      <c r="A513" s="9"/>
      <c r="B513" s="113"/>
      <c r="C513" s="360" t="s">
        <v>1088</v>
      </c>
      <c r="D513" s="113"/>
      <c r="E513" s="113"/>
      <c r="F513" s="113"/>
      <c r="G513" s="113"/>
      <c r="H513" s="113"/>
      <c r="I513" s="113"/>
      <c r="J513" s="113"/>
      <c r="K513" s="113"/>
      <c r="L513" s="360"/>
      <c r="M513" s="113"/>
      <c r="N513" s="113"/>
      <c r="O513" s="113"/>
      <c r="P513" s="113"/>
      <c r="Q513" s="9"/>
      <c r="R513" s="9"/>
      <c r="S513" s="9"/>
    </row>
    <row r="514" spans="1:19">
      <c r="A514" s="9"/>
      <c r="B514" s="113"/>
      <c r="C514" s="360" t="s">
        <v>1089</v>
      </c>
      <c r="D514" s="113"/>
      <c r="E514" s="113"/>
      <c r="F514" s="113"/>
      <c r="G514" s="113"/>
      <c r="H514" s="113"/>
      <c r="I514" s="113"/>
      <c r="J514" s="113"/>
      <c r="K514" s="113"/>
      <c r="L514" s="360"/>
      <c r="M514" s="113"/>
      <c r="N514" s="113"/>
      <c r="O514" s="113"/>
      <c r="P514" s="113"/>
      <c r="Q514" s="9"/>
      <c r="R514" s="9"/>
      <c r="S514" s="9"/>
    </row>
    <row r="515" spans="1:19">
      <c r="A515" s="9"/>
      <c r="B515" s="113"/>
      <c r="C515" s="360" t="s">
        <v>3260</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2942</v>
      </c>
      <c r="D518" s="113"/>
      <c r="E518" s="113"/>
      <c r="F518" s="113"/>
      <c r="G518" s="113"/>
      <c r="H518" s="113"/>
      <c r="I518" s="113"/>
      <c r="J518" s="113"/>
      <c r="K518" s="113"/>
      <c r="L518" s="113"/>
      <c r="M518" s="113"/>
      <c r="N518" s="113"/>
      <c r="O518" s="113"/>
      <c r="P518" s="113"/>
      <c r="Q518" s="9"/>
      <c r="R518" s="9"/>
      <c r="S518" s="9"/>
    </row>
    <row r="519" spans="1:19">
      <c r="A519" s="9"/>
      <c r="B519" s="113"/>
      <c r="C519" s="360" t="s">
        <v>1543</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1018</v>
      </c>
      <c r="D523" s="113"/>
      <c r="E523" s="113"/>
      <c r="F523" s="113"/>
      <c r="G523" s="113"/>
      <c r="H523" s="113"/>
      <c r="I523" s="113"/>
      <c r="J523" s="113"/>
      <c r="K523" s="113"/>
      <c r="L523" s="113"/>
      <c r="M523" s="113"/>
      <c r="N523" s="113"/>
      <c r="O523" s="113"/>
      <c r="P523" s="113"/>
      <c r="Q523" s="9"/>
      <c r="R523" s="9"/>
      <c r="S523" s="9"/>
    </row>
    <row r="524" spans="1:19">
      <c r="A524" s="9"/>
      <c r="B524" s="113"/>
      <c r="C524" s="360" t="s">
        <v>3091</v>
      </c>
      <c r="D524" s="113"/>
      <c r="E524" s="113"/>
      <c r="F524" s="113"/>
      <c r="G524" s="113"/>
      <c r="H524" s="113"/>
      <c r="I524" s="113"/>
      <c r="J524" s="113"/>
      <c r="K524" s="113"/>
      <c r="L524" s="360"/>
      <c r="M524" s="113"/>
      <c r="N524" s="113"/>
      <c r="O524" s="113"/>
      <c r="P524" s="113"/>
      <c r="Q524" s="9"/>
      <c r="R524" s="9"/>
      <c r="S524" s="9"/>
    </row>
    <row r="525" spans="1:19">
      <c r="A525" s="9"/>
      <c r="B525" s="113"/>
      <c r="C525" s="207" t="s">
        <v>3917</v>
      </c>
      <c r="D525" s="113"/>
      <c r="E525" s="113"/>
      <c r="F525" s="113"/>
      <c r="G525" s="113"/>
      <c r="H525" s="113"/>
      <c r="I525" s="113"/>
      <c r="J525" s="113"/>
      <c r="K525" s="113"/>
      <c r="L525" s="360"/>
      <c r="M525" s="113"/>
      <c r="N525" s="113"/>
      <c r="O525" s="113"/>
      <c r="P525" s="113"/>
      <c r="Q525" s="9"/>
      <c r="R525" s="9"/>
      <c r="S525" s="9"/>
    </row>
    <row r="526" spans="1:19">
      <c r="A526" s="9"/>
      <c r="B526" s="113"/>
      <c r="C526" s="207" t="s">
        <v>2089</v>
      </c>
      <c r="D526" s="113"/>
      <c r="E526" s="113"/>
      <c r="F526" s="113"/>
      <c r="G526" s="113"/>
      <c r="H526" s="113"/>
      <c r="I526" s="113"/>
      <c r="J526" s="113"/>
      <c r="K526" s="113"/>
      <c r="L526" s="360"/>
      <c r="M526" s="113"/>
      <c r="N526" s="113"/>
      <c r="O526" s="113"/>
      <c r="P526" s="113"/>
      <c r="Q526" s="9"/>
      <c r="R526" s="9"/>
      <c r="S526" s="9"/>
    </row>
    <row r="527" spans="1:19">
      <c r="A527" s="9"/>
      <c r="B527" s="113"/>
      <c r="C527" s="207" t="s">
        <v>2344</v>
      </c>
      <c r="D527" s="113"/>
      <c r="E527" s="113"/>
      <c r="F527" s="113"/>
      <c r="G527" s="113"/>
      <c r="H527" s="113"/>
      <c r="I527" s="113"/>
      <c r="J527" s="113"/>
      <c r="K527" s="367" t="s">
        <v>676</v>
      </c>
      <c r="L527" s="360"/>
      <c r="M527" s="113"/>
      <c r="N527" s="113"/>
      <c r="O527" s="113"/>
      <c r="P527" s="113"/>
      <c r="Q527" s="9"/>
      <c r="R527" s="9"/>
      <c r="S527" s="9"/>
    </row>
    <row r="528" spans="1:19">
      <c r="A528" s="9"/>
      <c r="B528" s="113"/>
      <c r="C528" s="207" t="s">
        <v>2536</v>
      </c>
      <c r="D528" s="113"/>
      <c r="E528" s="113"/>
      <c r="F528" s="113"/>
      <c r="G528" s="113"/>
      <c r="H528" s="113"/>
      <c r="I528" s="113"/>
      <c r="J528" s="113"/>
      <c r="K528" s="113" t="s">
        <v>1714</v>
      </c>
      <c r="L528" s="360"/>
      <c r="M528" s="113"/>
      <c r="N528" s="113"/>
      <c r="O528" s="113"/>
      <c r="P528" s="113"/>
      <c r="Q528" s="9"/>
      <c r="R528" s="9"/>
      <c r="S528" s="9"/>
    </row>
    <row r="529" spans="1:19">
      <c r="A529" s="9"/>
      <c r="B529" s="113"/>
      <c r="C529" s="207" t="s">
        <v>1077</v>
      </c>
      <c r="D529" s="113"/>
      <c r="E529" s="113"/>
      <c r="F529" s="113"/>
      <c r="G529" s="113"/>
      <c r="H529" s="113"/>
      <c r="I529" s="113"/>
      <c r="J529" s="113"/>
      <c r="K529" s="113" t="s">
        <v>1713</v>
      </c>
      <c r="L529" s="113"/>
      <c r="M529" s="113"/>
      <c r="N529" s="113"/>
      <c r="O529" s="113"/>
      <c r="P529" s="113"/>
      <c r="Q529" s="9"/>
      <c r="R529" s="9"/>
      <c r="S529" s="9"/>
    </row>
    <row r="530" spans="1:19">
      <c r="A530" s="9"/>
      <c r="B530" s="113"/>
      <c r="C530" s="360" t="s">
        <v>1866</v>
      </c>
      <c r="D530" s="113"/>
      <c r="E530" s="113"/>
      <c r="F530" s="113"/>
      <c r="G530" s="113"/>
      <c r="H530" s="113"/>
      <c r="I530" s="113"/>
      <c r="J530" s="113"/>
      <c r="K530" s="113" t="s">
        <v>3370</v>
      </c>
      <c r="L530" s="113"/>
      <c r="M530" s="113"/>
      <c r="N530" s="113"/>
      <c r="O530" s="113"/>
      <c r="P530" s="113"/>
      <c r="Q530" s="9"/>
      <c r="R530" s="9"/>
      <c r="S530" s="9"/>
    </row>
    <row r="531" spans="1:19">
      <c r="A531" s="9"/>
      <c r="B531" s="113"/>
      <c r="C531" s="113"/>
      <c r="D531" s="113"/>
      <c r="E531" s="113"/>
      <c r="F531" s="113"/>
      <c r="G531" s="113"/>
      <c r="H531" s="113"/>
      <c r="I531" s="113"/>
      <c r="J531" s="113"/>
      <c r="K531" s="113" t="s">
        <v>1715</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3369</v>
      </c>
      <c r="L532" s="113"/>
      <c r="M532" s="113"/>
      <c r="N532" s="113"/>
      <c r="O532" s="113"/>
      <c r="P532" s="113"/>
      <c r="Q532" s="9"/>
      <c r="R532" s="9"/>
      <c r="S532" s="9"/>
    </row>
    <row r="533" spans="1:19">
      <c r="A533" s="9"/>
      <c r="B533" s="113"/>
      <c r="C533" s="113" t="s">
        <v>1716</v>
      </c>
      <c r="D533" s="113"/>
      <c r="E533" s="113"/>
      <c r="F533" s="113"/>
      <c r="G533" s="113"/>
      <c r="H533" s="113"/>
      <c r="I533" s="113"/>
      <c r="J533" s="113"/>
      <c r="K533" s="113" t="s">
        <v>3472</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2168</v>
      </c>
      <c r="L534" s="113"/>
      <c r="M534" s="113"/>
      <c r="N534" s="113"/>
      <c r="O534" s="113"/>
      <c r="P534" s="113"/>
      <c r="Q534" s="9"/>
      <c r="R534" s="9"/>
      <c r="S534" s="9"/>
    </row>
    <row r="535" spans="1:19">
      <c r="A535" s="9"/>
      <c r="B535" s="113"/>
      <c r="C535" s="113" t="s">
        <v>2278</v>
      </c>
      <c r="D535" s="113"/>
      <c r="E535" s="113"/>
      <c r="F535" s="113"/>
      <c r="G535" s="113"/>
      <c r="H535" s="113"/>
      <c r="I535" s="113"/>
      <c r="J535" s="113"/>
      <c r="K535" s="209" t="s">
        <v>1772</v>
      </c>
      <c r="L535" s="113"/>
      <c r="M535" s="113"/>
      <c r="N535" s="113"/>
      <c r="O535" s="113"/>
      <c r="P535" s="113"/>
      <c r="Q535" s="9"/>
      <c r="R535" s="9"/>
      <c r="S535" s="9"/>
    </row>
    <row r="536" spans="1:19">
      <c r="A536" s="9"/>
      <c r="B536" s="113"/>
      <c r="C536" s="113" t="s">
        <v>3215</v>
      </c>
      <c r="D536" s="113"/>
      <c r="E536" s="113"/>
      <c r="F536" s="113"/>
      <c r="G536" s="113"/>
      <c r="H536" s="113"/>
      <c r="I536" s="113"/>
      <c r="J536" s="113"/>
      <c r="K536" s="209" t="s">
        <v>1771</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1766</v>
      </c>
      <c r="L537" s="113"/>
      <c r="M537" s="113"/>
      <c r="N537" s="113"/>
      <c r="O537" s="113"/>
      <c r="P537" s="113"/>
      <c r="Q537" s="9"/>
      <c r="R537" s="9"/>
      <c r="S537" s="9"/>
    </row>
    <row r="538" spans="1:19">
      <c r="A538" s="9"/>
      <c r="B538" s="113"/>
      <c r="C538" s="209"/>
      <c r="D538" s="113"/>
      <c r="E538" s="113"/>
      <c r="F538" s="113"/>
      <c r="G538" s="113"/>
      <c r="H538" s="113"/>
      <c r="I538" s="113"/>
      <c r="J538" s="113"/>
      <c r="K538" s="367" t="s">
        <v>3021</v>
      </c>
      <c r="L538" s="113"/>
      <c r="M538" s="113"/>
      <c r="N538" s="113"/>
      <c r="O538" s="113"/>
      <c r="P538" s="113"/>
      <c r="Q538" s="9"/>
      <c r="R538" s="9"/>
      <c r="S538" s="9"/>
    </row>
    <row r="539" spans="1:19">
      <c r="A539" s="9"/>
      <c r="B539" s="113"/>
      <c r="C539" s="209"/>
      <c r="D539" s="113"/>
      <c r="E539" s="113"/>
      <c r="F539" s="113"/>
      <c r="G539" s="113"/>
      <c r="H539" s="113"/>
      <c r="I539" s="113"/>
      <c r="J539" s="113"/>
      <c r="K539" s="113" t="s">
        <v>1712</v>
      </c>
      <c r="L539" s="113"/>
      <c r="M539" s="113"/>
      <c r="N539" s="113"/>
      <c r="O539" s="113"/>
      <c r="P539" s="113"/>
      <c r="Q539" s="9"/>
      <c r="R539" s="9"/>
      <c r="S539" s="9"/>
    </row>
    <row r="540" spans="1:19">
      <c r="A540" s="9"/>
      <c r="B540" s="113"/>
      <c r="C540" s="113"/>
      <c r="D540" s="113"/>
      <c r="E540" s="113"/>
      <c r="F540" s="113"/>
      <c r="G540" s="113"/>
      <c r="H540" s="113"/>
      <c r="I540" s="113"/>
      <c r="J540" s="113"/>
      <c r="K540" s="113" t="s">
        <v>2780</v>
      </c>
      <c r="L540" s="113"/>
      <c r="M540" s="113"/>
      <c r="N540" s="113"/>
      <c r="O540" s="113"/>
      <c r="P540" s="113"/>
      <c r="Q540" s="9"/>
      <c r="R540" s="9"/>
      <c r="S540" s="9"/>
    </row>
    <row r="541" spans="1:19">
      <c r="A541" s="9"/>
      <c r="B541" s="113"/>
      <c r="C541" s="113"/>
      <c r="D541" s="113"/>
      <c r="E541" s="113"/>
      <c r="F541" s="113"/>
      <c r="G541" s="113"/>
      <c r="H541" s="113"/>
      <c r="I541" s="113"/>
      <c r="J541" s="113"/>
      <c r="K541" s="113" t="s">
        <v>1773</v>
      </c>
      <c r="L541" s="113"/>
      <c r="M541" s="113"/>
      <c r="N541" s="113"/>
      <c r="O541" s="113"/>
      <c r="P541" s="113"/>
      <c r="Q541" s="9"/>
      <c r="R541" s="9"/>
      <c r="S541" s="9"/>
    </row>
    <row r="542" spans="1:19">
      <c r="A542" s="9"/>
      <c r="B542" s="113"/>
      <c r="C542" s="113"/>
      <c r="D542" s="113"/>
      <c r="E542" s="113"/>
      <c r="F542" s="113"/>
      <c r="G542" s="113"/>
      <c r="H542" s="113"/>
      <c r="I542" s="113"/>
      <c r="J542" s="113"/>
      <c r="K542" s="113" t="s">
        <v>2781</v>
      </c>
      <c r="L542" s="113"/>
      <c r="M542" s="113"/>
      <c r="N542" s="113"/>
      <c r="O542" s="113"/>
      <c r="P542" s="113"/>
      <c r="Q542" s="9"/>
      <c r="R542" s="9"/>
      <c r="S542" s="9"/>
    </row>
    <row r="543" spans="1:19">
      <c r="A543" s="9"/>
      <c r="B543" s="113"/>
      <c r="C543" s="113"/>
      <c r="D543" s="113"/>
      <c r="E543" s="113"/>
      <c r="F543" s="113"/>
      <c r="G543" s="113"/>
      <c r="H543" s="113"/>
      <c r="I543" s="113"/>
      <c r="J543" s="113"/>
      <c r="K543" s="113" t="s">
        <v>3578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1630</v>
      </c>
      <c r="D545" s="113"/>
      <c r="E545" s="113"/>
      <c r="F545" s="113"/>
      <c r="G545" s="113"/>
      <c r="H545" s="113"/>
      <c r="I545" s="113"/>
      <c r="J545" s="113"/>
      <c r="K545" s="366" t="s">
        <v>1631</v>
      </c>
      <c r="L545" s="113"/>
      <c r="M545" s="113"/>
      <c r="N545" s="113"/>
      <c r="O545" s="113"/>
      <c r="P545" s="113"/>
      <c r="Q545" s="9"/>
      <c r="R545" s="9"/>
      <c r="S545" s="9"/>
    </row>
    <row r="546" spans="1:19">
      <c r="A546" s="9"/>
      <c r="B546" s="113"/>
      <c r="C546" s="113" t="s">
        <v>1629</v>
      </c>
      <c r="D546" s="113"/>
      <c r="E546" s="113"/>
      <c r="F546" s="113"/>
      <c r="G546" s="113"/>
      <c r="H546" s="113"/>
      <c r="I546" s="113"/>
      <c r="J546" s="113"/>
      <c r="K546" s="113" t="s">
        <v>1629</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3843</v>
      </c>
      <c r="D548" s="113"/>
      <c r="E548" s="113"/>
      <c r="F548" s="113"/>
      <c r="G548" s="113"/>
      <c r="H548" s="113"/>
      <c r="I548" s="113"/>
      <c r="J548" s="113"/>
      <c r="K548" s="113" t="s">
        <v>714</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3785</v>
      </c>
      <c r="L549" s="113"/>
      <c r="M549" s="113"/>
      <c r="N549" s="113"/>
      <c r="O549" s="113"/>
      <c r="P549" s="113"/>
      <c r="Q549" s="9"/>
      <c r="R549" s="9"/>
      <c r="S549" s="9"/>
    </row>
    <row r="550" spans="1:19">
      <c r="A550" s="9"/>
      <c r="B550" s="113"/>
      <c r="C550" s="113" t="s">
        <v>3025</v>
      </c>
      <c r="D550" s="113"/>
      <c r="E550" s="113"/>
      <c r="F550" s="113"/>
      <c r="G550" s="113"/>
      <c r="H550" s="113"/>
      <c r="I550" s="113"/>
      <c r="J550" s="113"/>
      <c r="K550" s="113" t="s">
        <v>3034</v>
      </c>
      <c r="L550" s="113"/>
      <c r="M550" s="113"/>
      <c r="N550" s="113"/>
      <c r="O550" s="113"/>
      <c r="P550" s="113"/>
      <c r="Q550" s="9"/>
      <c r="R550" s="9"/>
      <c r="S550" s="9"/>
    </row>
    <row r="551" spans="1:19">
      <c r="A551" s="9"/>
      <c r="B551" s="113"/>
      <c r="C551" s="113" t="s">
        <v>906</v>
      </c>
      <c r="D551" s="113"/>
      <c r="E551" s="113"/>
      <c r="F551" s="113"/>
      <c r="G551" s="113"/>
      <c r="H551" s="113"/>
      <c r="I551" s="113"/>
      <c r="J551" s="113"/>
      <c r="K551" s="113" t="s">
        <v>3787</v>
      </c>
      <c r="L551" s="113"/>
      <c r="M551" s="113"/>
      <c r="N551" s="113"/>
      <c r="O551" s="113"/>
      <c r="P551" s="113"/>
      <c r="Q551" s="9"/>
      <c r="R551" s="9"/>
      <c r="S551" s="9"/>
    </row>
    <row r="552" spans="1:19">
      <c r="A552" s="9"/>
      <c r="B552" s="113"/>
      <c r="C552" s="113" t="s">
        <v>3303</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2863</v>
      </c>
      <c r="L553" s="113"/>
      <c r="M553" s="113"/>
      <c r="N553" s="113"/>
      <c r="O553" s="113"/>
      <c r="P553" s="113"/>
      <c r="Q553" s="9"/>
      <c r="R553" s="9"/>
      <c r="S553" s="9"/>
    </row>
    <row r="554" spans="1:19">
      <c r="A554" s="9"/>
      <c r="B554" s="113"/>
      <c r="C554" s="113"/>
      <c r="D554" s="113"/>
      <c r="E554" s="113"/>
      <c r="F554" s="113"/>
      <c r="G554" s="113"/>
      <c r="H554" s="113"/>
      <c r="I554" s="113"/>
      <c r="J554" s="113"/>
      <c r="K554" s="113" t="s">
        <v>3788</v>
      </c>
      <c r="L554" s="113"/>
      <c r="M554" s="113"/>
      <c r="N554" s="113"/>
      <c r="O554" s="113"/>
      <c r="P554" s="113"/>
      <c r="Q554" s="9"/>
      <c r="R554" s="9"/>
      <c r="S554" s="9"/>
    </row>
    <row r="555" spans="1:19">
      <c r="A555" s="9"/>
      <c r="B555" s="113"/>
      <c r="C555" s="113"/>
      <c r="D555" s="113"/>
      <c r="E555" s="113"/>
      <c r="F555" s="113"/>
      <c r="G555" s="113"/>
      <c r="H555" s="113"/>
      <c r="I555" s="113"/>
      <c r="J555" s="113"/>
      <c r="K555" s="113" t="s">
        <v>1807</v>
      </c>
      <c r="L555" s="113"/>
      <c r="M555" s="113"/>
      <c r="N555" s="113"/>
      <c r="O555" s="113"/>
      <c r="P555" s="113"/>
      <c r="Q555" s="9"/>
      <c r="R555" s="9"/>
      <c r="S555" s="9"/>
    </row>
    <row r="556" spans="1:19">
      <c r="A556" s="9"/>
      <c r="B556" s="113"/>
      <c r="C556" s="113"/>
      <c r="D556" s="113"/>
      <c r="E556" s="113"/>
      <c r="F556" s="113"/>
      <c r="G556" s="113"/>
      <c r="H556" s="113"/>
      <c r="I556" s="113"/>
      <c r="J556" s="113"/>
      <c r="K556" s="113" t="s">
        <v>2936</v>
      </c>
      <c r="L556" s="113"/>
      <c r="M556" s="113"/>
      <c r="N556" s="113"/>
      <c r="O556" s="113"/>
      <c r="P556" s="113"/>
      <c r="Q556" s="9"/>
      <c r="R556" s="9"/>
      <c r="S556" s="9"/>
    </row>
    <row r="557" spans="1:19">
      <c r="A557" s="9"/>
      <c r="B557" s="113"/>
      <c r="C557" s="113"/>
      <c r="D557" s="113"/>
      <c r="E557" s="113"/>
      <c r="F557" s="113"/>
      <c r="G557" s="113"/>
      <c r="H557" s="113"/>
      <c r="I557" s="113"/>
      <c r="J557" s="113"/>
      <c r="K557" s="113" t="s">
        <v>905</v>
      </c>
      <c r="L557" s="113"/>
      <c r="M557" s="113"/>
      <c r="N557" s="113"/>
      <c r="O557" s="113"/>
      <c r="P557" s="113"/>
      <c r="Q557" s="9"/>
      <c r="R557" s="9"/>
      <c r="S557" s="9"/>
    </row>
    <row r="558" spans="1:19">
      <c r="A558" s="9"/>
      <c r="B558" s="113"/>
      <c r="C558" s="113"/>
      <c r="D558" s="113"/>
      <c r="E558" s="113"/>
      <c r="F558" s="113"/>
      <c r="G558" s="113"/>
      <c r="H558" s="113"/>
      <c r="I558" s="113"/>
      <c r="J558" s="113"/>
      <c r="K558" s="113" t="s">
        <v>2937</v>
      </c>
      <c r="L558" s="113"/>
      <c r="M558" s="113"/>
      <c r="N558" s="113"/>
      <c r="O558" s="113"/>
      <c r="P558" s="113"/>
      <c r="Q558" s="9"/>
      <c r="R558" s="9"/>
      <c r="S558" s="9"/>
    </row>
    <row r="559" spans="1:19">
      <c r="A559" s="9"/>
      <c r="B559" s="113"/>
      <c r="C559" s="113"/>
      <c r="D559" s="113"/>
      <c r="E559" s="113"/>
      <c r="F559" s="113"/>
      <c r="G559" s="113"/>
      <c r="H559" s="113"/>
      <c r="I559" s="113"/>
      <c r="J559" s="113"/>
      <c r="K559" s="113" t="s">
        <v>907</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44" bottom="0.36" header="0.24" footer="0.17"/>
  <pageSetup fitToHeight="0" orientation="landscape" r:id="rId1"/>
  <headerFooter alignWithMargins="0">
    <oddHeader>&amp;L&amp;11Georgia Department of Community Affairs&amp;C&amp;11 2011 Funding Application&amp;R&amp;11Office of Affordable Housing</oddHeader>
    <oddFooter>&amp;L&amp;"Arial Narrow,Regular"&amp;F - March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160" zoomScale="90" zoomScaleNormal="90" workbookViewId="0">
      <selection activeCell="D99" sqref="D99"/>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2011-043 Calypso, Palmetto, Fulton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3337</v>
      </c>
      <c r="N3" s="93"/>
      <c r="O3" s="114" t="s">
        <v>3336</v>
      </c>
      <c r="P3" s="247" t="s">
        <v>334</v>
      </c>
    </row>
    <row r="4" spans="1:19" s="54" customFormat="1" ht="12.6" customHeight="1">
      <c r="A4" s="52"/>
      <c r="B4" s="52"/>
      <c r="C4" s="52"/>
      <c r="D4" s="52"/>
      <c r="E4" s="52"/>
      <c r="F4" s="52"/>
      <c r="G4" s="52"/>
      <c r="H4" s="52"/>
      <c r="I4" s="52"/>
      <c r="J4" s="52"/>
      <c r="K4" s="52"/>
      <c r="M4" s="249" t="s">
        <v>104</v>
      </c>
      <c r="N4" s="116"/>
      <c r="O4" s="248" t="s">
        <v>3337</v>
      </c>
      <c r="P4" s="115" t="s">
        <v>3337</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1888</v>
      </c>
      <c r="M6" s="390">
        <v>90</v>
      </c>
      <c r="N6" s="10"/>
      <c r="O6" s="81">
        <f>O294</f>
        <v>57</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3064</v>
      </c>
      <c r="B8" s="143" t="s">
        <v>1672</v>
      </c>
      <c r="C8" s="5"/>
      <c r="D8" s="5"/>
      <c r="E8" s="5"/>
      <c r="F8" s="11"/>
      <c r="H8" s="59" t="s">
        <v>2524</v>
      </c>
      <c r="M8" s="3">
        <v>10</v>
      </c>
      <c r="N8" s="144"/>
      <c r="O8" s="81">
        <f>MIN($M8, $M8-O10-O11-O12)</f>
        <v>10</v>
      </c>
      <c r="P8" s="81">
        <f>MIN($M8, $M8-P10-P11-P12)</f>
        <v>10</v>
      </c>
      <c r="Q8" s="146" t="s">
        <v>652</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3060</v>
      </c>
      <c r="B10" s="238" t="s">
        <v>2924</v>
      </c>
      <c r="D10" s="58"/>
      <c r="E10" s="58"/>
      <c r="F10" s="709" t="s">
        <v>3895</v>
      </c>
      <c r="G10" s="40">
        <f>F17</f>
        <v>0</v>
      </c>
      <c r="H10" s="246" t="s">
        <v>321</v>
      </c>
      <c r="M10" s="7">
        <v>7</v>
      </c>
      <c r="N10" s="82" t="s">
        <v>3060</v>
      </c>
      <c r="O10" s="1151"/>
      <c r="P10" s="69"/>
    </row>
    <row r="11" spans="1:19" s="52" customFormat="1" ht="11.25" customHeight="1">
      <c r="A11" s="257" t="s">
        <v>3063</v>
      </c>
      <c r="B11" s="238" t="s">
        <v>1216</v>
      </c>
      <c r="D11" s="58"/>
      <c r="E11" s="58"/>
      <c r="F11" s="709" t="s">
        <v>3895</v>
      </c>
      <c r="G11" s="40">
        <f>K17</f>
        <v>0</v>
      </c>
      <c r="H11" s="246" t="s">
        <v>322</v>
      </c>
      <c r="J11" s="59"/>
      <c r="M11" s="7">
        <v>0</v>
      </c>
      <c r="N11" s="82" t="s">
        <v>3063</v>
      </c>
      <c r="O11" s="1151"/>
      <c r="P11" s="69"/>
      <c r="Q11" s="146"/>
    </row>
    <row r="12" spans="1:19" s="53" customFormat="1" ht="11.25" customHeight="1">
      <c r="A12" s="257" t="s">
        <v>1239</v>
      </c>
      <c r="B12" s="238" t="s">
        <v>3210</v>
      </c>
      <c r="D12" s="58"/>
      <c r="E12" s="58"/>
      <c r="F12" s="709" t="s">
        <v>3895</v>
      </c>
      <c r="G12" s="40">
        <f>P17</f>
        <v>0</v>
      </c>
      <c r="H12" s="246" t="s">
        <v>323</v>
      </c>
      <c r="J12" s="59"/>
      <c r="M12" s="7">
        <v>1</v>
      </c>
      <c r="N12" s="82" t="s">
        <v>1239</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t="s">
        <v>4008</v>
      </c>
      <c r="B14" s="1153"/>
      <c r="C14" s="1153"/>
      <c r="D14" s="1153"/>
      <c r="E14" s="1153"/>
      <c r="F14" s="1153"/>
      <c r="G14" s="1153"/>
      <c r="H14" s="1153"/>
      <c r="I14" s="1153"/>
      <c r="J14" s="1153"/>
      <c r="K14" s="1153"/>
      <c r="L14" s="1153"/>
      <c r="M14" s="1153"/>
      <c r="N14" s="1153"/>
      <c r="O14" s="1153"/>
      <c r="P14" s="1154"/>
      <c r="Q14" s="998" t="s">
        <v>1933</v>
      </c>
      <c r="R14" s="998"/>
    </row>
    <row r="15" spans="1:19" s="52" customFormat="1" ht="1.5" customHeight="1">
      <c r="A15" s="1155"/>
      <c r="B15" s="1156"/>
      <c r="C15" s="1156"/>
      <c r="D15" s="1156"/>
      <c r="E15" s="1156"/>
      <c r="F15" s="1156"/>
      <c r="G15" s="1156"/>
      <c r="H15" s="1156"/>
      <c r="I15" s="1156"/>
      <c r="J15" s="1156"/>
      <c r="K15" s="1156"/>
      <c r="L15" s="1156"/>
      <c r="M15" s="1156"/>
      <c r="N15" s="1156"/>
      <c r="O15" s="1156"/>
      <c r="P15" s="1157"/>
      <c r="Q15" s="998"/>
      <c r="R15" s="998"/>
      <c r="S15" s="217"/>
    </row>
    <row r="16" spans="1:19" s="52" customFormat="1" ht="10.9" customHeight="1">
      <c r="A16" s="260" t="s">
        <v>2922</v>
      </c>
      <c r="C16" s="129"/>
      <c r="D16" s="129"/>
      <c r="F16" s="179" t="s">
        <v>2740</v>
      </c>
      <c r="K16" s="179" t="s">
        <v>2740</v>
      </c>
      <c r="P16" s="62" t="s">
        <v>2740</v>
      </c>
      <c r="R16" s="217"/>
      <c r="S16" s="217"/>
    </row>
    <row r="17" spans="1:19" s="52" customFormat="1" ht="12" customHeight="1">
      <c r="A17" s="1064" t="s">
        <v>3639</v>
      </c>
      <c r="B17" s="1064"/>
      <c r="C17" s="1064"/>
      <c r="D17" s="1064"/>
      <c r="E17" s="83" t="s">
        <v>786</v>
      </c>
      <c r="F17" s="96">
        <f>SUM(F18:F29)</f>
        <v>0</v>
      </c>
      <c r="G17" s="1065" t="s">
        <v>3640</v>
      </c>
      <c r="H17" s="1064"/>
      <c r="I17" s="1064"/>
      <c r="J17" s="83" t="s">
        <v>786</v>
      </c>
      <c r="K17" s="96">
        <f>SUM(K18:K29)</f>
        <v>0</v>
      </c>
      <c r="L17" s="746" t="s">
        <v>2248</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998" t="s">
        <v>1933</v>
      </c>
      <c r="R18" s="998"/>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8"/>
      <c r="R19" s="998"/>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8"/>
      <c r="R20" s="998"/>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8"/>
      <c r="R21" s="998"/>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3066</v>
      </c>
      <c r="B31" s="151" t="s">
        <v>1632</v>
      </c>
      <c r="E31" s="72"/>
      <c r="G31" s="119"/>
      <c r="H31" s="65"/>
      <c r="K31" s="149"/>
      <c r="L31" s="573" t="str">
        <f>IF($O31&gt;$M31,"* * Check Score! * *","")</f>
        <v/>
      </c>
      <c r="M31" s="1">
        <v>3</v>
      </c>
      <c r="N31" s="8"/>
      <c r="O31" s="1151">
        <v>3</v>
      </c>
      <c r="P31" s="69"/>
      <c r="Q31" s="146" t="s">
        <v>652</v>
      </c>
      <c r="R31" s="573" t="str">
        <f>IF(OR($O31=$M31,$O31=0,$O31=""),"","* * Check Score! * *")</f>
        <v/>
      </c>
    </row>
    <row r="32" spans="1:19" s="53" customFormat="1" ht="11.25" customHeight="1">
      <c r="A32" s="52"/>
      <c r="B32" s="154" t="s">
        <v>1939</v>
      </c>
      <c r="E32" s="72"/>
      <c r="H32" s="588" t="s">
        <v>130</v>
      </c>
      <c r="J32" s="1158">
        <v>10</v>
      </c>
      <c r="L32" s="82" t="s">
        <v>1940</v>
      </c>
      <c r="M32" s="148">
        <f>IF(OR('Part VI-Revenues &amp; Expenses'!$M$61="", 'Part VI-Revenues &amp; Expenses'!$M$61=0),"",J32/'Part VI-Revenues &amp; Expenses'!$M$61)</f>
        <v>0.16129032258064516</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t="s">
        <v>4009</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2922</v>
      </c>
      <c r="C35" s="52"/>
      <c r="D35" s="117"/>
      <c r="E35" s="740"/>
      <c r="F35" s="740"/>
      <c r="G35" s="740"/>
      <c r="H35" s="740"/>
      <c r="I35" s="740"/>
      <c r="J35" s="740"/>
      <c r="K35" s="740"/>
      <c r="L35" s="740"/>
      <c r="M35" s="740"/>
      <c r="N35" s="94"/>
      <c r="O35" s="90"/>
      <c r="P35" s="3"/>
    </row>
    <row r="36" spans="1:18" s="53" customFormat="1" ht="12.6" customHeight="1">
      <c r="A36" s="1013"/>
      <c r="B36" s="1014"/>
      <c r="C36" s="1014"/>
      <c r="D36" s="1014"/>
      <c r="E36" s="1014"/>
      <c r="F36" s="1014"/>
      <c r="G36" s="1014"/>
      <c r="H36" s="1014"/>
      <c r="I36" s="1014"/>
      <c r="J36" s="1014"/>
      <c r="K36" s="1014"/>
      <c r="L36" s="1014"/>
      <c r="M36" s="1014"/>
      <c r="N36" s="1014"/>
      <c r="O36" s="1014"/>
      <c r="P36" s="1015"/>
    </row>
    <row r="37" spans="1:18" ht="13.15" customHeight="1"/>
    <row r="38" spans="1:18" s="53" customFormat="1" ht="12.6" customHeight="1">
      <c r="A38" s="210" t="s">
        <v>3823</v>
      </c>
      <c r="B38" s="142" t="s">
        <v>2930</v>
      </c>
      <c r="D38" s="51"/>
      <c r="H38" s="246" t="s">
        <v>927</v>
      </c>
      <c r="I38" s="49"/>
      <c r="J38" s="58"/>
      <c r="K38" s="46"/>
      <c r="M38" s="3">
        <v>12</v>
      </c>
      <c r="N38" s="62"/>
      <c r="O38" s="205">
        <f>IF(AND(O41&gt;=$M41,O43=0),O40+O42,O40)</f>
        <v>12</v>
      </c>
      <c r="P38" s="205">
        <f>IF(AND(P41&gt;=$M41,P43=0),P40+P42,P40)</f>
        <v>0</v>
      </c>
      <c r="Q38" s="146" t="s">
        <v>652</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926</v>
      </c>
      <c r="R40" s="573"/>
    </row>
    <row r="41" spans="1:18" s="53" customFormat="1" ht="12" customHeight="1">
      <c r="A41" s="189" t="s">
        <v>3060</v>
      </c>
      <c r="B41" s="238" t="s">
        <v>2932</v>
      </c>
      <c r="C41" s="5"/>
      <c r="D41" s="5"/>
      <c r="E41" s="246" t="s">
        <v>2935</v>
      </c>
      <c r="F41" s="461"/>
      <c r="G41" s="246" t="s">
        <v>2931</v>
      </c>
      <c r="I41" s="49"/>
      <c r="K41" s="58"/>
      <c r="L41" s="1158">
        <v>0</v>
      </c>
      <c r="M41" s="3">
        <v>10</v>
      </c>
      <c r="N41" s="252" t="s">
        <v>3060</v>
      </c>
      <c r="O41" s="1162">
        <v>10</v>
      </c>
      <c r="P41" s="89"/>
      <c r="R41" s="573"/>
    </row>
    <row r="42" spans="1:18" s="53" customFormat="1" ht="12.6" customHeight="1">
      <c r="A42" s="189" t="s">
        <v>3063</v>
      </c>
      <c r="B42" s="238" t="s">
        <v>2933</v>
      </c>
      <c r="E42" s="594" t="s">
        <v>3557</v>
      </c>
      <c r="F42" s="599"/>
      <c r="G42" s="599"/>
      <c r="K42" s="58"/>
      <c r="L42" s="573" t="str">
        <f>IF(OR($O42=$M42,$O42=0,$O42=""),"","* * Check Score! * *")</f>
        <v/>
      </c>
      <c r="M42" s="3">
        <v>2</v>
      </c>
      <c r="N42" s="62" t="s">
        <v>3063</v>
      </c>
      <c r="O42" s="1162">
        <v>2</v>
      </c>
      <c r="P42" s="89"/>
      <c r="R42" s="573"/>
    </row>
    <row r="43" spans="1:18" s="53" customFormat="1" ht="12.6" customHeight="1">
      <c r="A43" s="189" t="s">
        <v>1239</v>
      </c>
      <c r="B43" s="238" t="s">
        <v>2934</v>
      </c>
      <c r="D43" s="51"/>
      <c r="E43" s="246" t="s">
        <v>625</v>
      </c>
      <c r="F43" s="599"/>
      <c r="G43" s="246" t="s">
        <v>626</v>
      </c>
      <c r="L43" s="1158"/>
      <c r="M43" s="7" t="s">
        <v>1901</v>
      </c>
      <c r="N43" s="252" t="s">
        <v>1239</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4010</v>
      </c>
      <c r="B46" s="1153"/>
      <c r="C46" s="1153"/>
      <c r="D46" s="1153"/>
      <c r="E46" s="1153"/>
      <c r="F46" s="1153"/>
      <c r="G46" s="1153"/>
      <c r="H46" s="1153"/>
      <c r="I46" s="1153"/>
      <c r="J46" s="1153"/>
      <c r="K46" s="1153"/>
      <c r="L46" s="1153"/>
      <c r="M46" s="1153"/>
      <c r="N46" s="1153"/>
      <c r="O46" s="1153"/>
      <c r="P46" s="1154"/>
      <c r="Q46" s="998" t="s">
        <v>1933</v>
      </c>
      <c r="R46" s="998"/>
    </row>
    <row r="47" spans="1:18" s="53" customFormat="1" ht="0.75" customHeight="1">
      <c r="A47" s="1163"/>
      <c r="B47" s="1164"/>
      <c r="C47" s="1164"/>
      <c r="D47" s="1164"/>
      <c r="E47" s="1164"/>
      <c r="F47" s="1164"/>
      <c r="G47" s="1164"/>
      <c r="H47" s="1164"/>
      <c r="I47" s="1164"/>
      <c r="J47" s="1164"/>
      <c r="K47" s="1164"/>
      <c r="L47" s="1164"/>
      <c r="M47" s="1164"/>
      <c r="N47" s="1164"/>
      <c r="O47" s="1164"/>
      <c r="P47" s="1165"/>
      <c r="Q47" s="998"/>
      <c r="R47" s="998"/>
    </row>
    <row r="48" spans="1:18" s="53" customFormat="1" ht="5.2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2922</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8" t="s">
        <v>1933</v>
      </c>
      <c r="R50" s="998"/>
    </row>
    <row r="51" spans="1:18" s="53" customFormat="1" ht="23.45" customHeight="1">
      <c r="A51" s="1002"/>
      <c r="B51" s="1003"/>
      <c r="C51" s="1003"/>
      <c r="D51" s="1003"/>
      <c r="E51" s="1003"/>
      <c r="F51" s="1003"/>
      <c r="G51" s="1003"/>
      <c r="H51" s="1003"/>
      <c r="I51" s="1003"/>
      <c r="J51" s="1003"/>
      <c r="K51" s="1003"/>
      <c r="L51" s="1003"/>
      <c r="M51" s="1003"/>
      <c r="N51" s="1003"/>
      <c r="O51" s="1003"/>
      <c r="P51" s="1004"/>
      <c r="Q51" s="998"/>
      <c r="R51" s="998"/>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1886</v>
      </c>
      <c r="B55" s="142" t="s">
        <v>1941</v>
      </c>
      <c r="D55" s="51"/>
      <c r="H55" s="59" t="s">
        <v>2941</v>
      </c>
      <c r="I55" s="49"/>
      <c r="J55" s="58"/>
      <c r="K55" s="58"/>
      <c r="M55" s="3">
        <v>2</v>
      </c>
      <c r="N55" s="62"/>
      <c r="O55" s="205">
        <f>MIN($M55,(O56+O57))</f>
        <v>1</v>
      </c>
      <c r="P55" s="205">
        <f>MIN($M55,(P56+P57))</f>
        <v>0</v>
      </c>
      <c r="Q55" s="146" t="s">
        <v>652</v>
      </c>
    </row>
    <row r="56" spans="1:18" s="53" customFormat="1" ht="12" customHeight="1">
      <c r="A56" s="189" t="s">
        <v>3060</v>
      </c>
      <c r="B56" s="238" t="s">
        <v>1710</v>
      </c>
      <c r="C56" s="5"/>
      <c r="D56" s="5"/>
      <c r="E56" s="46"/>
      <c r="F56" s="5"/>
      <c r="G56" s="49"/>
      <c r="I56" s="49"/>
      <c r="K56" s="58"/>
      <c r="L56" s="573" t="str">
        <f>IF(OR($O56=$M56,$O56=0,$O56=""),"","* * Check Score! * *")</f>
        <v/>
      </c>
      <c r="M56" s="3">
        <v>2</v>
      </c>
      <c r="N56" s="252" t="s">
        <v>3060</v>
      </c>
      <c r="O56" s="1162"/>
      <c r="P56" s="89"/>
      <c r="R56" s="573"/>
    </row>
    <row r="57" spans="1:18" s="53" customFormat="1" ht="12.6" customHeight="1">
      <c r="A57" s="189" t="s">
        <v>3063</v>
      </c>
      <c r="B57" s="238" t="s">
        <v>1711</v>
      </c>
      <c r="E57" s="51"/>
      <c r="K57" s="58"/>
      <c r="L57" s="573" t="str">
        <f>IF(OR($O57=$M57,$O57=0,$O57=""),"","* * Check Score! * *")</f>
        <v/>
      </c>
      <c r="M57" s="3">
        <v>1</v>
      </c>
      <c r="N57" s="62" t="s">
        <v>3063</v>
      </c>
      <c r="O57" s="1162">
        <v>1</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7.75" customHeight="1">
      <c r="A59" s="1159" t="s">
        <v>4038</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2922</v>
      </c>
      <c r="C60" s="52"/>
      <c r="D60" s="133"/>
      <c r="E60" s="739"/>
      <c r="F60" s="739"/>
      <c r="G60" s="739"/>
      <c r="H60" s="739"/>
      <c r="I60" s="739"/>
      <c r="J60" s="739"/>
      <c r="K60" s="739"/>
      <c r="L60" s="739"/>
      <c r="M60" s="739"/>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1887</v>
      </c>
      <c r="B64" s="142" t="s">
        <v>3704</v>
      </c>
      <c r="D64" s="51"/>
      <c r="E64" s="600" t="s">
        <v>3706</v>
      </c>
      <c r="I64" s="59" t="s">
        <v>2941</v>
      </c>
      <c r="M64" s="3">
        <v>1</v>
      </c>
      <c r="N64" s="616" t="str">
        <f>IF(OR($O64=$M64,$O64=0,$O64=""),"","***")</f>
        <v/>
      </c>
      <c r="O64" s="1162"/>
      <c r="P64" s="89"/>
      <c r="Q64" s="146" t="s">
        <v>652</v>
      </c>
    </row>
    <row r="65" spans="1:17" s="53" customFormat="1" ht="12.6" customHeight="1">
      <c r="A65" s="210"/>
      <c r="B65" s="600" t="s">
        <v>1212</v>
      </c>
      <c r="D65" s="51"/>
      <c r="H65" s="59"/>
      <c r="I65" s="59"/>
      <c r="J65" s="59"/>
      <c r="K65" s="59"/>
      <c r="L65" s="59"/>
      <c r="M65" s="3"/>
      <c r="N65" s="616"/>
      <c r="O65" s="1166"/>
      <c r="P65" s="234"/>
      <c r="Q65" s="146"/>
    </row>
    <row r="66" spans="1:17" s="53" customFormat="1" ht="12.6" customHeight="1">
      <c r="A66" s="210"/>
      <c r="B66" s="600" t="s">
        <v>1211</v>
      </c>
      <c r="D66" s="51"/>
      <c r="H66" s="59"/>
      <c r="I66" s="1167"/>
      <c r="J66" s="1168"/>
      <c r="K66" s="1168"/>
      <c r="L66" s="1169"/>
      <c r="M66" s="3"/>
      <c r="N66" s="616"/>
      <c r="O66" s="616"/>
      <c r="P66" s="616"/>
      <c r="Q66" s="146"/>
    </row>
    <row r="67" spans="1:17" s="53" customFormat="1" ht="12.6" customHeight="1">
      <c r="A67" s="210"/>
      <c r="B67" s="600" t="s">
        <v>1213</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6"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2922</v>
      </c>
      <c r="C70" s="52"/>
      <c r="D70" s="133"/>
      <c r="E70" s="739"/>
      <c r="F70" s="739"/>
      <c r="G70" s="739"/>
      <c r="H70" s="739"/>
      <c r="I70" s="739"/>
      <c r="J70" s="739"/>
      <c r="K70" s="739"/>
      <c r="L70" s="739"/>
      <c r="M70" s="739"/>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2943</v>
      </c>
      <c r="B74" s="142" t="s">
        <v>3705</v>
      </c>
      <c r="D74" s="51"/>
      <c r="E74" s="46" t="s">
        <v>2091</v>
      </c>
      <c r="I74" s="59" t="s">
        <v>2941</v>
      </c>
      <c r="M74" s="3">
        <v>2</v>
      </c>
      <c r="N74" s="62"/>
      <c r="O74" s="1162"/>
      <c r="P74" s="89"/>
      <c r="Q74" s="146" t="s">
        <v>652</v>
      </c>
    </row>
    <row r="75" spans="1:17" s="53" customFormat="1" ht="12.6" customHeight="1">
      <c r="A75" s="210"/>
      <c r="B75" s="600" t="s">
        <v>1214</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9.7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2922</v>
      </c>
      <c r="C78" s="52"/>
      <c r="D78" s="133"/>
      <c r="E78" s="739"/>
      <c r="F78" s="739"/>
      <c r="G78" s="739"/>
      <c r="H78" s="739"/>
      <c r="I78" s="739"/>
      <c r="J78" s="739"/>
      <c r="K78" s="739"/>
      <c r="L78" s="739"/>
      <c r="M78" s="739"/>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744</v>
      </c>
      <c r="B82" s="143" t="s">
        <v>277</v>
      </c>
      <c r="D82" s="49"/>
      <c r="E82" s="46"/>
      <c r="F82" s="246" t="s">
        <v>627</v>
      </c>
      <c r="I82" s="1170" t="s">
        <v>3980</v>
      </c>
      <c r="J82" s="1171"/>
      <c r="K82" s="1171"/>
      <c r="L82" s="1172"/>
      <c r="M82" s="3">
        <v>3</v>
      </c>
      <c r="O82" s="96">
        <f>IF(OR(I82="Earth Craft Communities",I82="LEED-ND"),3,IF(OR(I82="Earth Craft House",I82="LEED for Homes",I82="EF Green Communities"),2,0))</f>
        <v>2</v>
      </c>
      <c r="P82" s="89"/>
      <c r="Q82" s="146" t="s">
        <v>652</v>
      </c>
    </row>
    <row r="83" spans="1:18" s="139" customFormat="1" ht="13.9" customHeight="1">
      <c r="A83" s="52"/>
      <c r="B83" s="1173" t="s">
        <v>2659</v>
      </c>
      <c r="C83" s="1070"/>
      <c r="D83" s="1070"/>
      <c r="E83" s="1070"/>
      <c r="F83" s="1070"/>
      <c r="G83" s="1070"/>
      <c r="H83" s="1070"/>
      <c r="I83" s="1070"/>
      <c r="J83" s="1070"/>
      <c r="K83" s="1070"/>
      <c r="L83" s="1070"/>
      <c r="M83" s="1070"/>
      <c r="N83" s="1"/>
      <c r="O83" s="1174" t="s">
        <v>3925</v>
      </c>
      <c r="P83" s="551"/>
    </row>
    <row r="84" spans="1:18" s="598" customFormat="1" ht="34.9" customHeight="1">
      <c r="B84" s="194" t="s">
        <v>3060</v>
      </c>
      <c r="C84" s="1077" t="s">
        <v>1570</v>
      </c>
      <c r="D84" s="1039"/>
      <c r="E84" s="1039"/>
      <c r="F84" s="1039"/>
      <c r="G84" s="1039"/>
      <c r="H84" s="1039"/>
      <c r="I84" s="1039"/>
      <c r="J84" s="1039"/>
      <c r="K84" s="1039"/>
      <c r="L84" s="1039"/>
      <c r="M84" s="698" t="str">
        <f>IF(AND($I$93="Stable Communities &lt; 10%",O84=""), "X","")</f>
        <v/>
      </c>
      <c r="N84" s="221" t="s">
        <v>3060</v>
      </c>
      <c r="O84" s="1175" t="s">
        <v>3972</v>
      </c>
      <c r="P84" s="703"/>
    </row>
    <row r="85" spans="1:18" s="598" customFormat="1" ht="34.9" customHeight="1">
      <c r="B85" s="194" t="s">
        <v>3063</v>
      </c>
      <c r="C85" s="994" t="s">
        <v>1571</v>
      </c>
      <c r="D85" s="1039"/>
      <c r="E85" s="1039"/>
      <c r="F85" s="1039"/>
      <c r="G85" s="1039"/>
      <c r="H85" s="1039"/>
      <c r="I85" s="1039"/>
      <c r="J85" s="1039"/>
      <c r="K85" s="1039"/>
      <c r="L85" s="1039"/>
      <c r="M85" s="698" t="str">
        <f>IF(AND($I$93="Stable Communities &lt; 10%",O85=""), "X","")</f>
        <v/>
      </c>
      <c r="N85" s="221" t="s">
        <v>3063</v>
      </c>
      <c r="O85" s="1176" t="s">
        <v>3972</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t="s">
        <v>4028</v>
      </c>
      <c r="B87" s="1178"/>
      <c r="C87" s="1178"/>
      <c r="D87" s="1178"/>
      <c r="E87" s="1178"/>
      <c r="F87" s="1178"/>
      <c r="G87" s="1178"/>
      <c r="H87" s="1178"/>
      <c r="I87" s="1178"/>
      <c r="J87" s="1178"/>
      <c r="K87" s="1178"/>
      <c r="L87" s="1178"/>
      <c r="M87" s="1178"/>
      <c r="N87" s="1178"/>
      <c r="O87" s="1178"/>
      <c r="P87" s="1179"/>
    </row>
    <row r="88" spans="1:18" s="53" customFormat="1" ht="4.5"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2922</v>
      </c>
      <c r="C89" s="52"/>
      <c r="D89" s="117"/>
      <c r="E89" s="740"/>
      <c r="F89" s="740"/>
      <c r="G89" s="740"/>
      <c r="H89" s="740"/>
      <c r="I89" s="740"/>
      <c r="J89" s="740"/>
      <c r="K89" s="740"/>
      <c r="L89" s="740"/>
      <c r="M89" s="740"/>
      <c r="N89" s="94"/>
      <c r="O89" s="90"/>
      <c r="P89" s="3"/>
    </row>
    <row r="90" spans="1:18" s="53" customFormat="1" ht="24.6" customHeight="1">
      <c r="A90" s="1061"/>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745</v>
      </c>
      <c r="B93" s="143" t="s">
        <v>3641</v>
      </c>
      <c r="C93" s="126"/>
      <c r="D93" s="74"/>
      <c r="E93" s="74"/>
      <c r="I93" s="1170" t="s">
        <v>3981</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652</v>
      </c>
      <c r="R93" s="53"/>
    </row>
    <row r="94" spans="1:18" ht="12" customHeight="1">
      <c r="A94" s="1076" t="s">
        <v>509</v>
      </c>
      <c r="B94" s="1076"/>
      <c r="C94" s="1076"/>
      <c r="D94" s="1076"/>
      <c r="E94" s="1076"/>
      <c r="F94" s="1076"/>
      <c r="G94" s="1076"/>
      <c r="H94" s="1076"/>
      <c r="I94" s="1076"/>
      <c r="J94" s="1076"/>
      <c r="K94" s="1076"/>
      <c r="L94" s="1076"/>
      <c r="M94" s="1076"/>
      <c r="N94" s="1076"/>
      <c r="O94" s="1076"/>
      <c r="P94" s="1076"/>
    </row>
    <row r="95" spans="1:18" ht="11.45" customHeight="1">
      <c r="A95" s="189" t="s">
        <v>3060</v>
      </c>
      <c r="B95" s="256" t="s">
        <v>3794</v>
      </c>
      <c r="D95" s="42"/>
      <c r="H95" s="76"/>
      <c r="I95" s="42"/>
      <c r="J95" s="42"/>
      <c r="M95" s="156">
        <v>4</v>
      </c>
      <c r="N95" s="31"/>
      <c r="O95" s="31"/>
      <c r="P95" s="31"/>
    </row>
    <row r="96" spans="1:18" ht="11.45" customHeight="1">
      <c r="A96" s="564" t="str">
        <f>IF($I$93="Stable Communities &lt; 10%", "X","")</f>
        <v>X</v>
      </c>
      <c r="B96" s="565" t="s">
        <v>3064</v>
      </c>
      <c r="C96" s="235" t="s">
        <v>868</v>
      </c>
      <c r="E96" s="159"/>
      <c r="N96" s="31"/>
      <c r="O96" s="161" t="s">
        <v>3795</v>
      </c>
      <c r="P96" s="161" t="s">
        <v>3795</v>
      </c>
    </row>
    <row r="97" spans="1:16" ht="11.45" customHeight="1">
      <c r="B97" s="233" t="s">
        <v>3682</v>
      </c>
      <c r="C97" s="584" t="s">
        <v>3622</v>
      </c>
      <c r="E97" s="159"/>
      <c r="G97" s="137" t="s">
        <v>3623</v>
      </c>
      <c r="M97" s="590" t="str">
        <f>IF(AND($I$93="Stable Communities &lt; 10%",O97=""), "X","")</f>
        <v/>
      </c>
      <c r="N97" s="233" t="s">
        <v>3682</v>
      </c>
      <c r="O97" s="1183" t="s">
        <v>3925</v>
      </c>
      <c r="P97" s="354"/>
    </row>
    <row r="98" spans="1:16" ht="11.45" customHeight="1">
      <c r="B98" s="233" t="s">
        <v>3683</v>
      </c>
      <c r="C98" s="585" t="s">
        <v>3624</v>
      </c>
      <c r="E98" s="159"/>
      <c r="G98" s="137" t="s">
        <v>3625</v>
      </c>
      <c r="M98" s="590" t="str">
        <f>IF(AND($I$93="Stable Communities &lt; 10%",O98=""), "X","")</f>
        <v/>
      </c>
      <c r="N98" s="233" t="s">
        <v>3683</v>
      </c>
      <c r="O98" s="1174" t="s">
        <v>3925</v>
      </c>
      <c r="P98" s="551"/>
    </row>
    <row r="99" spans="1:16" ht="11.45" customHeight="1">
      <c r="B99" s="233" t="s">
        <v>3684</v>
      </c>
      <c r="C99" s="585" t="s">
        <v>2191</v>
      </c>
      <c r="E99" s="159"/>
      <c r="M99" s="590" t="str">
        <f>IF(AND($I$93="Stable Communities &lt; 10%",O99=""), "X","")</f>
        <v/>
      </c>
      <c r="N99" s="233" t="s">
        <v>3686</v>
      </c>
      <c r="O99" s="1184" t="s">
        <v>3925</v>
      </c>
      <c r="P99" s="355"/>
    </row>
    <row r="100" spans="1:16" ht="11.45" customHeight="1">
      <c r="A100" s="564" t="str">
        <f>IF($I$93="Stable Communities &lt; 20%", "X","")</f>
        <v/>
      </c>
      <c r="B100" s="565" t="s">
        <v>3066</v>
      </c>
      <c r="C100" s="235" t="s">
        <v>868</v>
      </c>
      <c r="E100" s="159"/>
      <c r="M100" s="591"/>
      <c r="N100" s="31"/>
      <c r="O100" s="161" t="s">
        <v>3795</v>
      </c>
      <c r="P100" s="161" t="s">
        <v>3795</v>
      </c>
    </row>
    <row r="101" spans="1:16" ht="11.45" customHeight="1">
      <c r="B101" s="233" t="s">
        <v>3682</v>
      </c>
      <c r="C101" s="584" t="s">
        <v>3707</v>
      </c>
      <c r="E101" s="159"/>
      <c r="G101" s="137" t="s">
        <v>3626</v>
      </c>
      <c r="M101" s="590" t="str">
        <f>IF(AND($I$93="Stable Communities &lt; 20%",O101=""), "X","")</f>
        <v/>
      </c>
      <c r="N101" s="233" t="s">
        <v>3682</v>
      </c>
      <c r="O101" s="1183" t="s">
        <v>3925</v>
      </c>
      <c r="P101" s="354"/>
    </row>
    <row r="102" spans="1:16" ht="11.45" customHeight="1">
      <c r="B102" s="233" t="s">
        <v>3683</v>
      </c>
      <c r="C102" s="585" t="s">
        <v>3624</v>
      </c>
      <c r="E102" s="159"/>
      <c r="G102" s="137" t="s">
        <v>3625</v>
      </c>
      <c r="M102" s="590" t="str">
        <f>IF(AND($I$93="Stable Communities &lt; 20%",O102=""), "X","")</f>
        <v/>
      </c>
      <c r="N102" s="233" t="s">
        <v>3683</v>
      </c>
      <c r="O102" s="1174" t="s">
        <v>3925</v>
      </c>
      <c r="P102" s="551"/>
    </row>
    <row r="103" spans="1:16" ht="11.45" customHeight="1">
      <c r="B103" s="233" t="s">
        <v>3684</v>
      </c>
      <c r="C103" s="585" t="s">
        <v>2191</v>
      </c>
      <c r="E103" s="159"/>
      <c r="M103" s="590" t="str">
        <f>IF(AND($I$93="Stable Communities &lt; 20%",O103=""), "X","")</f>
        <v/>
      </c>
      <c r="N103" s="233" t="s">
        <v>3686</v>
      </c>
      <c r="O103" s="1184" t="s">
        <v>3925</v>
      </c>
      <c r="P103" s="355"/>
    </row>
    <row r="104" spans="1:16" ht="11.45" customHeight="1">
      <c r="A104" s="189" t="s">
        <v>3063</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3064</v>
      </c>
      <c r="C105" s="118" t="s">
        <v>3708</v>
      </c>
      <c r="D105" s="139"/>
      <c r="G105" s="195"/>
      <c r="K105" s="139"/>
      <c r="L105" s="139"/>
      <c r="N105" s="31"/>
      <c r="O105" s="161" t="s">
        <v>3795</v>
      </c>
      <c r="P105" s="161" t="s">
        <v>3795</v>
      </c>
    </row>
    <row r="106" spans="1:16" ht="10.9" customHeight="1">
      <c r="B106" s="566" t="s">
        <v>3682</v>
      </c>
      <c r="C106" s="567" t="s">
        <v>914</v>
      </c>
      <c r="D106" s="137"/>
      <c r="M106" s="589" t="str">
        <f>IF(AND($I$93="HOPE VI Initiative",O106=""), "X","")</f>
        <v/>
      </c>
      <c r="N106" s="233" t="s">
        <v>3682</v>
      </c>
      <c r="O106" s="1183"/>
      <c r="P106" s="354"/>
    </row>
    <row r="107" spans="1:16" ht="10.9" customHeight="1">
      <c r="B107" s="566" t="s">
        <v>3683</v>
      </c>
      <c r="C107" s="567" t="s">
        <v>915</v>
      </c>
      <c r="M107" s="589" t="str">
        <f>IF(AND($I$93="HOPE VI Initiative",O107=""), "X","")</f>
        <v/>
      </c>
      <c r="N107" s="233" t="s">
        <v>3683</v>
      </c>
      <c r="O107" s="1174"/>
      <c r="P107" s="551"/>
    </row>
    <row r="108" spans="1:16" ht="10.9" customHeight="1">
      <c r="B108" s="566" t="s">
        <v>3684</v>
      </c>
      <c r="C108" s="567" t="s">
        <v>916</v>
      </c>
      <c r="M108" s="589" t="str">
        <f>IF(AND($I$93="HOPE VI Initiative",O108=""), "X","")</f>
        <v/>
      </c>
      <c r="N108" s="233" t="s">
        <v>3684</v>
      </c>
      <c r="O108" s="1174"/>
      <c r="P108" s="551"/>
    </row>
    <row r="109" spans="1:16" ht="10.9" customHeight="1">
      <c r="B109" s="566" t="s">
        <v>3685</v>
      </c>
      <c r="C109" s="72" t="s">
        <v>917</v>
      </c>
      <c r="M109" s="589" t="str">
        <f>IF(AND($I$93="HOPE VI Initiative",O109=""), "X","")</f>
        <v/>
      </c>
      <c r="N109" s="233" t="s">
        <v>3685</v>
      </c>
      <c r="O109" s="1184"/>
      <c r="P109" s="355"/>
    </row>
    <row r="110" spans="1:16" s="53" customFormat="1" ht="11.45" customHeight="1">
      <c r="A110" s="564"/>
      <c r="B110" s="565" t="s">
        <v>3066</v>
      </c>
      <c r="C110" s="153" t="s">
        <v>540</v>
      </c>
      <c r="D110" s="139"/>
      <c r="E110" s="50"/>
      <c r="G110" s="594" t="s">
        <v>921</v>
      </c>
      <c r="M110" s="70"/>
      <c r="N110" s="565" t="s">
        <v>3066</v>
      </c>
      <c r="O110" s="1184"/>
      <c r="P110" s="355"/>
    </row>
    <row r="111" spans="1:16" s="53" customFormat="1" ht="11.45" customHeight="1">
      <c r="A111" s="564" t="str">
        <f>IF($I$93="Redevelopment Zone", "X","")</f>
        <v/>
      </c>
      <c r="B111" s="565" t="s">
        <v>3823</v>
      </c>
      <c r="C111" s="153" t="s">
        <v>541</v>
      </c>
      <c r="D111" s="139"/>
      <c r="F111" s="589"/>
      <c r="G111" s="50" t="s">
        <v>1651</v>
      </c>
      <c r="H111" s="1185" t="s">
        <v>2801</v>
      </c>
      <c r="I111" s="161" t="s">
        <v>1563</v>
      </c>
      <c r="J111" s="1186"/>
      <c r="K111" s="1187"/>
      <c r="L111" s="1188"/>
      <c r="M111" s="70"/>
      <c r="N111" s="565" t="s">
        <v>3823</v>
      </c>
      <c r="O111" s="1184"/>
      <c r="P111" s="355"/>
    </row>
    <row r="112" spans="1:16" s="53" customFormat="1" ht="11.45" customHeight="1">
      <c r="A112" s="564" t="str">
        <f>IF($I$93="Local Redevelopment Plan", "X","")</f>
        <v/>
      </c>
      <c r="B112" s="565" t="s">
        <v>1886</v>
      </c>
      <c r="C112" s="153" t="s">
        <v>918</v>
      </c>
      <c r="D112" s="139"/>
      <c r="E112" s="50"/>
      <c r="F112" s="589"/>
      <c r="G112" s="50" t="s">
        <v>637</v>
      </c>
      <c r="H112" s="1189"/>
      <c r="I112" s="1190"/>
      <c r="J112" s="1190"/>
      <c r="K112" s="1190"/>
      <c r="L112" s="1191"/>
      <c r="M112" s="70"/>
      <c r="N112" s="565" t="s">
        <v>1886</v>
      </c>
      <c r="O112" s="1184"/>
      <c r="P112" s="355"/>
    </row>
    <row r="113" spans="1:16" ht="11.45" customHeight="1">
      <c r="B113" s="566" t="s">
        <v>3682</v>
      </c>
      <c r="C113" s="50" t="s">
        <v>922</v>
      </c>
      <c r="D113" s="137"/>
      <c r="G113" s="137" t="s">
        <v>920</v>
      </c>
      <c r="H113" s="1192"/>
      <c r="M113" s="589" t="str">
        <f>IF(AND($I$93="Local Redevelopment Plan",O113=""), "X","")</f>
        <v/>
      </c>
      <c r="N113" s="566" t="s">
        <v>3682</v>
      </c>
      <c r="O113" s="1183"/>
      <c r="P113" s="354"/>
    </row>
    <row r="114" spans="1:16" ht="10.9" customHeight="1">
      <c r="B114" s="566" t="s">
        <v>3683</v>
      </c>
      <c r="C114" s="567" t="s">
        <v>3711</v>
      </c>
      <c r="D114" s="137"/>
      <c r="M114" s="589"/>
      <c r="N114" s="566" t="s">
        <v>3683</v>
      </c>
      <c r="O114" s="1193"/>
      <c r="P114" s="617"/>
    </row>
    <row r="115" spans="1:16" ht="10.9" customHeight="1">
      <c r="B115" s="566" t="s">
        <v>3684</v>
      </c>
      <c r="C115" s="567" t="s">
        <v>3712</v>
      </c>
      <c r="M115" s="589" t="str">
        <f t="shared" ref="M115:M124" si="0">IF(AND($I$93="Local Redevelopment Plan",O115=""), "X","")</f>
        <v/>
      </c>
      <c r="N115" s="566" t="s">
        <v>3684</v>
      </c>
      <c r="O115" s="1174"/>
      <c r="P115" s="551"/>
    </row>
    <row r="116" spans="1:16" ht="10.9" customHeight="1">
      <c r="B116" s="566" t="s">
        <v>3685</v>
      </c>
      <c r="C116" s="567" t="s">
        <v>3713</v>
      </c>
      <c r="M116" s="589" t="str">
        <f t="shared" si="0"/>
        <v/>
      </c>
      <c r="N116" s="566" t="s">
        <v>3685</v>
      </c>
      <c r="O116" s="1174"/>
      <c r="P116" s="551"/>
    </row>
    <row r="117" spans="1:16" ht="10.9" customHeight="1">
      <c r="B117" s="566" t="s">
        <v>3686</v>
      </c>
      <c r="C117" s="72" t="s">
        <v>3714</v>
      </c>
      <c r="M117" s="589" t="str">
        <f t="shared" si="0"/>
        <v/>
      </c>
      <c r="N117" s="566" t="s">
        <v>3686</v>
      </c>
      <c r="O117" s="1174"/>
      <c r="P117" s="551"/>
    </row>
    <row r="118" spans="1:16" ht="10.9" customHeight="1">
      <c r="B118" s="566" t="s">
        <v>3709</v>
      </c>
      <c r="C118" s="567" t="s">
        <v>3715</v>
      </c>
      <c r="D118" s="137"/>
      <c r="M118" s="589" t="str">
        <f t="shared" si="0"/>
        <v/>
      </c>
      <c r="N118" s="566" t="s">
        <v>3709</v>
      </c>
      <c r="O118" s="1174"/>
      <c r="P118" s="551"/>
    </row>
    <row r="119" spans="1:16" ht="10.9" customHeight="1">
      <c r="B119" s="566" t="s">
        <v>3710</v>
      </c>
      <c r="C119" s="567" t="s">
        <v>3716</v>
      </c>
      <c r="M119" s="589" t="str">
        <f t="shared" si="0"/>
        <v/>
      </c>
      <c r="N119" s="566" t="s">
        <v>3710</v>
      </c>
      <c r="O119" s="1184"/>
      <c r="P119" s="355"/>
    </row>
    <row r="120" spans="1:16" ht="11.45" customHeight="1">
      <c r="A120" s="564" t="str">
        <f>IF($I$93="Stable Communities &lt; 20%", "X","")</f>
        <v/>
      </c>
      <c r="B120" s="584" t="s">
        <v>3720</v>
      </c>
      <c r="E120" s="159"/>
      <c r="M120" s="591"/>
      <c r="N120" s="31"/>
      <c r="O120" s="161" t="s">
        <v>3795</v>
      </c>
      <c r="P120" s="161" t="s">
        <v>3795</v>
      </c>
    </row>
    <row r="121" spans="1:16" ht="10.9" customHeight="1">
      <c r="B121" s="566" t="s">
        <v>3717</v>
      </c>
      <c r="C121" s="567" t="s">
        <v>3721</v>
      </c>
      <c r="M121" s="589" t="str">
        <f t="shared" si="0"/>
        <v/>
      </c>
      <c r="N121" s="566" t="s">
        <v>3717</v>
      </c>
      <c r="O121" s="1183"/>
      <c r="P121" s="354"/>
    </row>
    <row r="122" spans="1:16" ht="10.9" customHeight="1">
      <c r="B122" s="566" t="s">
        <v>3718</v>
      </c>
      <c r="C122" s="72" t="s">
        <v>3722</v>
      </c>
      <c r="M122" s="589" t="str">
        <f t="shared" si="0"/>
        <v/>
      </c>
      <c r="N122" s="566" t="s">
        <v>3718</v>
      </c>
      <c r="O122" s="1174"/>
      <c r="P122" s="551"/>
    </row>
    <row r="123" spans="1:16" ht="10.9" customHeight="1">
      <c r="B123" s="566" t="s">
        <v>3719</v>
      </c>
      <c r="C123" s="567" t="s">
        <v>3723</v>
      </c>
      <c r="M123" s="589" t="str">
        <f t="shared" si="0"/>
        <v/>
      </c>
      <c r="N123" s="566" t="s">
        <v>3719</v>
      </c>
      <c r="O123" s="1174"/>
      <c r="P123" s="551"/>
    </row>
    <row r="124" spans="1:16" ht="10.9" customHeight="1">
      <c r="B124" s="566" t="s">
        <v>919</v>
      </c>
      <c r="C124" s="72" t="s">
        <v>3724</v>
      </c>
      <c r="M124" s="589" t="str">
        <f t="shared" si="0"/>
        <v/>
      </c>
      <c r="N124" s="566" t="s">
        <v>919</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t="s">
        <v>4011</v>
      </c>
      <c r="B126" s="1178"/>
      <c r="C126" s="1178"/>
      <c r="D126" s="1178"/>
      <c r="E126" s="1178"/>
      <c r="F126" s="1178"/>
      <c r="G126" s="1178"/>
      <c r="H126" s="1178"/>
      <c r="I126" s="1178"/>
      <c r="J126" s="1178"/>
      <c r="K126" s="1178"/>
      <c r="L126" s="1178"/>
      <c r="M126" s="1178"/>
      <c r="N126" s="1178"/>
      <c r="O126" s="1178"/>
      <c r="P126" s="1179"/>
    </row>
    <row r="127" spans="1:16" s="53" customFormat="1" ht="1.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2922</v>
      </c>
      <c r="C128" s="52"/>
      <c r="D128" s="117"/>
      <c r="E128" s="740"/>
      <c r="F128" s="740"/>
      <c r="G128" s="740"/>
      <c r="H128" s="740"/>
      <c r="I128" s="740"/>
      <c r="J128" s="740"/>
      <c r="K128" s="740"/>
      <c r="L128" s="740"/>
      <c r="M128" s="740"/>
      <c r="N128" s="94"/>
      <c r="O128" s="90"/>
      <c r="P128" s="3"/>
    </row>
    <row r="129" spans="1:17" s="53" customFormat="1" ht="23.45" customHeight="1">
      <c r="A129" s="1061"/>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279</v>
      </c>
      <c r="B132" s="142" t="s">
        <v>3725</v>
      </c>
      <c r="D132" s="51"/>
      <c r="E132" s="51"/>
      <c r="F132" s="51"/>
      <c r="H132" s="76"/>
      <c r="J132" s="76" t="s">
        <v>505</v>
      </c>
      <c r="K132" s="58"/>
      <c r="M132" s="3">
        <v>3</v>
      </c>
      <c r="N132" s="7"/>
      <c r="O132" s="96">
        <f>MIN($M132,(O133+O139))</f>
        <v>3</v>
      </c>
      <c r="P132" s="96">
        <f>MIN($M132,(P133+P139))</f>
        <v>3</v>
      </c>
      <c r="Q132" s="146" t="s">
        <v>652</v>
      </c>
    </row>
    <row r="133" spans="1:17" ht="12" customHeight="1">
      <c r="B133" s="737" t="s">
        <v>3060</v>
      </c>
      <c r="C133" s="256" t="s">
        <v>3358</v>
      </c>
      <c r="D133" s="42"/>
      <c r="E133" s="42"/>
      <c r="F133" s="42"/>
      <c r="G133" s="31" t="str">
        <f>IF(AND(O133&lt;0,M140&lt;0),"Select either A or B but not both!&gt;","")</f>
        <v/>
      </c>
      <c r="H133" s="42"/>
      <c r="I133" s="42"/>
      <c r="J133" s="42"/>
      <c r="K133" s="42"/>
      <c r="L133" s="573" t="str">
        <f>IF(OR($O133=$M133,$O133=0,$O133=""),"","* * Check Score! * *")</f>
        <v/>
      </c>
      <c r="M133" s="3">
        <v>3</v>
      </c>
      <c r="N133" s="62" t="s">
        <v>3060</v>
      </c>
      <c r="O133" s="1194"/>
      <c r="P133" s="696"/>
    </row>
    <row r="134" spans="1:17" s="137" customFormat="1" ht="22.9" customHeight="1">
      <c r="B134" s="596" t="s">
        <v>3064</v>
      </c>
      <c r="C134" s="1067" t="s">
        <v>1565</v>
      </c>
      <c r="D134" s="1039"/>
      <c r="E134" s="1039"/>
      <c r="F134" s="1039"/>
      <c r="G134" s="1039"/>
      <c r="H134" s="1039"/>
      <c r="I134" s="1039"/>
      <c r="J134" s="1039"/>
      <c r="K134" s="1039"/>
      <c r="L134" s="1039"/>
      <c r="M134" s="695"/>
      <c r="N134" s="596" t="s">
        <v>3064</v>
      </c>
      <c r="O134" s="1166"/>
      <c r="P134" s="234"/>
    </row>
    <row r="135" spans="1:17" s="137" customFormat="1" ht="11.45" customHeight="1">
      <c r="B135" s="252"/>
      <c r="C135" s="160" t="s">
        <v>1566</v>
      </c>
      <c r="H135" s="137" t="s">
        <v>1564</v>
      </c>
      <c r="I135" s="1195"/>
      <c r="J135" s="137" t="s">
        <v>952</v>
      </c>
      <c r="K135" s="1196"/>
      <c r="L135" s="1197"/>
      <c r="M135" s="1198"/>
    </row>
    <row r="136" spans="1:17" s="137" customFormat="1" ht="11.45" customHeight="1">
      <c r="B136" s="252" t="s">
        <v>3066</v>
      </c>
      <c r="C136" s="160" t="s">
        <v>1567</v>
      </c>
      <c r="M136" s="8"/>
      <c r="N136" s="252" t="s">
        <v>3066</v>
      </c>
      <c r="O136" s="1183"/>
      <c r="P136" s="354"/>
    </row>
    <row r="137" spans="1:17" s="137" customFormat="1" ht="11.45" customHeight="1">
      <c r="B137" s="252" t="s">
        <v>3823</v>
      </c>
      <c r="C137" s="160" t="s">
        <v>1568</v>
      </c>
      <c r="M137" s="8"/>
      <c r="N137" s="252" t="s">
        <v>3823</v>
      </c>
      <c r="O137" s="1174"/>
      <c r="P137" s="551"/>
    </row>
    <row r="138" spans="1:17" s="137" customFormat="1" ht="11.45" customHeight="1">
      <c r="B138" s="252" t="s">
        <v>1886</v>
      </c>
      <c r="C138" s="160" t="s">
        <v>1569</v>
      </c>
      <c r="M138" s="8"/>
      <c r="N138" s="252" t="s">
        <v>1886</v>
      </c>
      <c r="O138" s="1184"/>
      <c r="P138" s="355"/>
    </row>
    <row r="139" spans="1:17" ht="12" customHeight="1">
      <c r="A139" s="256" t="s">
        <v>2056</v>
      </c>
      <c r="B139" s="737" t="s">
        <v>3063</v>
      </c>
      <c r="C139" s="256" t="s">
        <v>3359</v>
      </c>
      <c r="D139" s="159"/>
      <c r="E139" s="159"/>
      <c r="M139" s="3">
        <v>3</v>
      </c>
      <c r="N139" s="62" t="s">
        <v>3063</v>
      </c>
      <c r="O139" s="697">
        <f>IF($M140=4,3,IF($M140=3,2,IF($M140=2,1,0)))</f>
        <v>3</v>
      </c>
      <c r="P139" s="697">
        <f>IF($M140=4,3,IF($M140=3,2,IF($M140=2,1,0)))</f>
        <v>3</v>
      </c>
    </row>
    <row r="140" spans="1:17" ht="12" customHeight="1">
      <c r="B140" s="125"/>
      <c r="D140" s="42"/>
      <c r="E140" s="42"/>
      <c r="F140" s="42"/>
      <c r="G140" s="50"/>
      <c r="H140" s="50"/>
      <c r="I140" s="50"/>
      <c r="J140" s="50"/>
      <c r="L140" s="592" t="s">
        <v>735</v>
      </c>
      <c r="M140" s="1166">
        <v>4</v>
      </c>
      <c r="N140" s="183" t="s">
        <v>736</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2922</v>
      </c>
      <c r="C143" s="135"/>
      <c r="D143" s="117"/>
      <c r="E143" s="136"/>
      <c r="F143" s="740"/>
      <c r="G143" s="740"/>
      <c r="H143" s="740"/>
      <c r="I143" s="740"/>
      <c r="J143" s="740"/>
      <c r="K143" s="740"/>
      <c r="L143" s="740"/>
      <c r="M143" s="740"/>
      <c r="N143" s="94"/>
      <c r="O143" s="90"/>
      <c r="P143" s="3"/>
    </row>
    <row r="144" spans="1:17" s="53" customFormat="1" ht="11.45" customHeight="1">
      <c r="A144" s="1013"/>
      <c r="B144" s="1014"/>
      <c r="C144" s="1014"/>
      <c r="D144" s="1014"/>
      <c r="E144" s="1014"/>
      <c r="F144" s="1014"/>
      <c r="G144" s="1014"/>
      <c r="H144" s="1014"/>
      <c r="I144" s="1014"/>
      <c r="J144" s="1014"/>
      <c r="K144" s="1014"/>
      <c r="L144" s="1014"/>
      <c r="M144" s="1014"/>
      <c r="N144" s="1014"/>
      <c r="O144" s="1014"/>
      <c r="P144" s="1015"/>
    </row>
    <row r="145" spans="1:17" ht="8.4499999999999993" customHeight="1">
      <c r="B145" s="159"/>
      <c r="C145" s="159"/>
      <c r="D145" s="159"/>
      <c r="E145" s="159"/>
    </row>
    <row r="146" spans="1:17" s="53" customFormat="1" ht="12" customHeight="1">
      <c r="A146" s="210" t="s">
        <v>280</v>
      </c>
      <c r="B146" s="142" t="s">
        <v>3726</v>
      </c>
      <c r="D146" s="51"/>
      <c r="E146" s="51"/>
      <c r="F146" s="51"/>
      <c r="H146" s="76"/>
      <c r="K146" s="58"/>
      <c r="L146" s="573" t="str">
        <f>IF(OR($O146=$M146,$O146=0,$O146=""),"","* * Check Score! * *")</f>
        <v/>
      </c>
      <c r="M146" s="3">
        <v>2</v>
      </c>
      <c r="N146" s="62"/>
      <c r="O146" s="1162">
        <v>2</v>
      </c>
      <c r="P146" s="89"/>
      <c r="Q146" s="146" t="s">
        <v>652</v>
      </c>
    </row>
    <row r="147" spans="1:17" ht="11.45" customHeight="1">
      <c r="B147" s="235" t="s">
        <v>2667</v>
      </c>
      <c r="E147" s="159"/>
      <c r="M147" s="591"/>
      <c r="N147" s="31"/>
      <c r="O147" s="31"/>
      <c r="P147" s="161" t="s">
        <v>3795</v>
      </c>
    </row>
    <row r="148" spans="1:17" ht="11.45" customHeight="1">
      <c r="A148" s="566" t="s">
        <v>3682</v>
      </c>
      <c r="B148" s="567" t="s">
        <v>3727</v>
      </c>
      <c r="D148" s="137"/>
      <c r="M148" s="589"/>
      <c r="N148" s="566"/>
      <c r="O148" s="566" t="s">
        <v>3682</v>
      </c>
      <c r="P148" s="354"/>
    </row>
    <row r="149" spans="1:17" ht="23.45" customHeight="1">
      <c r="A149" s="593" t="s">
        <v>3683</v>
      </c>
      <c r="B149" s="1055" t="s">
        <v>3728</v>
      </c>
      <c r="C149" s="1039"/>
      <c r="D149" s="1039"/>
      <c r="E149" s="1039"/>
      <c r="F149" s="1039"/>
      <c r="G149" s="1039"/>
      <c r="H149" s="1039"/>
      <c r="I149" s="1039"/>
      <c r="J149" s="1039"/>
      <c r="K149" s="1039"/>
      <c r="L149" s="1039"/>
      <c r="M149" s="1039"/>
      <c r="N149" s="1039"/>
      <c r="O149" s="566" t="s">
        <v>3683</v>
      </c>
      <c r="P149" s="551"/>
    </row>
    <row r="150" spans="1:17" ht="11.45" customHeight="1">
      <c r="A150" s="566" t="s">
        <v>3684</v>
      </c>
      <c r="B150" s="567" t="s">
        <v>3729</v>
      </c>
      <c r="M150" s="589"/>
      <c r="N150" s="566"/>
      <c r="O150" s="566" t="s">
        <v>3684</v>
      </c>
      <c r="P150" s="551"/>
    </row>
    <row r="151" spans="1:17" ht="11.45" customHeight="1">
      <c r="A151" s="566" t="s">
        <v>3685</v>
      </c>
      <c r="B151" s="72" t="s">
        <v>3340</v>
      </c>
      <c r="M151" s="589"/>
      <c r="N151" s="566"/>
      <c r="O151" s="566" t="s">
        <v>3685</v>
      </c>
      <c r="P151" s="551"/>
    </row>
    <row r="152" spans="1:17" ht="23.45" customHeight="1">
      <c r="A152" s="593" t="s">
        <v>3686</v>
      </c>
      <c r="B152" s="1055" t="s">
        <v>3341</v>
      </c>
      <c r="C152" s="1039"/>
      <c r="D152" s="1039"/>
      <c r="E152" s="1039"/>
      <c r="F152" s="1039"/>
      <c r="G152" s="1039"/>
      <c r="H152" s="1039"/>
      <c r="I152" s="1039"/>
      <c r="J152" s="1039"/>
      <c r="K152" s="1039"/>
      <c r="L152" s="1039"/>
      <c r="M152" s="1039"/>
      <c r="N152" s="1039"/>
      <c r="O152" s="566" t="s">
        <v>3686</v>
      </c>
      <c r="P152" s="551"/>
    </row>
    <row r="153" spans="1:17" ht="11.45" customHeight="1">
      <c r="A153" s="566" t="s">
        <v>3709</v>
      </c>
      <c r="B153" s="567" t="s">
        <v>3342</v>
      </c>
      <c r="M153" s="589"/>
      <c r="N153" s="566"/>
      <c r="O153" s="566" t="s">
        <v>3709</v>
      </c>
      <c r="P153" s="551"/>
    </row>
    <row r="154" spans="1:17" ht="11.45" customHeight="1">
      <c r="A154" s="566" t="s">
        <v>3710</v>
      </c>
      <c r="B154" s="567" t="s">
        <v>2668</v>
      </c>
      <c r="M154" s="589"/>
      <c r="N154" s="566"/>
      <c r="O154" s="566" t="s">
        <v>3710</v>
      </c>
      <c r="P154" s="551"/>
    </row>
    <row r="155" spans="1:17" ht="11.45" customHeight="1">
      <c r="A155" s="566" t="s">
        <v>3717</v>
      </c>
      <c r="B155" s="72" t="s">
        <v>2669</v>
      </c>
      <c r="M155" s="589"/>
      <c r="N155" s="566"/>
      <c r="O155" s="566" t="s">
        <v>3717</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36.75" customHeight="1">
      <c r="A157" s="1152" t="s">
        <v>4012</v>
      </c>
      <c r="B157" s="1153"/>
      <c r="C157" s="1153"/>
      <c r="D157" s="1153"/>
      <c r="E157" s="1153"/>
      <c r="F157" s="1153"/>
      <c r="G157" s="1153"/>
      <c r="H157" s="1153"/>
      <c r="I157" s="1153"/>
      <c r="J157" s="1153"/>
      <c r="K157" s="1153"/>
      <c r="L157" s="1153"/>
      <c r="M157" s="1153"/>
      <c r="N157" s="1153"/>
      <c r="O157" s="1153"/>
      <c r="P157" s="1154"/>
    </row>
    <row r="158" spans="1:17" s="53" customFormat="1" ht="3"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2922</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3360</v>
      </c>
      <c r="C166" s="67"/>
      <c r="D166" s="158"/>
      <c r="E166" s="158"/>
      <c r="F166" s="51"/>
      <c r="H166" s="49"/>
      <c r="J166" s="76" t="s">
        <v>505</v>
      </c>
      <c r="K166" s="58"/>
      <c r="M166" s="3">
        <v>1</v>
      </c>
      <c r="N166" s="7"/>
      <c r="O166" s="96">
        <f>MIN($M166,SUM(O167:O168))</f>
        <v>1</v>
      </c>
      <c r="P166" s="96">
        <f>MIN($M166,SUM(P167:P168))</f>
        <v>0</v>
      </c>
      <c r="Q166" s="146" t="s">
        <v>652</v>
      </c>
    </row>
    <row r="167" spans="1:18" s="139" customFormat="1" ht="12" customHeight="1">
      <c r="B167" s="737" t="s">
        <v>3060</v>
      </c>
      <c r="C167" s="238" t="s">
        <v>3361</v>
      </c>
      <c r="D167" s="76"/>
      <c r="E167" s="76"/>
      <c r="G167" s="31"/>
      <c r="K167" s="62" t="s">
        <v>2216</v>
      </c>
      <c r="L167" s="1166" t="s">
        <v>3925</v>
      </c>
      <c r="M167" s="8">
        <v>1</v>
      </c>
      <c r="N167" s="62" t="s">
        <v>3060</v>
      </c>
      <c r="O167" s="1162">
        <v>1</v>
      </c>
      <c r="P167" s="89"/>
      <c r="Q167" s="146"/>
      <c r="R167" s="573" t="str">
        <f>IF(OR($O167=$M167,$O167=0,$O167=""),"","* * Check Score! * *")</f>
        <v/>
      </c>
    </row>
    <row r="168" spans="1:18" s="53" customFormat="1" ht="12" customHeight="1">
      <c r="B168" s="737" t="s">
        <v>3063</v>
      </c>
      <c r="C168" s="238" t="s">
        <v>3362</v>
      </c>
      <c r="D168" s="72"/>
      <c r="E168" s="40"/>
      <c r="F168" s="72"/>
      <c r="K168" s="65"/>
      <c r="L168" s="573" t="str">
        <f>IF(OR($O168=$M168,$O168=0,$O168=""),"","* * Check Score! * *")</f>
        <v/>
      </c>
      <c r="M168" s="8">
        <v>1</v>
      </c>
      <c r="N168" s="62" t="s">
        <v>3063</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38.25" customHeight="1">
      <c r="A170" s="1159" t="s">
        <v>4029</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2922</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3665</v>
      </c>
      <c r="C175" s="67"/>
      <c r="D175" s="158"/>
      <c r="E175" s="158"/>
      <c r="F175" s="51"/>
      <c r="H175" s="49"/>
      <c r="J175" s="76" t="s">
        <v>505</v>
      </c>
      <c r="K175" s="58"/>
      <c r="M175" s="3">
        <v>6</v>
      </c>
      <c r="N175" s="7"/>
      <c r="O175" s="96">
        <f>MIN($M175,(O176+O180))</f>
        <v>0</v>
      </c>
      <c r="P175" s="96">
        <f>MIN($M175,(P176+P180))</f>
        <v>0</v>
      </c>
      <c r="Q175" s="146" t="s">
        <v>652</v>
      </c>
    </row>
    <row r="176" spans="1:18" s="53" customFormat="1" ht="12" customHeight="1">
      <c r="B176" s="737" t="s">
        <v>3060</v>
      </c>
      <c r="C176" s="238" t="s">
        <v>2842</v>
      </c>
      <c r="D176" s="158"/>
      <c r="E176" s="158"/>
      <c r="F176" s="51"/>
      <c r="H176" s="49"/>
      <c r="I176" s="49"/>
      <c r="J176" s="49"/>
      <c r="K176" s="49"/>
      <c r="L176" s="573" t="str">
        <f>IF($O176&lt;=$M176,"","* * Check Score! * *")</f>
        <v/>
      </c>
      <c r="M176" s="3">
        <v>3</v>
      </c>
      <c r="N176" s="83" t="s">
        <v>3060</v>
      </c>
      <c r="O176" s="128">
        <f>IF(O177="One",$M178, IF(O177="Two",$M179,0))</f>
        <v>0</v>
      </c>
      <c r="P176" s="128">
        <f>IF(P177="One",$M178, IF(P177="Two",$M179,0))</f>
        <v>0</v>
      </c>
      <c r="Q176" s="146"/>
    </row>
    <row r="177" spans="1:18" s="53" customFormat="1" ht="24" customHeight="1">
      <c r="B177" s="737"/>
      <c r="C177" s="1068"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3064</v>
      </c>
      <c r="C178" s="1068" t="s">
        <v>189</v>
      </c>
      <c r="D178" s="1068"/>
      <c r="E178" s="1068"/>
      <c r="F178" s="1068"/>
      <c r="G178" s="1068"/>
      <c r="H178" s="1068"/>
      <c r="I178" s="1068"/>
      <c r="J178" s="1068"/>
      <c r="K178" s="1068"/>
      <c r="L178" s="1068"/>
      <c r="M178" s="694">
        <v>3</v>
      </c>
    </row>
    <row r="179" spans="1:18" s="692" customFormat="1" ht="26.45" customHeight="1">
      <c r="A179" s="691" t="str">
        <f>IF($I$93="HOPE VI Initiative", "X","")</f>
        <v/>
      </c>
      <c r="B179" s="693" t="s">
        <v>3066</v>
      </c>
      <c r="C179" s="1068" t="s">
        <v>2902</v>
      </c>
      <c r="D179" s="1068"/>
      <c r="E179" s="1068"/>
      <c r="F179" s="1068"/>
      <c r="G179" s="1068"/>
      <c r="H179" s="1068"/>
      <c r="I179" s="1068"/>
      <c r="J179" s="1068"/>
      <c r="K179" s="1068"/>
      <c r="L179" s="1068"/>
      <c r="M179" s="694">
        <v>1</v>
      </c>
    </row>
    <row r="180" spans="1:18" ht="12" customHeight="1">
      <c r="B180" s="737" t="s">
        <v>3063</v>
      </c>
      <c r="C180" s="238" t="s">
        <v>2670</v>
      </c>
      <c r="D180" s="42"/>
      <c r="E180" s="42"/>
      <c r="F180" s="42"/>
      <c r="G180" s="157"/>
      <c r="H180" s="42"/>
      <c r="I180" s="42"/>
      <c r="J180" s="42"/>
      <c r="K180" s="42"/>
      <c r="L180" s="42"/>
      <c r="M180" s="1">
        <v>6</v>
      </c>
      <c r="N180" s="62" t="s">
        <v>3063</v>
      </c>
      <c r="O180" s="128">
        <f>IF((O181+O182+O183)=7,5,MIN($M180,(O181+O182+O183)))</f>
        <v>0</v>
      </c>
      <c r="P180" s="128">
        <f>IF((P181+P182+P183)=7,5,MIN($M180,(P181+P182+P183)))</f>
        <v>0</v>
      </c>
      <c r="R180" s="573" t="str">
        <f>IF(OR($O180=$M180,$O180=0,$O180=""),"","* * Check Score! * *")</f>
        <v/>
      </c>
    </row>
    <row r="181" spans="1:18" s="137" customFormat="1" ht="11.45" customHeight="1">
      <c r="B181" s="252" t="s">
        <v>3064</v>
      </c>
      <c r="C181" s="160" t="s">
        <v>2672</v>
      </c>
      <c r="L181" s="573"/>
      <c r="M181" s="8">
        <v>6</v>
      </c>
      <c r="N181" s="252" t="s">
        <v>3064</v>
      </c>
      <c r="O181" s="1162"/>
      <c r="P181" s="89"/>
    </row>
    <row r="182" spans="1:18" s="137" customFormat="1" ht="11.45" customHeight="1">
      <c r="B182" s="252" t="s">
        <v>3066</v>
      </c>
      <c r="C182" s="160" t="s">
        <v>2673</v>
      </c>
      <c r="L182" s="573" t="str">
        <f>IF(OR($O182=$M182,$O182=0,$O182=""),"","* * Check Score! * *")</f>
        <v/>
      </c>
      <c r="M182" s="8">
        <v>2</v>
      </c>
      <c r="N182" s="252" t="s">
        <v>3066</v>
      </c>
      <c r="O182" s="1162"/>
      <c r="P182" s="89"/>
    </row>
    <row r="183" spans="1:18" s="137" customFormat="1" ht="11.45" customHeight="1">
      <c r="B183" s="252" t="s">
        <v>3823</v>
      </c>
      <c r="C183" s="160" t="s">
        <v>2671</v>
      </c>
      <c r="L183" s="573" t="str">
        <f>IF(OR($O183=$M183,$O183=0,$O183=""),"","* * Check Score! * *")</f>
        <v/>
      </c>
      <c r="M183" s="8">
        <v>2</v>
      </c>
      <c r="N183" s="252" t="s">
        <v>3823</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8.2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5.2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2922</v>
      </c>
      <c r="C187" s="135"/>
      <c r="D187" s="117"/>
      <c r="E187" s="136"/>
      <c r="F187" s="740"/>
      <c r="G187" s="740"/>
      <c r="H187" s="740"/>
      <c r="I187" s="740"/>
      <c r="J187" s="740"/>
      <c r="K187" s="740"/>
      <c r="L187" s="740"/>
      <c r="M187" s="740"/>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1037</v>
      </c>
      <c r="C191" s="119"/>
      <c r="D191" s="73"/>
      <c r="E191" s="65"/>
      <c r="J191" s="76" t="s">
        <v>505</v>
      </c>
      <c r="M191" s="3">
        <v>3</v>
      </c>
      <c r="N191" s="7"/>
      <c r="O191" s="96">
        <f>MIN($M191,O193+O192)</f>
        <v>0</v>
      </c>
      <c r="P191" s="96">
        <f>MIN($M191,P193+P192)</f>
        <v>0</v>
      </c>
      <c r="Q191" s="146" t="s">
        <v>652</v>
      </c>
    </row>
    <row r="192" spans="1:18" s="53" customFormat="1" ht="12" customHeight="1">
      <c r="A192" s="189" t="s">
        <v>3060</v>
      </c>
      <c r="B192" s="398" t="s">
        <v>923</v>
      </c>
      <c r="D192" s="42"/>
      <c r="E192" s="42"/>
      <c r="F192" s="42"/>
      <c r="L192" s="573" t="str">
        <f>IF(OR($O192=$M192,$O192=0,$O192=""),"","* * Check Score! * *")</f>
        <v/>
      </c>
      <c r="M192" s="7">
        <v>3</v>
      </c>
      <c r="N192" s="62" t="s">
        <v>3060</v>
      </c>
      <c r="O192" s="1162"/>
      <c r="P192" s="89"/>
      <c r="Q192" s="146"/>
      <c r="R192" s="573" t="str">
        <f>IF(OR($O192=$M192,$O192=0,$O192=""),"","* * Check Score! * *")</f>
        <v/>
      </c>
    </row>
    <row r="193" spans="1:18" s="53" customFormat="1" ht="12" customHeight="1">
      <c r="A193" s="189" t="s">
        <v>3063</v>
      </c>
      <c r="B193" s="398" t="s">
        <v>2868</v>
      </c>
      <c r="D193" s="50"/>
      <c r="E193" s="50"/>
      <c r="F193" s="40"/>
      <c r="G193" s="139"/>
      <c r="H193" s="139"/>
      <c r="I193" s="139"/>
      <c r="J193" s="139"/>
      <c r="K193" s="139"/>
      <c r="L193" s="573" t="str">
        <f>IF(OR($O193=$M193,$O193=0,$O193=""),"","* * Check Score! * *")</f>
        <v/>
      </c>
      <c r="M193" s="7">
        <v>2</v>
      </c>
      <c r="N193" s="62" t="s">
        <v>3063</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t="s">
        <v>4013</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2922</v>
      </c>
      <c r="C196" s="135"/>
      <c r="D196" s="117"/>
      <c r="E196" s="136"/>
      <c r="F196" s="740"/>
      <c r="G196" s="740"/>
      <c r="H196" s="740"/>
      <c r="I196" s="740"/>
      <c r="J196" s="740"/>
      <c r="K196" s="740"/>
      <c r="L196" s="740"/>
      <c r="M196" s="740"/>
      <c r="N196" s="94"/>
      <c r="O196" s="90"/>
      <c r="P196" s="3"/>
    </row>
    <row r="197" spans="1:18" s="53" customFormat="1" ht="25.15" customHeight="1">
      <c r="A197" s="1013"/>
      <c r="B197" s="1014"/>
      <c r="C197" s="1014"/>
      <c r="D197" s="1014"/>
      <c r="E197" s="1014"/>
      <c r="F197" s="1014"/>
      <c r="G197" s="1014"/>
      <c r="H197" s="1014"/>
      <c r="I197" s="1014"/>
      <c r="J197" s="1014"/>
      <c r="K197" s="1014"/>
      <c r="L197" s="1014"/>
      <c r="M197" s="1014"/>
      <c r="N197" s="1014"/>
      <c r="O197" s="1014"/>
      <c r="P197" s="1015"/>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2113</v>
      </c>
      <c r="B199" s="151" t="s">
        <v>2674</v>
      </c>
      <c r="C199" s="119"/>
      <c r="D199" s="73"/>
      <c r="E199" s="65"/>
      <c r="J199" s="76" t="s">
        <v>505</v>
      </c>
      <c r="M199" s="3">
        <v>2</v>
      </c>
      <c r="N199" s="7"/>
      <c r="O199" s="96">
        <f>MIN($M199,O201+O200)</f>
        <v>0</v>
      </c>
      <c r="P199" s="96">
        <f>MIN($M199,P201+P200)</f>
        <v>0</v>
      </c>
      <c r="Q199" s="146" t="s">
        <v>652</v>
      </c>
    </row>
    <row r="200" spans="1:18" s="53" customFormat="1" ht="12" customHeight="1">
      <c r="A200" s="189" t="s">
        <v>3060</v>
      </c>
      <c r="B200" s="147" t="s">
        <v>2675</v>
      </c>
      <c r="D200" s="42"/>
      <c r="E200" s="42"/>
      <c r="F200" s="42"/>
      <c r="L200" s="573" t="str">
        <f>IF(OR($O200=$M200,$O200=0,$O200=""),"","* * Check Score! * *")</f>
        <v/>
      </c>
      <c r="M200" s="7">
        <v>2</v>
      </c>
      <c r="N200" s="62" t="s">
        <v>3060</v>
      </c>
      <c r="O200" s="1162"/>
      <c r="P200" s="89"/>
      <c r="Q200" s="146"/>
      <c r="R200" s="573" t="str">
        <f>IF(OR($O200=$M200,$O200=0,$O200=""),"","* * Check Score! * *")</f>
        <v/>
      </c>
    </row>
    <row r="201" spans="1:18" s="53" customFormat="1" ht="12" customHeight="1">
      <c r="A201" s="189" t="s">
        <v>3063</v>
      </c>
      <c r="B201" s="147" t="s">
        <v>2676</v>
      </c>
      <c r="D201" s="50"/>
      <c r="E201" s="50"/>
      <c r="F201" s="40"/>
      <c r="G201" s="139"/>
      <c r="H201" s="139"/>
      <c r="I201" s="139"/>
      <c r="J201" s="139"/>
      <c r="K201" s="139"/>
      <c r="L201" s="46"/>
      <c r="M201" s="7">
        <v>1</v>
      </c>
      <c r="N201" s="62" t="s">
        <v>3063</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18.75" customHeight="1">
      <c r="A203" s="1159"/>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2922</v>
      </c>
      <c r="C204" s="135"/>
      <c r="D204" s="117"/>
      <c r="E204" s="136"/>
      <c r="F204" s="740"/>
      <c r="G204" s="740"/>
      <c r="H204" s="740"/>
      <c r="I204" s="740"/>
      <c r="J204" s="740"/>
      <c r="K204" s="740"/>
      <c r="L204" s="740"/>
      <c r="M204" s="740"/>
      <c r="N204" s="94"/>
      <c r="O204" s="90"/>
      <c r="P204" s="3"/>
    </row>
    <row r="205" spans="1:18" s="53" customFormat="1" ht="25.15" customHeight="1">
      <c r="A205" s="1013"/>
      <c r="B205" s="1014"/>
      <c r="C205" s="1014"/>
      <c r="D205" s="1014"/>
      <c r="E205" s="1014"/>
      <c r="F205" s="1014"/>
      <c r="G205" s="1014"/>
      <c r="H205" s="1014"/>
      <c r="I205" s="1014"/>
      <c r="J205" s="1014"/>
      <c r="K205" s="1014"/>
      <c r="L205" s="1014"/>
      <c r="M205" s="1014"/>
      <c r="N205" s="1014"/>
      <c r="O205" s="1014"/>
      <c r="P205" s="1015"/>
    </row>
    <row r="206" spans="1:18" ht="6.6" customHeight="1"/>
    <row r="207" spans="1:18" s="78" customFormat="1" ht="12.6" customHeight="1">
      <c r="A207" s="210" t="s">
        <v>2677</v>
      </c>
      <c r="B207" s="142" t="s">
        <v>1038</v>
      </c>
      <c r="G207" s="158"/>
      <c r="H207" s="158"/>
      <c r="I207" s="158"/>
      <c r="J207" s="263" t="s">
        <v>3642</v>
      </c>
      <c r="K207" s="158"/>
      <c r="L207" s="573" t="str">
        <f>IF(OR($O207=$M207,$O207=0,$O207=2,$O207=""),"","* * Check Score! * *")</f>
        <v/>
      </c>
      <c r="M207" s="3">
        <v>3</v>
      </c>
      <c r="N207" s="7"/>
      <c r="O207" s="81">
        <f>IF(OR(AND(J209=2,M209=3),AND(J209="",M209=3)),3,IF(AND(J209=3,M209=2),2,0))</f>
        <v>3</v>
      </c>
      <c r="P207" s="89"/>
      <c r="Q207" s="146" t="s">
        <v>652</v>
      </c>
      <c r="R207" s="31"/>
    </row>
    <row r="208" spans="1:18" s="78" customFormat="1" ht="25.15" customHeight="1">
      <c r="A208" s="210"/>
      <c r="B208" s="1071" t="s">
        <v>1572</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952</v>
      </c>
      <c r="D209" s="1199" t="s">
        <v>3982</v>
      </c>
      <c r="E209" s="1200"/>
      <c r="F209" s="1200"/>
      <c r="G209" s="1201"/>
      <c r="I209" s="702" t="s">
        <v>1573</v>
      </c>
      <c r="J209" s="1166"/>
      <c r="L209" s="702" t="s">
        <v>1574</v>
      </c>
      <c r="M209" s="1166">
        <v>3</v>
      </c>
      <c r="N209" s="64"/>
      <c r="O209" s="64"/>
      <c r="P209" s="64"/>
      <c r="Q209" s="701"/>
      <c r="R209" s="700"/>
    </row>
    <row r="210" spans="1:18" s="53" customFormat="1" ht="13.9" customHeight="1">
      <c r="A210" s="52"/>
      <c r="B210" s="59" t="s">
        <v>333</v>
      </c>
      <c r="C210" s="52"/>
      <c r="D210" s="58"/>
      <c r="E210" s="58"/>
      <c r="F210" s="58"/>
      <c r="G210" s="58"/>
      <c r="H210" s="46"/>
      <c r="I210" s="46"/>
      <c r="J210" s="117" t="s">
        <v>2922</v>
      </c>
      <c r="M210" s="56"/>
      <c r="N210" s="77"/>
      <c r="O210" s="4"/>
      <c r="P210" s="33"/>
    </row>
    <row r="211" spans="1:18" s="53" customFormat="1" ht="9.75" customHeight="1">
      <c r="A211" s="1159"/>
      <c r="B211" s="1160"/>
      <c r="C211" s="1160"/>
      <c r="D211" s="1160"/>
      <c r="E211" s="1160"/>
      <c r="F211" s="1160"/>
      <c r="G211" s="1160"/>
      <c r="H211" s="1160"/>
      <c r="I211" s="1161"/>
      <c r="J211" s="1013"/>
      <c r="K211" s="1014"/>
      <c r="L211" s="1014"/>
      <c r="M211" s="1014"/>
      <c r="N211" s="1014"/>
      <c r="O211" s="1014"/>
      <c r="P211" s="1015"/>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2679</v>
      </c>
      <c r="B213" s="152" t="s">
        <v>2678</v>
      </c>
      <c r="D213" s="120"/>
      <c r="E213" s="120"/>
      <c r="F213" s="65"/>
      <c r="G213" s="65"/>
      <c r="H213" s="65"/>
      <c r="I213" s="65"/>
      <c r="J213" s="67"/>
      <c r="K213" s="75"/>
      <c r="L213" s="573" t="str">
        <f>IF(OR($O213=$M213,$O213=0,$O213=""),"","* * Check Score! * *")</f>
        <v/>
      </c>
      <c r="M213" s="1">
        <v>1</v>
      </c>
      <c r="N213" s="62"/>
      <c r="O213" s="1162"/>
      <c r="P213" s="89"/>
      <c r="Q213" s="146" t="s">
        <v>652</v>
      </c>
    </row>
    <row r="214" spans="1:18" s="53" customFormat="1" ht="12.6" customHeight="1">
      <c r="A214" s="52"/>
      <c r="B214" s="153" t="s">
        <v>2893</v>
      </c>
      <c r="D214" s="139"/>
      <c r="E214" s="1202" t="s">
        <v>2814</v>
      </c>
      <c r="F214" s="1203"/>
      <c r="G214" s="1204"/>
      <c r="H214" s="1205"/>
      <c r="I214" s="64" t="s">
        <v>2892</v>
      </c>
      <c r="O214" s="161" t="s">
        <v>3795</v>
      </c>
      <c r="P214" s="161" t="s">
        <v>3795</v>
      </c>
    </row>
    <row r="215" spans="1:18" s="137" customFormat="1" ht="11.45" customHeight="1">
      <c r="B215" s="566" t="s">
        <v>3682</v>
      </c>
      <c r="C215" s="160" t="s">
        <v>2680</v>
      </c>
      <c r="D215" s="160"/>
      <c r="E215" s="160"/>
      <c r="F215" s="160"/>
      <c r="G215" s="1206" t="s">
        <v>3809</v>
      </c>
      <c r="H215" s="1207"/>
      <c r="I215" s="1208"/>
      <c r="J215" s="1206" t="s">
        <v>1838</v>
      </c>
      <c r="K215" s="1207"/>
      <c r="L215" s="1208"/>
      <c r="N215" s="566" t="s">
        <v>3682</v>
      </c>
      <c r="O215" s="1166"/>
      <c r="P215" s="234"/>
    </row>
    <row r="216" spans="1:18" s="137" customFormat="1" ht="11.45" customHeight="1">
      <c r="B216" s="566" t="s">
        <v>3683</v>
      </c>
      <c r="C216" s="160" t="s">
        <v>506</v>
      </c>
      <c r="D216" s="160"/>
      <c r="E216" s="160"/>
      <c r="F216" s="160"/>
      <c r="G216" s="160"/>
      <c r="L216" s="160"/>
      <c r="M216" s="160"/>
      <c r="N216" s="566" t="s">
        <v>3683</v>
      </c>
      <c r="O216" s="1166"/>
      <c r="P216" s="234"/>
    </row>
    <row r="217" spans="1:18" s="137" customFormat="1" ht="11.45" customHeight="1">
      <c r="B217" s="566" t="s">
        <v>3684</v>
      </c>
      <c r="C217" s="160" t="s">
        <v>2625</v>
      </c>
      <c r="D217" s="160"/>
      <c r="E217" s="160"/>
      <c r="F217" s="160"/>
      <c r="G217" s="160"/>
      <c r="H217" s="160"/>
      <c r="L217" s="160"/>
      <c r="M217" s="160"/>
      <c r="N217" s="566" t="s">
        <v>3684</v>
      </c>
      <c r="O217" s="1166"/>
      <c r="P217" s="234"/>
    </row>
    <row r="218" spans="1:18" s="137" customFormat="1" ht="11.45" customHeight="1">
      <c r="B218" s="566" t="s">
        <v>3685</v>
      </c>
      <c r="C218" s="160" t="s">
        <v>3491</v>
      </c>
      <c r="D218" s="160"/>
      <c r="E218" s="160"/>
      <c r="F218" s="160"/>
      <c r="G218" s="160"/>
      <c r="H218" s="160"/>
      <c r="I218" s="160"/>
      <c r="J218" s="160"/>
      <c r="K218" s="160"/>
      <c r="L218" s="160"/>
      <c r="M218" s="160"/>
      <c r="N218" s="566" t="s">
        <v>3685</v>
      </c>
      <c r="O218" s="116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8.2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2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2922</v>
      </c>
      <c r="C223" s="135"/>
      <c r="D223" s="117"/>
      <c r="E223" s="136"/>
      <c r="F223" s="740"/>
      <c r="G223" s="740"/>
      <c r="H223" s="740"/>
      <c r="I223" s="740"/>
      <c r="J223" s="740"/>
      <c r="K223" s="740"/>
      <c r="L223" s="740"/>
      <c r="M223" s="740"/>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2681</v>
      </c>
      <c r="B227" s="152" t="s">
        <v>2894</v>
      </c>
      <c r="D227" s="120"/>
      <c r="E227" s="120"/>
      <c r="F227" s="65"/>
      <c r="G227" s="65"/>
      <c r="H227" s="65"/>
      <c r="I227" s="65"/>
      <c r="J227" s="67"/>
      <c r="K227" s="75"/>
      <c r="L227" s="71" t="str">
        <f>IF(M227&gt;14,"Over limit!","")</f>
        <v/>
      </c>
      <c r="M227" s="4">
        <v>8</v>
      </c>
      <c r="N227" s="7"/>
      <c r="O227" s="81">
        <f>MIN($M227,(O235+O245+O247))</f>
        <v>0</v>
      </c>
      <c r="P227" s="81">
        <f>MIN($M227,(P235+P245+P247))</f>
        <v>0</v>
      </c>
      <c r="Q227" s="146" t="s">
        <v>652</v>
      </c>
    </row>
    <row r="228" spans="1:18" s="53" customFormat="1" ht="12.75" customHeight="1">
      <c r="A228" s="52"/>
      <c r="B228" s="153" t="s">
        <v>869</v>
      </c>
      <c r="E228" s="120"/>
      <c r="F228" s="65"/>
      <c r="G228" s="65"/>
      <c r="H228" s="65"/>
      <c r="I228" s="65"/>
      <c r="J228" s="67"/>
      <c r="K228" s="75"/>
      <c r="L228" s="71" t="str">
        <f>IF(M228&gt;14,"Over limit!","")</f>
        <v/>
      </c>
      <c r="O228" s="161" t="s">
        <v>3795</v>
      </c>
      <c r="P228" s="161" t="s">
        <v>3795</v>
      </c>
    </row>
    <row r="229" spans="1:18" s="137" customFormat="1" ht="12" customHeight="1">
      <c r="B229" s="252" t="s">
        <v>3064</v>
      </c>
      <c r="C229" s="137" t="s">
        <v>870</v>
      </c>
      <c r="E229" s="120"/>
      <c r="F229" s="65"/>
      <c r="G229" s="65"/>
      <c r="H229" s="65"/>
      <c r="I229" s="65"/>
      <c r="J229" s="67"/>
      <c r="K229" s="75"/>
      <c r="L229" s="71" t="str">
        <f>IF(M229&gt;14,"Over limit!","")</f>
        <v/>
      </c>
      <c r="N229" s="252" t="s">
        <v>3064</v>
      </c>
      <c r="O229" s="1166"/>
      <c r="P229" s="234"/>
    </row>
    <row r="230" spans="1:18" s="137" customFormat="1" ht="12" customHeight="1">
      <c r="B230" s="252" t="s">
        <v>3066</v>
      </c>
      <c r="C230" s="137" t="s">
        <v>871</v>
      </c>
      <c r="N230" s="252" t="s">
        <v>3066</v>
      </c>
      <c r="O230" s="1166"/>
      <c r="P230" s="234"/>
    </row>
    <row r="231" spans="1:18" s="137" customFormat="1" ht="12" customHeight="1">
      <c r="B231" s="252" t="s">
        <v>3823</v>
      </c>
      <c r="C231" s="137" t="s">
        <v>872</v>
      </c>
      <c r="N231" s="252" t="s">
        <v>3823</v>
      </c>
      <c r="O231" s="1166"/>
      <c r="P231" s="234"/>
    </row>
    <row r="232" spans="1:18" s="137" customFormat="1" ht="12" customHeight="1">
      <c r="B232" s="252" t="s">
        <v>1886</v>
      </c>
      <c r="C232" s="137" t="s">
        <v>873</v>
      </c>
      <c r="N232" s="252" t="s">
        <v>1886</v>
      </c>
      <c r="O232" s="1166"/>
      <c r="P232" s="234"/>
    </row>
    <row r="233" spans="1:18" s="137" customFormat="1" ht="12" customHeight="1">
      <c r="B233" s="252" t="s">
        <v>1887</v>
      </c>
      <c r="C233" s="137" t="s">
        <v>885</v>
      </c>
      <c r="N233" s="252" t="s">
        <v>1887</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3060</v>
      </c>
      <c r="B235" s="258" t="s">
        <v>2895</v>
      </c>
      <c r="D235" s="50"/>
      <c r="E235" s="50"/>
      <c r="F235" s="42"/>
      <c r="G235" s="139"/>
      <c r="H235" s="139"/>
      <c r="I235" s="139"/>
      <c r="J235" s="50"/>
      <c r="K235" s="139"/>
      <c r="L235" s="42"/>
      <c r="M235" s="1">
        <v>3</v>
      </c>
      <c r="N235" s="62" t="s">
        <v>3060</v>
      </c>
      <c r="O235" s="205">
        <f>MIN($M235,SUM(O236:O243))</f>
        <v>0</v>
      </c>
      <c r="P235" s="205">
        <f>MIN($M235,SUM(P236:P243))</f>
        <v>0</v>
      </c>
    </row>
    <row r="236" spans="1:18" s="53" customFormat="1" ht="12" customHeight="1">
      <c r="A236" s="253"/>
      <c r="B236" s="252" t="s">
        <v>3064</v>
      </c>
      <c r="C236" s="46" t="s">
        <v>2217</v>
      </c>
      <c r="H236" s="68" t="s">
        <v>2218</v>
      </c>
      <c r="K236" s="255"/>
      <c r="L236" s="573" t="str">
        <f t="shared" ref="L236:L243" si="1">IF(OR($O236=$M236,$O236=0,$O236=""),"","* * Check Score! * *")</f>
        <v/>
      </c>
      <c r="M236" s="7">
        <v>1</v>
      </c>
      <c r="N236" s="252" t="s">
        <v>3064</v>
      </c>
      <c r="O236" s="1166"/>
      <c r="P236" s="89"/>
      <c r="R236" s="573" t="str">
        <f>IF(OR($O236=$M236,$O236=0,$O236=""),"","* * Check Score! * *")</f>
        <v/>
      </c>
    </row>
    <row r="237" spans="1:18" ht="12" customHeight="1">
      <c r="A237" s="254"/>
      <c r="B237" s="252" t="s">
        <v>3066</v>
      </c>
      <c r="C237" s="46" t="s">
        <v>2221</v>
      </c>
      <c r="H237" s="68" t="s">
        <v>2218</v>
      </c>
      <c r="L237" s="573" t="str">
        <f t="shared" si="1"/>
        <v/>
      </c>
      <c r="M237" s="7">
        <v>1</v>
      </c>
      <c r="N237" s="252" t="s">
        <v>3066</v>
      </c>
      <c r="O237" s="1166"/>
      <c r="P237" s="89"/>
      <c r="R237" s="573" t="str">
        <f t="shared" ref="R237:R243" si="2">IF(OR($O237=$M237,$O237=0,$O237=""),"","* * Check Score! * *")</f>
        <v/>
      </c>
    </row>
    <row r="238" spans="1:18" ht="12" customHeight="1">
      <c r="B238" s="252" t="s">
        <v>3823</v>
      </c>
      <c r="C238" s="46" t="s">
        <v>2225</v>
      </c>
      <c r="H238" s="68" t="s">
        <v>2218</v>
      </c>
      <c r="L238" s="573" t="str">
        <f>IF(OR($O238=$M238,$O238=0,$O238=""),"","* * Check Score! * *")</f>
        <v/>
      </c>
      <c r="M238" s="7">
        <v>1</v>
      </c>
      <c r="N238" s="252" t="s">
        <v>3823</v>
      </c>
      <c r="O238" s="1166"/>
      <c r="P238" s="89"/>
      <c r="R238" s="573" t="str">
        <f>IF(OR($O238=$M238,$O238=0,$O238=""),"","* * Check Score! * *")</f>
        <v/>
      </c>
    </row>
    <row r="239" spans="1:18" ht="12" customHeight="1">
      <c r="A239" s="254"/>
      <c r="B239" s="252" t="s">
        <v>1886</v>
      </c>
      <c r="C239" s="46" t="s">
        <v>874</v>
      </c>
      <c r="L239" s="573" t="str">
        <f t="shared" si="1"/>
        <v/>
      </c>
      <c r="M239" s="7">
        <v>1</v>
      </c>
      <c r="N239" s="252" t="s">
        <v>1886</v>
      </c>
      <c r="O239" s="1166"/>
      <c r="P239" s="89"/>
      <c r="R239" s="573" t="str">
        <f t="shared" si="2"/>
        <v/>
      </c>
    </row>
    <row r="240" spans="1:18" s="53" customFormat="1" ht="12" customHeight="1">
      <c r="A240" s="253"/>
      <c r="B240" s="252" t="s">
        <v>1887</v>
      </c>
      <c r="C240" s="46" t="s">
        <v>2222</v>
      </c>
      <c r="H240" s="68" t="s">
        <v>2219</v>
      </c>
      <c r="K240" s="255"/>
      <c r="L240" s="573" t="str">
        <f t="shared" si="1"/>
        <v/>
      </c>
      <c r="M240" s="7">
        <v>2</v>
      </c>
      <c r="N240" s="252" t="s">
        <v>1887</v>
      </c>
      <c r="O240" s="1166"/>
      <c r="P240" s="89"/>
      <c r="R240" s="573" t="str">
        <f t="shared" si="2"/>
        <v/>
      </c>
    </row>
    <row r="241" spans="1:18" ht="12" customHeight="1">
      <c r="A241" s="254"/>
      <c r="B241" s="252" t="s">
        <v>2943</v>
      </c>
      <c r="C241" s="46" t="s">
        <v>2223</v>
      </c>
      <c r="H241" s="68" t="s">
        <v>2219</v>
      </c>
      <c r="L241" s="573" t="str">
        <f t="shared" si="1"/>
        <v/>
      </c>
      <c r="M241" s="7">
        <v>2</v>
      </c>
      <c r="N241" s="252" t="s">
        <v>2943</v>
      </c>
      <c r="O241" s="1166"/>
      <c r="P241" s="89"/>
      <c r="R241" s="573" t="str">
        <f t="shared" si="2"/>
        <v/>
      </c>
    </row>
    <row r="242" spans="1:18" ht="12" customHeight="1">
      <c r="A242" s="254"/>
      <c r="B242" s="252" t="s">
        <v>744</v>
      </c>
      <c r="C242" s="46" t="s">
        <v>2224</v>
      </c>
      <c r="H242" s="68" t="s">
        <v>2219</v>
      </c>
      <c r="L242" s="573" t="str">
        <f t="shared" si="1"/>
        <v/>
      </c>
      <c r="M242" s="7">
        <v>2</v>
      </c>
      <c r="N242" s="252" t="s">
        <v>744</v>
      </c>
      <c r="O242" s="1166"/>
      <c r="P242" s="89"/>
      <c r="R242" s="573" t="str">
        <f t="shared" si="2"/>
        <v/>
      </c>
    </row>
    <row r="243" spans="1:18" ht="12" customHeight="1">
      <c r="A243" s="254"/>
      <c r="B243" s="252" t="s">
        <v>745</v>
      </c>
      <c r="C243" s="46" t="s">
        <v>2226</v>
      </c>
      <c r="H243" s="68" t="s">
        <v>2220</v>
      </c>
      <c r="L243" s="573" t="str">
        <f t="shared" si="1"/>
        <v/>
      </c>
      <c r="M243" s="7">
        <v>3</v>
      </c>
      <c r="N243" s="252" t="s">
        <v>745</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3063</v>
      </c>
      <c r="B245" s="258" t="s">
        <v>2896</v>
      </c>
      <c r="D245" s="49"/>
      <c r="E245" s="46"/>
      <c r="F245" s="1"/>
      <c r="G245" s="1"/>
      <c r="H245" s="46" t="s">
        <v>2897</v>
      </c>
      <c r="I245" s="1"/>
      <c r="J245" s="40"/>
      <c r="K245" s="40"/>
      <c r="L245" s="40"/>
      <c r="M245" s="3">
        <v>3</v>
      </c>
      <c r="N245" s="62" t="s">
        <v>3063</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1239</v>
      </c>
      <c r="B247" s="258" t="s">
        <v>983</v>
      </c>
      <c r="D247" s="49"/>
      <c r="E247" s="46"/>
      <c r="F247" s="1"/>
      <c r="G247" s="1"/>
      <c r="H247" s="1"/>
      <c r="I247" s="1"/>
      <c r="J247" s="40"/>
      <c r="K247" s="40"/>
      <c r="L247" s="573" t="str">
        <f>IF(OR($O247=$M247,$O247=0,$O247=""),"","* * Check Score! * *")</f>
        <v/>
      </c>
      <c r="M247" s="1">
        <v>2</v>
      </c>
      <c r="N247" s="62" t="s">
        <v>1239</v>
      </c>
      <c r="O247" s="1166"/>
      <c r="P247" s="89"/>
      <c r="R247" s="573" t="str">
        <f>IF(OR($O247=$M247,$O247=0,$O247=""),"","* * Check Score! * *")</f>
        <v/>
      </c>
    </row>
    <row r="248" spans="1:18" s="53" customFormat="1" ht="12.6" customHeight="1">
      <c r="A248" s="253"/>
      <c r="B248" s="252" t="s">
        <v>3064</v>
      </c>
      <c r="C248" s="46" t="s">
        <v>984</v>
      </c>
      <c r="E248" s="1209"/>
      <c r="F248" s="1210"/>
      <c r="G248" s="1210"/>
      <c r="H248" s="1211"/>
      <c r="K248" s="255"/>
      <c r="M248" s="7"/>
      <c r="N248" s="7"/>
      <c r="O248" s="7"/>
      <c r="P248" s="7"/>
    </row>
    <row r="249" spans="1:18" ht="33" customHeight="1">
      <c r="A249" s="254"/>
      <c r="B249" s="596" t="s">
        <v>3066</v>
      </c>
      <c r="C249" s="597" t="s">
        <v>3561</v>
      </c>
      <c r="D249" s="598"/>
      <c r="E249" s="1212"/>
      <c r="F249" s="1213"/>
      <c r="G249" s="1213"/>
      <c r="H249" s="1213"/>
      <c r="I249" s="1213"/>
      <c r="J249" s="1213"/>
      <c r="K249" s="1213"/>
      <c r="L249" s="1213"/>
      <c r="M249" s="1213"/>
      <c r="N249" s="1213"/>
      <c r="O249" s="1213"/>
      <c r="P249" s="1214"/>
    </row>
    <row r="250" spans="1:18" ht="12.6" customHeight="1">
      <c r="B250" s="252" t="s">
        <v>3823</v>
      </c>
      <c r="C250" s="46" t="s">
        <v>985</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8.2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6.7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2922</v>
      </c>
      <c r="C255" s="135"/>
      <c r="D255" s="133"/>
      <c r="E255" s="261"/>
      <c r="F255" s="739"/>
      <c r="G255" s="739"/>
      <c r="H255" s="739"/>
      <c r="I255" s="739"/>
      <c r="J255" s="739"/>
      <c r="K255" s="739"/>
      <c r="L255" s="739"/>
      <c r="M255" s="739"/>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2682</v>
      </c>
      <c r="B259" s="142" t="s">
        <v>2683</v>
      </c>
      <c r="C259" s="83"/>
      <c r="E259" s="51"/>
      <c r="G259" s="46"/>
      <c r="H259" s="46"/>
      <c r="I259" s="49"/>
      <c r="J259" s="58"/>
      <c r="K259" s="58"/>
      <c r="L259" s="573" t="str">
        <f>IF(OR($O259=$M259,$O259=0,$O259=""),"","* * Check Score! * *")</f>
        <v/>
      </c>
      <c r="M259" s="3">
        <v>6</v>
      </c>
      <c r="N259" s="139"/>
      <c r="O259" s="56"/>
      <c r="P259" s="89"/>
      <c r="Q259" s="146" t="s">
        <v>652</v>
      </c>
      <c r="R259" s="573" t="str">
        <f>IF(OR($O259=$M259,$O259=0,$O259=""),"","* * Check Score! * *")</f>
        <v/>
      </c>
    </row>
    <row r="260" spans="1:18" s="53" customFormat="1" ht="12" customHeight="1">
      <c r="A260" s="52"/>
      <c r="B260" s="68" t="s">
        <v>3517</v>
      </c>
      <c r="C260" s="52"/>
      <c r="D260" s="58"/>
      <c r="E260" s="58"/>
      <c r="F260" s="58"/>
      <c r="G260" s="58"/>
      <c r="H260" s="46"/>
      <c r="I260" s="46"/>
      <c r="J260" s="46"/>
      <c r="K260" s="46"/>
      <c r="M260" s="56"/>
      <c r="N260" s="77"/>
      <c r="O260" s="1166"/>
      <c r="P260" s="234"/>
    </row>
    <row r="261" spans="1:18" s="53" customFormat="1" ht="24.6" customHeight="1">
      <c r="A261" s="52"/>
      <c r="B261" s="1069" t="s">
        <v>3918</v>
      </c>
      <c r="C261" s="1070"/>
      <c r="D261" s="1070"/>
      <c r="E261" s="1070"/>
      <c r="F261" s="1070"/>
      <c r="G261" s="1070"/>
      <c r="H261" s="1070"/>
      <c r="I261" s="1070"/>
      <c r="J261" s="1070"/>
      <c r="K261" s="1070"/>
      <c r="L261" s="1070"/>
      <c r="M261" s="56"/>
      <c r="N261" s="77"/>
      <c r="O261" s="116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3.75"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2922</v>
      </c>
      <c r="C265" s="135"/>
      <c r="D265" s="133"/>
      <c r="E265" s="261"/>
      <c r="F265" s="739"/>
      <c r="G265" s="739"/>
      <c r="H265" s="739"/>
      <c r="I265" s="739"/>
      <c r="J265" s="739"/>
      <c r="K265" s="739"/>
      <c r="L265" s="739"/>
      <c r="M265" s="739"/>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2684</v>
      </c>
      <c r="B270" s="151" t="s">
        <v>2686</v>
      </c>
      <c r="C270" s="119"/>
      <c r="D270" s="73"/>
      <c r="E270" s="65"/>
      <c r="J270" s="76"/>
      <c r="M270" s="3">
        <v>6</v>
      </c>
      <c r="N270" s="7"/>
      <c r="O270" s="96">
        <f>MIN($M270,O272+O271)</f>
        <v>6</v>
      </c>
      <c r="P270" s="96">
        <f>MIN($M270,P272+P271)</f>
        <v>0</v>
      </c>
      <c r="Q270" s="146" t="s">
        <v>652</v>
      </c>
    </row>
    <row r="271" spans="1:18" s="53" customFormat="1" ht="12" customHeight="1">
      <c r="A271" s="189" t="s">
        <v>3060</v>
      </c>
      <c r="B271" s="147" t="s">
        <v>2688</v>
      </c>
      <c r="D271" s="42"/>
      <c r="E271" s="42"/>
      <c r="F271" s="42"/>
      <c r="L271" s="573" t="str">
        <f>IF(OR($O271=$M271,$O271=0,$O271=""),"","* * Check Score! * *")</f>
        <v/>
      </c>
      <c r="M271" s="7">
        <v>3</v>
      </c>
      <c r="N271" s="62" t="s">
        <v>3060</v>
      </c>
      <c r="O271" s="1162">
        <v>3</v>
      </c>
      <c r="P271" s="89"/>
      <c r="Q271" s="146"/>
      <c r="R271" s="573" t="str">
        <f>IF(OR($O271=$M271,$O271=0,$O271=""),"","* * Check Score! * *")</f>
        <v/>
      </c>
    </row>
    <row r="272" spans="1:18" s="53" customFormat="1" ht="12" customHeight="1">
      <c r="A272" s="189" t="s">
        <v>3063</v>
      </c>
      <c r="B272" s="147" t="s">
        <v>2689</v>
      </c>
      <c r="D272" s="50"/>
      <c r="E272" s="50"/>
      <c r="F272" s="40"/>
      <c r="G272" s="139"/>
      <c r="H272" s="139"/>
      <c r="I272" s="139"/>
      <c r="J272" s="139"/>
      <c r="K272" s="139"/>
      <c r="L272" s="46"/>
      <c r="M272" s="7">
        <v>3</v>
      </c>
      <c r="N272" s="62" t="s">
        <v>3063</v>
      </c>
      <c r="O272" s="1162">
        <v>3</v>
      </c>
      <c r="P272" s="89"/>
      <c r="R272" s="573" t="str">
        <f>IF(OR($O272=$M272,$O272=0,$O272=""),"","* * Check Score! * *")</f>
        <v/>
      </c>
    </row>
    <row r="273" spans="1:18" s="53" customFormat="1" ht="22.9" customHeight="1">
      <c r="A273" s="189"/>
      <c r="B273" s="1066" t="s">
        <v>3519</v>
      </c>
      <c r="C273" s="1067"/>
      <c r="D273" s="1067"/>
      <c r="E273" s="1067"/>
      <c r="F273" s="1067"/>
      <c r="G273" s="1067"/>
      <c r="H273" s="1067"/>
      <c r="I273" s="1067"/>
      <c r="J273" s="1067"/>
      <c r="K273" s="1067"/>
      <c r="L273" s="1067"/>
      <c r="M273" s="1067"/>
      <c r="N273" s="62"/>
      <c r="O273" s="1166" t="s">
        <v>3972</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8" customHeight="1">
      <c r="A275" s="1159" t="s">
        <v>4030</v>
      </c>
      <c r="B275" s="1160"/>
      <c r="C275" s="1160"/>
      <c r="D275" s="1160"/>
      <c r="E275" s="1160"/>
      <c r="F275" s="1160"/>
      <c r="G275" s="1160"/>
      <c r="H275" s="1160"/>
      <c r="I275" s="1160"/>
      <c r="J275" s="1160"/>
      <c r="K275" s="1160"/>
      <c r="L275" s="1160"/>
      <c r="M275" s="1160"/>
      <c r="N275" s="1160"/>
      <c r="O275" s="1160"/>
      <c r="P275" s="1161"/>
    </row>
    <row r="276" spans="1:18" s="53" customFormat="1" ht="18" customHeight="1">
      <c r="B276" s="117" t="s">
        <v>2922</v>
      </c>
      <c r="C276" s="135"/>
      <c r="D276" s="117"/>
      <c r="E276" s="136"/>
      <c r="F276" s="740"/>
      <c r="G276" s="740"/>
      <c r="H276" s="740"/>
      <c r="I276" s="740"/>
      <c r="J276" s="740"/>
      <c r="K276" s="740"/>
      <c r="L276" s="740"/>
      <c r="M276" s="740"/>
      <c r="N276" s="94"/>
      <c r="O276" s="90"/>
      <c r="P276" s="3"/>
    </row>
    <row r="277" spans="1:18" s="53" customFormat="1" ht="12" customHeight="1">
      <c r="A277" s="1013"/>
      <c r="B277" s="1014"/>
      <c r="C277" s="1014"/>
      <c r="D277" s="1014"/>
      <c r="E277" s="1014"/>
      <c r="F277" s="1014"/>
      <c r="G277" s="1014"/>
      <c r="H277" s="1014"/>
      <c r="I277" s="1014"/>
      <c r="J277" s="1014"/>
      <c r="K277" s="1014"/>
      <c r="L277" s="1014"/>
      <c r="M277" s="1014"/>
      <c r="N277" s="1014"/>
      <c r="O277" s="1014"/>
      <c r="P277" s="1015"/>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2685</v>
      </c>
      <c r="B279" s="142" t="s">
        <v>2687</v>
      </c>
      <c r="D279" s="55"/>
      <c r="E279" s="55"/>
      <c r="F279" s="49"/>
      <c r="G279" s="46"/>
      <c r="H279" s="46"/>
      <c r="I279" s="46"/>
      <c r="J279" s="46"/>
      <c r="K279" s="46"/>
      <c r="L279" s="573" t="str">
        <f>IF(OR($O279=$M279,$O279&lt;=0,$O279=""),"","* * Check Score! * *")</f>
        <v/>
      </c>
      <c r="M279" s="3">
        <v>10</v>
      </c>
      <c r="N279" s="7"/>
      <c r="O279" s="81">
        <f>O283</f>
        <v>10</v>
      </c>
      <c r="P279" s="81">
        <f>P283</f>
        <v>0</v>
      </c>
      <c r="Q279" s="146" t="s">
        <v>652</v>
      </c>
    </row>
    <row r="280" spans="1:18" s="45" customFormat="1" ht="3" customHeight="1">
      <c r="M280" s="52"/>
      <c r="N280" s="52"/>
      <c r="O280" s="52"/>
      <c r="P280" s="52"/>
    </row>
    <row r="281" spans="1:18" s="45" customFormat="1" ht="11.45" customHeight="1">
      <c r="B281" s="195" t="s">
        <v>3837</v>
      </c>
      <c r="M281" s="52"/>
      <c r="N281" s="52"/>
      <c r="O281" s="1166" t="s">
        <v>3924</v>
      </c>
      <c r="P281" s="234"/>
    </row>
    <row r="282" spans="1:18" s="45" customFormat="1" ht="3" customHeight="1">
      <c r="M282" s="52"/>
      <c r="N282" s="52"/>
      <c r="O282" s="52"/>
      <c r="P282" s="52"/>
    </row>
    <row r="283" spans="1:18" ht="12.6" customHeight="1">
      <c r="B283" s="258" t="s">
        <v>3060</v>
      </c>
      <c r="C283" s="256" t="s">
        <v>2161</v>
      </c>
      <c r="D283" s="42"/>
      <c r="E283" s="42"/>
      <c r="F283" s="42"/>
      <c r="G283" s="42"/>
      <c r="H283" s="42"/>
      <c r="I283" s="42"/>
      <c r="J283" s="42"/>
      <c r="K283" s="42"/>
      <c r="L283" s="42"/>
      <c r="M283" s="156"/>
      <c r="N283" s="62" t="s">
        <v>3060</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3063</v>
      </c>
      <c r="C285" s="256" t="s">
        <v>347</v>
      </c>
      <c r="D285" s="42"/>
      <c r="E285" s="42"/>
      <c r="F285" s="42"/>
      <c r="G285" s="50"/>
      <c r="H285" s="50"/>
      <c r="I285" s="50"/>
      <c r="J285" s="50"/>
      <c r="K285" s="50"/>
      <c r="M285" s="139"/>
      <c r="N285" s="62" t="s">
        <v>3063</v>
      </c>
      <c r="O285" s="1166" t="s">
        <v>3983</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12.75" customHeight="1">
      <c r="A288" s="1152"/>
      <c r="B288" s="1153"/>
      <c r="C288" s="1153"/>
      <c r="D288" s="1153"/>
      <c r="E288" s="1153"/>
      <c r="F288" s="1153"/>
      <c r="G288" s="1153"/>
      <c r="H288" s="1153"/>
      <c r="I288" s="1153"/>
      <c r="J288" s="1153"/>
      <c r="K288" s="1153"/>
      <c r="L288" s="1153"/>
      <c r="M288" s="1153"/>
      <c r="N288" s="1153"/>
      <c r="O288" s="1153"/>
      <c r="P288" s="1154"/>
      <c r="Q288" s="998" t="s">
        <v>1933</v>
      </c>
      <c r="R288" s="998"/>
    </row>
    <row r="289" spans="1:19" s="67" customFormat="1" ht="7.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2922</v>
      </c>
      <c r="C290" s="60"/>
      <c r="D290" s="84"/>
      <c r="E290" s="739"/>
      <c r="F290" s="739"/>
      <c r="G290" s="739"/>
      <c r="H290" s="739"/>
      <c r="I290" s="739"/>
      <c r="J290" s="739"/>
      <c r="K290" s="739"/>
      <c r="L290" s="739"/>
      <c r="M290" s="739"/>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998" t="s">
        <v>1933</v>
      </c>
      <c r="R291" s="998"/>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543</v>
      </c>
      <c r="I294" s="213"/>
      <c r="J294" s="213"/>
      <c r="K294" s="213"/>
      <c r="L294" s="139"/>
      <c r="M294" s="214">
        <f>M6</f>
        <v>90</v>
      </c>
      <c r="N294" s="215"/>
      <c r="O294" s="216">
        <f>O8+O31+O38+O55+O64+O74+O82+O93+O132+O146+O166+O175+O191+O199+O207+O213+O227+O270+O279</f>
        <v>57</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2635</v>
      </c>
      <c r="D300" s="113"/>
      <c r="E300" s="113"/>
      <c r="F300" s="113"/>
      <c r="G300" s="113"/>
      <c r="H300" s="113"/>
      <c r="I300" s="113"/>
      <c r="J300" s="113" t="s">
        <v>1629</v>
      </c>
      <c r="K300" s="209"/>
      <c r="L300" s="166"/>
      <c r="M300" s="155"/>
      <c r="Q300" s="155"/>
      <c r="R300" s="155"/>
      <c r="S300" s="155"/>
    </row>
    <row r="301" spans="1:19">
      <c r="A301" s="155"/>
      <c r="B301" s="155"/>
      <c r="C301" s="166" t="s">
        <v>3185</v>
      </c>
      <c r="D301" s="166"/>
      <c r="E301" s="166"/>
      <c r="F301" s="166"/>
      <c r="G301" s="166"/>
      <c r="H301" s="166"/>
      <c r="I301" s="166"/>
      <c r="J301" s="166" t="s">
        <v>2801</v>
      </c>
      <c r="K301" s="166"/>
      <c r="L301" s="166"/>
      <c r="M301" s="155"/>
      <c r="Q301" s="155"/>
      <c r="R301" s="155"/>
      <c r="S301" s="155"/>
    </row>
    <row r="302" spans="1:19" ht="15">
      <c r="A302" s="155"/>
      <c r="B302" s="155"/>
      <c r="C302" s="113" t="s">
        <v>3843</v>
      </c>
      <c r="D302" s="113"/>
      <c r="E302" s="113"/>
      <c r="F302" s="113"/>
      <c r="G302" s="113"/>
      <c r="H302" s="113"/>
      <c r="I302" s="113"/>
      <c r="J302" s="358" t="s">
        <v>294</v>
      </c>
      <c r="K302" s="209"/>
      <c r="L302" s="166"/>
      <c r="M302" s="250"/>
      <c r="N302" s="251"/>
      <c r="Q302" s="155"/>
      <c r="R302" s="155"/>
      <c r="S302" s="155"/>
    </row>
    <row r="303" spans="1:19" ht="15">
      <c r="A303" s="155"/>
      <c r="B303" s="155"/>
      <c r="C303" s="113" t="s">
        <v>3186</v>
      </c>
      <c r="D303" s="113"/>
      <c r="E303" s="113"/>
      <c r="F303" s="113"/>
      <c r="G303" s="113"/>
      <c r="H303" s="113"/>
      <c r="I303" s="113"/>
      <c r="J303" s="358" t="s">
        <v>2637</v>
      </c>
      <c r="K303" s="209"/>
      <c r="L303" s="166"/>
      <c r="M303" s="250"/>
      <c r="N303" s="251"/>
      <c r="Q303" s="155"/>
      <c r="R303" s="155"/>
      <c r="S303" s="155"/>
    </row>
    <row r="304" spans="1:19" ht="15">
      <c r="A304" s="155"/>
      <c r="B304" s="155"/>
      <c r="C304" s="113" t="s">
        <v>3187</v>
      </c>
      <c r="D304" s="113"/>
      <c r="E304" s="113"/>
      <c r="F304" s="113"/>
      <c r="G304" s="113"/>
      <c r="H304" s="113"/>
      <c r="I304" s="113"/>
      <c r="J304" s="358" t="s">
        <v>2638</v>
      </c>
      <c r="K304" s="209"/>
      <c r="L304" s="166"/>
      <c r="M304" s="250"/>
      <c r="N304" s="251"/>
      <c r="Q304" s="155"/>
      <c r="R304" s="155"/>
      <c r="S304" s="155"/>
    </row>
    <row r="305" spans="1:19" ht="15">
      <c r="A305" s="155"/>
      <c r="B305" s="155"/>
      <c r="C305" s="359" t="s">
        <v>3188</v>
      </c>
      <c r="D305" s="113"/>
      <c r="E305" s="113"/>
      <c r="F305" s="113"/>
      <c r="G305" s="113"/>
      <c r="H305" s="113"/>
      <c r="I305" s="113"/>
      <c r="J305" s="358" t="s">
        <v>3785</v>
      </c>
      <c r="K305" s="209"/>
      <c r="L305" s="166"/>
      <c r="M305" s="250"/>
      <c r="N305" s="251"/>
      <c r="Q305" s="155"/>
      <c r="R305" s="155"/>
      <c r="S305" s="155"/>
    </row>
    <row r="306" spans="1:19" ht="15">
      <c r="A306" s="155"/>
      <c r="B306" s="155"/>
      <c r="C306" s="359" t="s">
        <v>3189</v>
      </c>
      <c r="D306" s="113"/>
      <c r="E306" s="113"/>
      <c r="F306" s="113"/>
      <c r="G306" s="113"/>
      <c r="H306" s="113"/>
      <c r="I306" s="113"/>
      <c r="J306" s="358" t="s">
        <v>2639</v>
      </c>
      <c r="K306" s="209"/>
      <c r="L306" s="166"/>
      <c r="M306" s="250"/>
      <c r="N306" s="251"/>
      <c r="Q306" s="155"/>
      <c r="R306" s="155"/>
      <c r="S306" s="155"/>
    </row>
    <row r="307" spans="1:19" ht="15">
      <c r="A307" s="155"/>
      <c r="B307" s="155"/>
      <c r="C307" s="359"/>
      <c r="D307" s="113"/>
      <c r="E307" s="113"/>
      <c r="F307" s="113"/>
      <c r="G307" s="113"/>
      <c r="H307" s="113"/>
      <c r="I307" s="113"/>
      <c r="J307" s="358" t="s">
        <v>2640</v>
      </c>
      <c r="K307" s="209"/>
      <c r="L307" s="166"/>
      <c r="M307" s="250"/>
      <c r="N307" s="251"/>
      <c r="Q307" s="155"/>
      <c r="R307" s="155"/>
      <c r="S307" s="155"/>
    </row>
    <row r="308" spans="1:19" ht="15">
      <c r="A308" s="155"/>
      <c r="B308" s="155"/>
      <c r="C308" s="166" t="s">
        <v>2801</v>
      </c>
      <c r="D308" s="113"/>
      <c r="E308" s="113"/>
      <c r="F308" s="113"/>
      <c r="G308" s="113"/>
      <c r="H308" s="113"/>
      <c r="I308" s="113"/>
      <c r="J308" s="358" t="s">
        <v>2641</v>
      </c>
      <c r="K308" s="209"/>
      <c r="L308" s="166"/>
      <c r="M308" s="250"/>
      <c r="N308" s="251"/>
      <c r="Q308" s="155"/>
      <c r="R308" s="155"/>
      <c r="S308" s="155"/>
    </row>
    <row r="309" spans="1:19" ht="15">
      <c r="A309" s="155"/>
      <c r="B309" s="155"/>
      <c r="C309" s="360" t="s">
        <v>2099</v>
      </c>
      <c r="D309" s="113"/>
      <c r="E309" s="113"/>
      <c r="F309" s="113"/>
      <c r="G309" s="113"/>
      <c r="H309" s="113"/>
      <c r="I309" s="113"/>
      <c r="J309" s="358" t="s">
        <v>2642</v>
      </c>
      <c r="K309" s="209"/>
      <c r="L309" s="166"/>
      <c r="M309" s="250"/>
      <c r="N309" s="251"/>
      <c r="Q309" s="155"/>
      <c r="R309" s="155"/>
      <c r="S309" s="155"/>
    </row>
    <row r="310" spans="1:19" ht="15">
      <c r="A310" s="155"/>
      <c r="B310" s="155"/>
      <c r="C310" s="360" t="s">
        <v>2100</v>
      </c>
      <c r="D310" s="113"/>
      <c r="E310" s="113"/>
      <c r="F310" s="113"/>
      <c r="G310" s="113"/>
      <c r="H310" s="113"/>
      <c r="I310" s="113"/>
      <c r="J310" s="358" t="s">
        <v>2643</v>
      </c>
      <c r="K310" s="209"/>
      <c r="L310" s="166"/>
      <c r="M310" s="250"/>
      <c r="N310" s="251"/>
      <c r="Q310" s="155"/>
      <c r="R310" s="155"/>
      <c r="S310" s="155"/>
    </row>
    <row r="311" spans="1:19" ht="15">
      <c r="A311" s="155"/>
      <c r="B311" s="155"/>
      <c r="C311" s="361" t="s">
        <v>3230</v>
      </c>
      <c r="D311" s="113"/>
      <c r="E311" s="113"/>
      <c r="F311" s="113"/>
      <c r="G311" s="113"/>
      <c r="H311" s="113"/>
      <c r="I311" s="113"/>
      <c r="J311" s="358" t="s">
        <v>2644</v>
      </c>
      <c r="K311" s="209"/>
      <c r="L311" s="166"/>
      <c r="M311" s="250"/>
      <c r="N311" s="251"/>
      <c r="Q311" s="155"/>
      <c r="R311" s="155"/>
      <c r="S311" s="155"/>
    </row>
    <row r="312" spans="1:19" ht="15">
      <c r="A312" s="155"/>
      <c r="B312" s="155"/>
      <c r="C312" s="361" t="s">
        <v>2096</v>
      </c>
      <c r="D312" s="113"/>
      <c r="E312" s="113"/>
      <c r="F312" s="113"/>
      <c r="G312" s="113"/>
      <c r="H312" s="113"/>
      <c r="I312" s="113"/>
      <c r="J312" s="358" t="s">
        <v>907</v>
      </c>
      <c r="K312" s="209"/>
      <c r="L312" s="166"/>
      <c r="M312" s="250"/>
      <c r="N312" s="251"/>
      <c r="Q312" s="155"/>
      <c r="R312" s="155"/>
      <c r="S312" s="155"/>
    </row>
    <row r="313" spans="1:19" ht="15">
      <c r="A313" s="155"/>
      <c r="B313" s="155"/>
      <c r="C313" s="361" t="s">
        <v>2097</v>
      </c>
      <c r="D313" s="113"/>
      <c r="E313" s="113"/>
      <c r="F313" s="113"/>
      <c r="G313" s="113"/>
      <c r="H313" s="113"/>
      <c r="I313" s="113"/>
      <c r="J313" s="358" t="s">
        <v>2645</v>
      </c>
      <c r="K313" s="209"/>
      <c r="L313" s="166"/>
      <c r="M313" s="250"/>
      <c r="N313" s="251"/>
      <c r="Q313" s="155"/>
      <c r="R313" s="155"/>
      <c r="S313" s="155"/>
    </row>
    <row r="314" spans="1:19" ht="15">
      <c r="A314" s="155"/>
      <c r="B314" s="155"/>
      <c r="C314" s="360" t="s">
        <v>3225</v>
      </c>
      <c r="D314" s="113"/>
      <c r="E314" s="113"/>
      <c r="F314" s="113"/>
      <c r="G314" s="113"/>
      <c r="H314" s="113"/>
      <c r="I314" s="113"/>
      <c r="J314" s="358" t="s">
        <v>2646</v>
      </c>
      <c r="K314" s="209"/>
      <c r="L314" s="166"/>
      <c r="M314" s="250"/>
      <c r="N314" s="251"/>
      <c r="Q314" s="155"/>
      <c r="R314" s="155"/>
      <c r="S314" s="155"/>
    </row>
    <row r="315" spans="1:19" ht="15">
      <c r="A315" s="155"/>
      <c r="B315" s="155"/>
      <c r="C315" s="360" t="s">
        <v>3226</v>
      </c>
      <c r="D315" s="113"/>
      <c r="E315" s="113"/>
      <c r="F315" s="113"/>
      <c r="G315" s="113"/>
      <c r="H315" s="113"/>
      <c r="I315" s="113"/>
      <c r="J315" s="358" t="s">
        <v>2647</v>
      </c>
      <c r="K315" s="166"/>
      <c r="L315" s="166"/>
      <c r="M315" s="250"/>
      <c r="N315" s="251"/>
      <c r="Q315" s="155"/>
      <c r="R315" s="155"/>
      <c r="S315" s="155"/>
    </row>
    <row r="316" spans="1:19" ht="15">
      <c r="A316" s="155"/>
      <c r="B316" s="155"/>
      <c r="C316" s="360" t="s">
        <v>3227</v>
      </c>
      <c r="D316" s="166"/>
      <c r="E316" s="166"/>
      <c r="F316" s="166"/>
      <c r="G316" s="166"/>
      <c r="H316" s="166"/>
      <c r="I316" s="166"/>
      <c r="J316" s="358" t="s">
        <v>41</v>
      </c>
      <c r="K316" s="166"/>
      <c r="L316" s="166"/>
      <c r="M316" s="250"/>
      <c r="N316" s="251"/>
      <c r="Q316" s="155"/>
      <c r="R316" s="155"/>
      <c r="S316" s="155"/>
    </row>
    <row r="317" spans="1:19" ht="15">
      <c r="A317" s="155"/>
      <c r="B317" s="155"/>
      <c r="C317" s="360" t="s">
        <v>3228</v>
      </c>
      <c r="D317" s="166"/>
      <c r="E317" s="166"/>
      <c r="F317" s="166"/>
      <c r="G317" s="166"/>
      <c r="H317" s="166"/>
      <c r="I317" s="166"/>
      <c r="J317" s="362"/>
      <c r="K317" s="166"/>
      <c r="L317" s="166"/>
      <c r="M317" s="250"/>
      <c r="N317" s="251"/>
      <c r="Q317" s="155"/>
      <c r="R317" s="155"/>
      <c r="S317" s="155"/>
    </row>
    <row r="318" spans="1:19">
      <c r="A318" s="155"/>
      <c r="B318" s="155"/>
      <c r="C318" s="360" t="s">
        <v>3229</v>
      </c>
      <c r="D318" s="166"/>
      <c r="E318" s="166"/>
      <c r="F318" s="166"/>
      <c r="G318" s="166"/>
      <c r="H318" s="166"/>
      <c r="I318" s="166"/>
      <c r="J318" s="166"/>
      <c r="K318" s="166"/>
      <c r="L318" s="166"/>
      <c r="M318" s="155"/>
      <c r="Q318" s="155"/>
      <c r="R318" s="155"/>
      <c r="S318" s="155"/>
    </row>
    <row r="319" spans="1:19">
      <c r="A319" s="155"/>
      <c r="B319" s="155"/>
      <c r="C319" s="360" t="s">
        <v>2098</v>
      </c>
      <c r="D319" s="166"/>
      <c r="E319" s="166"/>
      <c r="F319" s="166"/>
      <c r="G319" s="166"/>
      <c r="H319" s="166"/>
      <c r="I319" s="166"/>
      <c r="J319" s="166"/>
      <c r="K319" s="166"/>
      <c r="L319" s="166"/>
      <c r="M319" s="155"/>
      <c r="Q319" s="155"/>
      <c r="R319" s="155"/>
      <c r="S319" s="155"/>
    </row>
    <row r="320" spans="1:19">
      <c r="A320" s="155"/>
      <c r="B320" s="155"/>
      <c r="C320" s="360" t="s">
        <v>3415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2249</v>
      </c>
      <c r="H323" s="672" t="s">
        <v>2250</v>
      </c>
      <c r="I323" s="672" t="s">
        <v>2251</v>
      </c>
      <c r="J323" s="166"/>
      <c r="K323" s="166"/>
      <c r="L323" s="166"/>
      <c r="M323" s="250"/>
      <c r="N323" s="251"/>
    </row>
    <row r="324" spans="1:19" ht="38.25">
      <c r="A324" s="155"/>
      <c r="B324" s="155"/>
      <c r="C324" s="166"/>
      <c r="D324" s="166"/>
      <c r="E324" s="166"/>
      <c r="F324" s="166"/>
      <c r="G324" s="673" t="s">
        <v>3809</v>
      </c>
      <c r="H324" s="673" t="s">
        <v>3810</v>
      </c>
      <c r="I324" s="673" t="s">
        <v>1838</v>
      </c>
      <c r="J324" s="166"/>
      <c r="K324" s="166"/>
      <c r="L324" s="166"/>
      <c r="M324" s="250"/>
      <c r="N324" s="251"/>
    </row>
    <row r="325" spans="1:19" ht="25.5">
      <c r="A325" s="155"/>
      <c r="B325" s="155"/>
      <c r="C325" s="166"/>
      <c r="D325" s="166"/>
      <c r="E325" s="166"/>
      <c r="F325" s="166"/>
      <c r="G325" s="673" t="s">
        <v>2546</v>
      </c>
      <c r="H325" s="674" t="s">
        <v>1622</v>
      </c>
      <c r="I325" s="674" t="s">
        <v>2019</v>
      </c>
      <c r="J325" s="166"/>
      <c r="K325" s="166"/>
      <c r="L325" s="166"/>
      <c r="M325" s="250"/>
      <c r="N325" s="251"/>
    </row>
    <row r="326" spans="1:19">
      <c r="A326" s="155"/>
      <c r="B326" s="155"/>
      <c r="C326" s="166"/>
      <c r="D326" s="166"/>
      <c r="E326" s="166"/>
      <c r="F326" s="166"/>
      <c r="G326" s="673" t="s">
        <v>3167</v>
      </c>
      <c r="H326" s="674" t="s">
        <v>2034</v>
      </c>
      <c r="I326" s="674" t="s">
        <v>2031</v>
      </c>
      <c r="J326" s="166"/>
      <c r="K326" s="166"/>
      <c r="L326" s="166"/>
      <c r="M326" s="250"/>
      <c r="N326" s="251"/>
    </row>
    <row r="327" spans="1:19">
      <c r="A327" s="155"/>
      <c r="B327" s="155"/>
      <c r="C327" s="166"/>
      <c r="D327" s="166"/>
      <c r="E327" s="166"/>
      <c r="F327" s="166"/>
      <c r="G327" s="673" t="s">
        <v>2547</v>
      </c>
      <c r="H327" s="674" t="s">
        <v>3830</v>
      </c>
      <c r="I327" s="674" t="s">
        <v>2034</v>
      </c>
      <c r="J327" s="166"/>
      <c r="K327" s="166"/>
      <c r="L327" s="166"/>
      <c r="M327" s="250"/>
      <c r="N327" s="251"/>
    </row>
    <row r="328" spans="1:19" ht="25.5">
      <c r="A328" s="155"/>
      <c r="B328" s="155"/>
      <c r="C328" s="166"/>
      <c r="D328" s="166"/>
      <c r="E328" s="166"/>
      <c r="F328" s="166"/>
      <c r="G328" s="673" t="s">
        <v>13</v>
      </c>
      <c r="H328" s="674" t="s">
        <v>3831</v>
      </c>
      <c r="I328" s="674" t="s">
        <v>3757</v>
      </c>
      <c r="J328" s="166"/>
      <c r="K328" s="166"/>
      <c r="L328" s="166"/>
      <c r="M328" s="250"/>
      <c r="N328" s="251"/>
    </row>
    <row r="329" spans="1:19">
      <c r="A329" s="155"/>
      <c r="B329" s="155"/>
      <c r="C329" s="166"/>
      <c r="D329" s="166"/>
      <c r="E329" s="166"/>
      <c r="F329" s="166"/>
      <c r="G329" s="673" t="s">
        <v>2034</v>
      </c>
      <c r="H329" s="674" t="s">
        <v>3000</v>
      </c>
      <c r="I329" s="674" t="s">
        <v>3763</v>
      </c>
      <c r="J329" s="166"/>
      <c r="K329" s="166"/>
      <c r="L329" s="166"/>
      <c r="M329" s="250"/>
      <c r="N329" s="251"/>
    </row>
    <row r="330" spans="1:19">
      <c r="A330" s="155"/>
      <c r="B330" s="155"/>
      <c r="C330" s="166"/>
      <c r="D330" s="166"/>
      <c r="E330" s="166"/>
      <c r="F330" s="166"/>
      <c r="G330" s="673" t="s">
        <v>2252</v>
      </c>
      <c r="H330" s="674" t="s">
        <v>3412</v>
      </c>
      <c r="I330" s="674" t="s">
        <v>3765</v>
      </c>
      <c r="J330" s="166"/>
      <c r="K330" s="166"/>
      <c r="L330" s="166"/>
      <c r="M330" s="250"/>
      <c r="N330" s="251"/>
    </row>
    <row r="331" spans="1:19">
      <c r="A331" s="155"/>
      <c r="B331" s="155"/>
      <c r="C331" s="166"/>
      <c r="D331" s="166"/>
      <c r="E331" s="166"/>
      <c r="F331" s="166"/>
      <c r="G331" s="673" t="s">
        <v>1643</v>
      </c>
      <c r="H331" s="674" t="s">
        <v>3832</v>
      </c>
      <c r="I331" s="674" t="s">
        <v>3818</v>
      </c>
      <c r="J331" s="166"/>
      <c r="K331" s="166"/>
      <c r="L331" s="166"/>
      <c r="M331" s="250"/>
      <c r="N331" s="251"/>
    </row>
    <row r="332" spans="1:19">
      <c r="A332" s="155"/>
      <c r="B332" s="155"/>
      <c r="C332" s="166"/>
      <c r="D332" s="166"/>
      <c r="E332" s="166"/>
      <c r="F332" s="166"/>
      <c r="G332" s="673" t="s">
        <v>3765</v>
      </c>
      <c r="H332" s="674" t="s">
        <v>1004</v>
      </c>
      <c r="I332" s="674" t="s">
        <v>254</v>
      </c>
      <c r="J332" s="166"/>
      <c r="K332" s="166"/>
      <c r="L332" s="166"/>
      <c r="M332" s="250"/>
      <c r="N332" s="251"/>
    </row>
    <row r="333" spans="1:19">
      <c r="A333" s="155"/>
      <c r="B333" s="155"/>
      <c r="C333" s="166"/>
      <c r="D333" s="166"/>
      <c r="E333" s="166"/>
      <c r="F333" s="166"/>
      <c r="G333" s="673" t="s">
        <v>3154</v>
      </c>
      <c r="H333" s="674" t="s">
        <v>2634</v>
      </c>
      <c r="I333" s="674" t="s">
        <v>1550</v>
      </c>
      <c r="J333" s="166"/>
      <c r="K333" s="166"/>
      <c r="L333" s="166"/>
      <c r="M333" s="250"/>
      <c r="N333" s="251"/>
    </row>
    <row r="334" spans="1:19" ht="25.5">
      <c r="A334" s="155"/>
      <c r="B334" s="155"/>
      <c r="C334" s="166"/>
      <c r="D334" s="166"/>
      <c r="E334" s="166"/>
      <c r="F334" s="166"/>
      <c r="G334" s="673" t="s">
        <v>935</v>
      </c>
      <c r="H334" s="674" t="s">
        <v>3833</v>
      </c>
      <c r="I334" s="674" t="s">
        <v>1552</v>
      </c>
      <c r="J334" s="166"/>
      <c r="K334" s="166"/>
      <c r="L334" s="166"/>
      <c r="M334" s="250"/>
      <c r="N334" s="251"/>
    </row>
    <row r="335" spans="1:19" ht="25.5">
      <c r="A335" s="155"/>
      <c r="B335" s="155"/>
      <c r="C335" s="166"/>
      <c r="D335" s="166"/>
      <c r="E335" s="166"/>
      <c r="F335" s="166"/>
      <c r="G335" s="673" t="s">
        <v>2548</v>
      </c>
      <c r="H335" s="674" t="s">
        <v>2253</v>
      </c>
      <c r="I335" s="674" t="s">
        <v>1466</v>
      </c>
      <c r="J335" s="166"/>
      <c r="K335" s="166"/>
      <c r="L335" s="166"/>
      <c r="M335" s="250"/>
      <c r="N335" s="251"/>
    </row>
    <row r="336" spans="1:19">
      <c r="A336" s="155"/>
      <c r="B336" s="155"/>
      <c r="C336" s="166"/>
      <c r="D336" s="166"/>
      <c r="E336" s="166"/>
      <c r="F336" s="166"/>
      <c r="G336" s="673" t="s">
        <v>1465</v>
      </c>
      <c r="H336" s="674" t="s">
        <v>3400</v>
      </c>
      <c r="I336" s="674" t="s">
        <v>1470</v>
      </c>
      <c r="J336" s="166"/>
      <c r="K336" s="166"/>
      <c r="L336" s="166"/>
      <c r="M336" s="250"/>
      <c r="N336" s="251"/>
    </row>
    <row r="337" spans="1:14">
      <c r="A337" s="155"/>
      <c r="B337" s="155"/>
      <c r="C337" s="166"/>
      <c r="D337" s="166"/>
      <c r="E337" s="166"/>
      <c r="F337" s="166"/>
      <c r="G337" s="673" t="s">
        <v>670</v>
      </c>
      <c r="H337" s="674" t="s">
        <v>2953</v>
      </c>
      <c r="I337" s="674" t="s">
        <v>1009</v>
      </c>
      <c r="J337" s="166"/>
      <c r="K337" s="166"/>
      <c r="L337" s="166"/>
      <c r="M337" s="250"/>
      <c r="N337" s="251"/>
    </row>
    <row r="338" spans="1:14" ht="51">
      <c r="A338" s="155"/>
      <c r="B338" s="155"/>
      <c r="C338" s="166"/>
      <c r="D338" s="166"/>
      <c r="E338" s="166"/>
      <c r="F338" s="166"/>
      <c r="G338" s="673" t="s">
        <v>298</v>
      </c>
      <c r="H338" s="674" t="s">
        <v>3836</v>
      </c>
      <c r="I338" s="674" t="s">
        <v>1014</v>
      </c>
      <c r="J338" s="166"/>
      <c r="K338" s="166"/>
      <c r="L338" s="166"/>
      <c r="M338" s="250"/>
      <c r="N338" s="251"/>
    </row>
    <row r="339" spans="1:14" ht="25.5">
      <c r="A339" s="155"/>
      <c r="B339" s="155"/>
      <c r="C339" s="166"/>
      <c r="D339" s="166"/>
      <c r="E339" s="166"/>
      <c r="F339" s="166"/>
      <c r="G339" s="673" t="s">
        <v>2549</v>
      </c>
      <c r="H339" s="674" t="s">
        <v>3829</v>
      </c>
      <c r="I339" s="674" t="s">
        <v>408</v>
      </c>
      <c r="J339" s="166"/>
      <c r="K339" s="166"/>
      <c r="L339" s="166"/>
      <c r="M339" s="250"/>
      <c r="N339" s="251"/>
    </row>
    <row r="340" spans="1:14" ht="25.5">
      <c r="A340" s="155"/>
      <c r="B340" s="155"/>
      <c r="C340" s="166"/>
      <c r="D340" s="166"/>
      <c r="E340" s="166"/>
      <c r="F340" s="166"/>
      <c r="G340" s="673" t="s">
        <v>882</v>
      </c>
      <c r="H340" s="674" t="s">
        <v>3834</v>
      </c>
      <c r="I340" s="674" t="s">
        <v>417</v>
      </c>
      <c r="J340" s="166"/>
      <c r="K340" s="166"/>
      <c r="L340" s="166"/>
      <c r="M340" s="250"/>
      <c r="N340" s="251"/>
    </row>
    <row r="341" spans="1:14">
      <c r="A341" s="155"/>
      <c r="B341" s="155"/>
      <c r="C341" s="166"/>
      <c r="D341" s="166"/>
      <c r="E341" s="166"/>
      <c r="F341" s="166"/>
      <c r="G341" s="673" t="s">
        <v>2550</v>
      </c>
      <c r="H341" s="674" t="s">
        <v>3835</v>
      </c>
      <c r="I341" s="674" t="s">
        <v>424</v>
      </c>
      <c r="J341" s="166"/>
      <c r="K341" s="166"/>
      <c r="L341" s="166"/>
      <c r="M341" s="250"/>
      <c r="N341" s="251"/>
    </row>
    <row r="342" spans="1:14">
      <c r="A342" s="155"/>
      <c r="B342" s="155"/>
      <c r="C342" s="166"/>
      <c r="D342" s="166"/>
      <c r="E342" s="166"/>
      <c r="F342" s="166"/>
      <c r="G342" s="673" t="s">
        <v>2769</v>
      </c>
      <c r="H342" s="674" t="s">
        <v>2254</v>
      </c>
      <c r="I342" s="674" t="s">
        <v>426</v>
      </c>
      <c r="J342" s="166"/>
      <c r="K342" s="166"/>
      <c r="L342" s="166"/>
      <c r="M342" s="250"/>
      <c r="N342" s="251"/>
    </row>
    <row r="343" spans="1:14">
      <c r="A343" s="155"/>
      <c r="B343" s="155"/>
      <c r="C343" s="166"/>
      <c r="D343" s="166"/>
      <c r="E343" s="166"/>
      <c r="F343" s="166"/>
      <c r="G343" s="673" t="s">
        <v>814</v>
      </c>
      <c r="H343" s="674"/>
      <c r="I343" s="674" t="s">
        <v>2181</v>
      </c>
      <c r="J343" s="166"/>
      <c r="K343" s="166"/>
      <c r="L343" s="166"/>
      <c r="M343" s="250"/>
      <c r="N343" s="251"/>
    </row>
    <row r="344" spans="1:14">
      <c r="A344" s="155"/>
      <c r="B344" s="155"/>
      <c r="C344" s="166"/>
      <c r="D344" s="166"/>
      <c r="E344" s="166"/>
      <c r="F344" s="166"/>
      <c r="G344" s="673" t="s">
        <v>822</v>
      </c>
      <c r="H344" s="674"/>
      <c r="I344" s="674" t="s">
        <v>2183</v>
      </c>
      <c r="J344" s="166"/>
      <c r="K344" s="166"/>
      <c r="L344" s="166"/>
      <c r="M344" s="250"/>
      <c r="N344" s="251"/>
    </row>
    <row r="345" spans="1:14">
      <c r="A345" s="155"/>
      <c r="B345" s="155"/>
      <c r="C345" s="166"/>
      <c r="D345" s="166"/>
      <c r="E345" s="166"/>
      <c r="F345" s="166"/>
      <c r="G345" s="673" t="s">
        <v>3191</v>
      </c>
      <c r="H345" s="674"/>
      <c r="I345" s="674" t="s">
        <v>2022</v>
      </c>
      <c r="J345" s="166"/>
      <c r="K345" s="166"/>
      <c r="L345" s="166"/>
      <c r="M345" s="250"/>
      <c r="N345" s="251"/>
    </row>
    <row r="346" spans="1:14">
      <c r="A346" s="155"/>
      <c r="B346" s="155"/>
      <c r="C346" s="166"/>
      <c r="D346" s="166"/>
      <c r="E346" s="166"/>
      <c r="F346" s="166"/>
      <c r="G346" s="673" t="s">
        <v>503</v>
      </c>
      <c r="H346" s="674"/>
      <c r="I346" s="674" t="s">
        <v>458</v>
      </c>
      <c r="J346" s="166"/>
      <c r="K346" s="166"/>
      <c r="L346" s="166"/>
      <c r="M346" s="250"/>
      <c r="N346" s="251"/>
    </row>
    <row r="347" spans="1:14">
      <c r="A347" s="155"/>
      <c r="B347" s="155"/>
      <c r="C347" s="166"/>
      <c r="D347" s="166"/>
      <c r="E347" s="166"/>
      <c r="F347" s="166"/>
      <c r="G347" s="673" t="s">
        <v>3400</v>
      </c>
      <c r="H347" s="674"/>
      <c r="I347" s="674" t="s">
        <v>2938</v>
      </c>
      <c r="J347" s="166"/>
      <c r="K347" s="166"/>
      <c r="L347" s="166"/>
      <c r="M347" s="250"/>
      <c r="N347" s="251"/>
    </row>
    <row r="348" spans="1:14" ht="51">
      <c r="A348" s="155"/>
      <c r="B348" s="155"/>
      <c r="C348" s="166"/>
      <c r="D348" s="166"/>
      <c r="E348" s="166"/>
      <c r="F348" s="166"/>
      <c r="G348" s="673" t="s">
        <v>2551</v>
      </c>
      <c r="H348" s="674"/>
      <c r="I348" s="674" t="s">
        <v>2539</v>
      </c>
      <c r="J348" s="166"/>
      <c r="K348" s="166"/>
      <c r="L348" s="166"/>
      <c r="M348" s="250"/>
      <c r="N348" s="251"/>
    </row>
    <row r="349" spans="1:14">
      <c r="A349" s="155"/>
      <c r="B349" s="155"/>
      <c r="C349" s="166"/>
      <c r="D349" s="166"/>
      <c r="E349" s="166"/>
      <c r="F349" s="166"/>
      <c r="G349" s="673" t="s">
        <v>3389</v>
      </c>
      <c r="H349" s="674"/>
      <c r="I349" s="674" t="s">
        <v>2541</v>
      </c>
      <c r="J349" s="166"/>
      <c r="K349" s="166"/>
      <c r="L349" s="166"/>
      <c r="M349" s="250"/>
      <c r="N349" s="251"/>
    </row>
    <row r="350" spans="1:14">
      <c r="A350" s="155"/>
      <c r="B350" s="155"/>
      <c r="C350" s="166"/>
      <c r="D350" s="166"/>
      <c r="E350" s="166"/>
      <c r="F350" s="166"/>
      <c r="G350" s="673" t="s">
        <v>3391</v>
      </c>
      <c r="H350" s="674"/>
      <c r="I350" s="674" t="s">
        <v>1743</v>
      </c>
      <c r="J350" s="166"/>
      <c r="K350" s="166"/>
      <c r="L350" s="166"/>
      <c r="M350" s="250"/>
      <c r="N350" s="251"/>
    </row>
    <row r="351" spans="1:14">
      <c r="A351" s="155"/>
      <c r="B351" s="155"/>
      <c r="C351" s="166"/>
      <c r="D351" s="166"/>
      <c r="E351" s="166"/>
      <c r="F351" s="166"/>
      <c r="G351" s="673" t="s">
        <v>3224</v>
      </c>
      <c r="H351" s="674"/>
      <c r="I351" s="674" t="s">
        <v>3278</v>
      </c>
      <c r="J351" s="166"/>
      <c r="K351" s="166"/>
      <c r="L351" s="166"/>
      <c r="M351" s="250"/>
      <c r="N351" s="251"/>
    </row>
    <row r="352" spans="1:14" ht="25.5">
      <c r="A352" s="155"/>
      <c r="B352" s="155"/>
      <c r="C352" s="166"/>
      <c r="D352" s="166"/>
      <c r="E352" s="166"/>
      <c r="F352" s="166"/>
      <c r="G352" s="673" t="s">
        <v>2552</v>
      </c>
      <c r="H352" s="674"/>
      <c r="I352" s="674" t="s">
        <v>3283</v>
      </c>
      <c r="J352" s="166"/>
      <c r="K352" s="166"/>
      <c r="L352" s="166"/>
      <c r="M352" s="250"/>
      <c r="N352" s="251"/>
    </row>
    <row r="353" spans="1:14">
      <c r="A353" s="155"/>
      <c r="B353" s="155"/>
      <c r="C353" s="166"/>
      <c r="D353" s="166"/>
      <c r="E353" s="166"/>
      <c r="F353" s="166"/>
      <c r="G353" s="673" t="s">
        <v>3481</v>
      </c>
      <c r="H353" s="674"/>
      <c r="I353" s="674" t="s">
        <v>3289</v>
      </c>
      <c r="J353" s="166"/>
      <c r="K353" s="166"/>
      <c r="L353" s="166"/>
      <c r="M353" s="250"/>
      <c r="N353" s="251"/>
    </row>
    <row r="354" spans="1:14">
      <c r="A354" s="155"/>
      <c r="B354" s="155"/>
      <c r="C354" s="166"/>
      <c r="D354" s="166"/>
      <c r="E354" s="166"/>
      <c r="F354" s="166"/>
      <c r="G354" s="673" t="s">
        <v>3392</v>
      </c>
      <c r="H354" s="674"/>
      <c r="I354" s="674" t="s">
        <v>3293</v>
      </c>
      <c r="J354" s="166"/>
      <c r="K354" s="166"/>
      <c r="L354" s="166"/>
      <c r="M354" s="250"/>
      <c r="N354" s="251"/>
    </row>
    <row r="355" spans="1:14">
      <c r="A355" s="155"/>
      <c r="B355" s="155"/>
      <c r="C355" s="166"/>
      <c r="D355" s="166"/>
      <c r="E355" s="166"/>
      <c r="F355" s="166"/>
      <c r="G355" s="673" t="s">
        <v>2714</v>
      </c>
      <c r="H355" s="674"/>
      <c r="I355" s="674" t="s">
        <v>2662</v>
      </c>
      <c r="J355" s="166"/>
      <c r="K355" s="166"/>
      <c r="L355" s="166"/>
      <c r="M355" s="250"/>
      <c r="N355" s="251"/>
    </row>
    <row r="356" spans="1:14" ht="13.5">
      <c r="A356" s="155"/>
      <c r="B356" s="155"/>
      <c r="C356" s="675"/>
      <c r="D356" s="675"/>
      <c r="E356" s="166"/>
      <c r="F356" s="166"/>
      <c r="G356" s="639" t="s">
        <v>2719</v>
      </c>
      <c r="H356" s="507"/>
      <c r="I356" s="674" t="s">
        <v>2663</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390</v>
      </c>
      <c r="H358" s="507"/>
      <c r="I358" s="166" t="s">
        <v>124</v>
      </c>
      <c r="J358" s="166"/>
      <c r="K358" s="166"/>
      <c r="L358" s="166"/>
      <c r="M358" s="250"/>
      <c r="N358" s="251"/>
    </row>
    <row r="359" spans="1:14">
      <c r="A359" s="155"/>
      <c r="B359" s="155"/>
      <c r="C359" s="675"/>
      <c r="D359" s="676"/>
      <c r="E359" s="676"/>
      <c r="F359" s="123"/>
      <c r="G359" s="677" t="s">
        <v>391</v>
      </c>
      <c r="H359" s="166"/>
      <c r="I359" s="166" t="s">
        <v>3632</v>
      </c>
      <c r="J359" s="166"/>
      <c r="K359" s="166"/>
      <c r="L359" s="166"/>
      <c r="M359" s="155"/>
    </row>
    <row r="360" spans="1:14">
      <c r="A360" s="155"/>
      <c r="B360" s="155"/>
      <c r="C360" s="675"/>
      <c r="D360" s="123"/>
      <c r="E360" s="123"/>
      <c r="F360" s="123"/>
      <c r="G360" s="677" t="s">
        <v>2298</v>
      </c>
      <c r="H360" s="166"/>
      <c r="I360" s="166" t="s">
        <v>3636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5" bottom="0.4" header="0.26" footer="0.25"/>
  <pageSetup fitToHeight="0" orientation="landscape" r:id="rId1"/>
  <headerFooter alignWithMargins="0">
    <oddHeader>&amp;L&amp;11Georgia Department of Community Affairs&amp;C&amp;11 2011 Funding Application&amp;R&amp;11Office of Affordable Housing</oddHeader>
    <oddFooter>&amp;L&amp;"Arial Narrow,Regular"&amp;F - March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99" sqref="D99"/>
    </sheetView>
  </sheetViews>
  <sheetFormatPr defaultRowHeight="12.75"/>
  <cols>
    <col min="1" max="1" width="88.42578125" style="31" customWidth="1"/>
    <col min="2" max="16384" width="9.140625" style="31"/>
  </cols>
  <sheetData>
    <row r="1" spans="1:6" ht="15.75">
      <c r="A1" s="1146" t="s">
        <v>804</v>
      </c>
    </row>
    <row r="2" spans="1:6" ht="16.5">
      <c r="A2" s="1147" t="str">
        <f>'Part I-Project Information'!F22</f>
        <v>Calypso</v>
      </c>
    </row>
    <row r="3" spans="1:6" ht="16.5">
      <c r="A3" s="1147" t="str">
        <f>CONCATENATE('Part I-Project Information'!F24,", ", 'Part I-Project Information'!J25," County")</f>
        <v>Palmetto, Fulton County</v>
      </c>
    </row>
    <row r="4" spans="1:6" ht="12" customHeight="1"/>
    <row r="5" spans="1:6" ht="111" customHeight="1">
      <c r="A5" s="1148"/>
      <c r="B5" s="774" t="s">
        <v>1592</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D99" sqref="D99"/>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2243</v>
      </c>
      <c r="O1" s="1129"/>
      <c r="P1" s="1129"/>
      <c r="Q1" s="1129"/>
      <c r="R1" s="1129"/>
      <c r="S1" s="1129"/>
      <c r="T1" s="1129"/>
      <c r="U1" s="1129"/>
      <c r="V1" s="1129"/>
      <c r="W1" s="1129"/>
      <c r="X1" s="1129"/>
      <c r="Y1" s="1129"/>
      <c r="Z1" s="1129"/>
    </row>
    <row r="3" spans="1:26">
      <c r="N3" s="1130" t="s">
        <v>2244</v>
      </c>
      <c r="O3" s="1130"/>
      <c r="P3" s="1130"/>
      <c r="Q3" s="1130"/>
      <c r="R3" s="1130"/>
      <c r="S3" s="1130"/>
      <c r="T3" s="1130"/>
      <c r="U3" s="1130"/>
      <c r="V3" s="1130"/>
      <c r="W3" s="1130"/>
      <c r="X3" s="1130"/>
      <c r="Y3" s="1130"/>
      <c r="Z3" s="1130"/>
    </row>
    <row r="4" spans="1:26">
      <c r="N4" s="1131" t="s">
        <v>2245</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1060</v>
      </c>
    </row>
    <row r="7" spans="1:26" ht="11.45" customHeight="1">
      <c r="A7" s="1132"/>
      <c r="B7" s="1132"/>
      <c r="C7" s="1132"/>
      <c r="D7" s="1132"/>
      <c r="E7" s="1132"/>
      <c r="F7" s="1132"/>
      <c r="G7" s="1132"/>
      <c r="H7" s="1132"/>
      <c r="I7" s="1132"/>
      <c r="J7" s="1132"/>
      <c r="K7" s="1132"/>
      <c r="L7" s="1132"/>
      <c r="M7" s="1132"/>
    </row>
    <row r="8" spans="1:26" ht="63.6" customHeight="1">
      <c r="A8" s="1134" t="s">
        <v>3474</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1065</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2969</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803</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2765</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2766</v>
      </c>
      <c r="B18" s="1138" t="s">
        <v>981</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2767</v>
      </c>
      <c r="B20" s="1138" t="s">
        <v>1494</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3571</v>
      </c>
      <c r="B22" s="1138" t="s">
        <v>1034</v>
      </c>
      <c r="C22" s="1138"/>
      <c r="D22" s="1138"/>
      <c r="E22" s="1138"/>
      <c r="F22" s="1138"/>
      <c r="G22" s="1138"/>
      <c r="H22" s="1138"/>
      <c r="I22" s="1138"/>
      <c r="J22" s="1138"/>
      <c r="K22" s="1138"/>
      <c r="L22" s="1138"/>
      <c r="M22" s="1138"/>
    </row>
    <row r="23" spans="1:13" ht="165.6" customHeight="1">
      <c r="A23" s="1137" t="s">
        <v>2304</v>
      </c>
      <c r="B23" s="1138" t="s">
        <v>3124</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2305</v>
      </c>
      <c r="B25" s="1138" t="s">
        <v>2192</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2193</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2194</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2195</v>
      </c>
      <c r="B31" s="1138" t="s">
        <v>2153</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2195</v>
      </c>
      <c r="B33" s="1138" t="s">
        <v>1790</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2195</v>
      </c>
      <c r="B35" s="1138" t="s">
        <v>1776</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1542</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1517</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1518</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1519</v>
      </c>
      <c r="B44" s="1143"/>
      <c r="C44" s="1143"/>
      <c r="D44" s="1143"/>
      <c r="E44" s="1143"/>
      <c r="F44" s="1143"/>
      <c r="G44" s="1142"/>
      <c r="H44" s="1143" t="s">
        <v>3057</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1520</v>
      </c>
      <c r="B48" s="1143"/>
      <c r="C48" s="1143"/>
      <c r="D48" s="1143"/>
      <c r="E48" s="1143"/>
      <c r="F48" s="1143"/>
      <c r="G48" s="1142"/>
      <c r="H48" s="1143" t="s">
        <v>1521</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1522</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7" zoomScale="120" workbookViewId="0">
      <selection activeCell="D99" sqref="D99"/>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1091</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2754</v>
      </c>
      <c r="B4" s="419"/>
      <c r="C4" s="419"/>
      <c r="D4" s="241"/>
      <c r="E4" s="241"/>
      <c r="F4" s="419" t="s">
        <v>2755</v>
      </c>
      <c r="G4" s="419"/>
      <c r="H4" s="241"/>
      <c r="I4" s="241"/>
      <c r="J4" s="419" t="s">
        <v>2756</v>
      </c>
      <c r="K4" s="419"/>
      <c r="L4" s="419"/>
      <c r="M4" s="419"/>
      <c r="N4" s="419"/>
      <c r="O4" s="419"/>
      <c r="P4" s="241"/>
      <c r="Q4" s="420" t="s">
        <v>2757</v>
      </c>
      <c r="R4" s="421" t="s">
        <v>2758</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2759</v>
      </c>
      <c r="B6" s="243"/>
      <c r="C6" s="243"/>
      <c r="D6" s="241"/>
      <c r="E6" s="241"/>
      <c r="F6" s="243" t="s">
        <v>783</v>
      </c>
      <c r="G6" s="243"/>
      <c r="H6" s="241"/>
      <c r="I6" s="241"/>
      <c r="J6" s="243" t="s">
        <v>2760</v>
      </c>
      <c r="K6" s="243"/>
      <c r="L6" s="243"/>
      <c r="M6" s="243"/>
      <c r="N6" s="243"/>
      <c r="O6" s="243"/>
      <c r="P6" s="241"/>
      <c r="Q6" s="424" t="s">
        <v>2761</v>
      </c>
      <c r="R6" s="424">
        <v>950000</v>
      </c>
      <c r="S6" s="241"/>
      <c r="T6" s="241"/>
      <c r="U6" s="241"/>
      <c r="V6" s="425"/>
      <c r="W6" s="425"/>
      <c r="X6" s="244"/>
    </row>
    <row r="7" spans="1:26" s="418" customFormat="1" ht="11.45" customHeight="1">
      <c r="A7" s="423"/>
      <c r="B7" s="243"/>
      <c r="C7" s="243"/>
      <c r="D7" s="241"/>
      <c r="E7" s="241"/>
      <c r="F7" s="243"/>
      <c r="G7" s="243"/>
      <c r="H7" s="241"/>
      <c r="I7" s="241"/>
      <c r="J7" s="243" t="s">
        <v>1935</v>
      </c>
      <c r="K7" s="243"/>
      <c r="L7" s="243"/>
      <c r="M7" s="243"/>
      <c r="N7" s="243"/>
      <c r="O7" s="243"/>
      <c r="P7" s="241"/>
      <c r="Q7" s="424" t="s">
        <v>2761</v>
      </c>
      <c r="R7" s="424">
        <v>1700000</v>
      </c>
      <c r="S7" s="241"/>
      <c r="T7" s="241"/>
      <c r="U7" s="241"/>
      <c r="V7" s="425"/>
      <c r="W7" s="425"/>
      <c r="X7" s="244"/>
    </row>
    <row r="8" spans="1:26" s="418" customFormat="1" ht="11.45" customHeight="1">
      <c r="A8" s="243"/>
      <c r="B8" s="243"/>
      <c r="C8" s="243"/>
      <c r="D8" s="241"/>
      <c r="E8" s="241"/>
      <c r="F8" s="243" t="s">
        <v>3652</v>
      </c>
      <c r="G8" s="243"/>
      <c r="H8" s="241"/>
      <c r="I8" s="241"/>
      <c r="J8" s="243" t="s">
        <v>2793</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3613</v>
      </c>
      <c r="K9" s="243"/>
      <c r="L9" s="243"/>
      <c r="M9" s="243"/>
      <c r="N9" s="243"/>
      <c r="O9" s="243"/>
      <c r="P9" s="241"/>
      <c r="Q9" s="424" t="s">
        <v>2761</v>
      </c>
      <c r="R9" s="747">
        <v>0.25</v>
      </c>
      <c r="S9" s="241"/>
      <c r="T9" s="241"/>
      <c r="U9" s="241"/>
      <c r="V9" s="425"/>
      <c r="W9" s="425"/>
      <c r="X9" s="244"/>
    </row>
    <row r="10" spans="1:26" s="418" customFormat="1" ht="11.45" customHeight="1">
      <c r="A10" s="243"/>
      <c r="B10" s="243"/>
      <c r="C10" s="243"/>
      <c r="D10" s="241"/>
      <c r="E10" s="241"/>
      <c r="F10" s="243"/>
      <c r="G10" s="243"/>
      <c r="H10" s="241"/>
      <c r="I10" s="241"/>
      <c r="J10" s="428" t="s">
        <v>717</v>
      </c>
      <c r="K10" s="428" t="s">
        <v>3687</v>
      </c>
      <c r="L10" s="428" t="s">
        <v>3688</v>
      </c>
      <c r="M10" s="428" t="s">
        <v>3689</v>
      </c>
      <c r="N10" s="428" t="s">
        <v>3690</v>
      </c>
      <c r="O10" s="243"/>
      <c r="P10" s="241"/>
      <c r="Q10" s="429"/>
      <c r="R10" s="429"/>
      <c r="S10" s="426"/>
      <c r="T10" s="426"/>
      <c r="U10" s="241"/>
      <c r="V10" s="427"/>
      <c r="W10" s="427"/>
      <c r="X10" s="427"/>
    </row>
    <row r="11" spans="1:26" s="418" customFormat="1" ht="11.45" customHeight="1">
      <c r="A11" s="243"/>
      <c r="B11" s="243"/>
      <c r="C11" s="243"/>
      <c r="D11" s="241"/>
      <c r="E11" s="241"/>
      <c r="F11" s="243" t="s">
        <v>1936</v>
      </c>
      <c r="G11" s="243"/>
      <c r="H11" s="241"/>
      <c r="I11" s="241"/>
      <c r="J11" s="430">
        <v>110481</v>
      </c>
      <c r="K11" s="430">
        <v>126647</v>
      </c>
      <c r="L11" s="430">
        <v>154003</v>
      </c>
      <c r="M11" s="430">
        <v>199229</v>
      </c>
      <c r="N11" s="430">
        <v>218693</v>
      </c>
      <c r="O11" s="243"/>
      <c r="Q11" s="424" t="s">
        <v>2761</v>
      </c>
      <c r="R11" s="424">
        <f>'Part VI-Revenues &amp; Expenses'!$H$63*$J11+'Part VI-Revenues &amp; Expenses'!$I$63*$K11+'Part VI-Revenues &amp; Expenses'!$J$63*$L11+'Part VI-Revenues &amp; Expenses'!$K$63*$M11+'Part VI-Revenues &amp; Expenses'!$L$63*$N11</f>
        <v>12663622</v>
      </c>
      <c r="S11" s="452" t="s">
        <v>1349</v>
      </c>
      <c r="T11" s="426"/>
      <c r="U11" s="241"/>
      <c r="V11" s="427"/>
      <c r="W11" s="427"/>
      <c r="X11" s="427"/>
    </row>
    <row r="12" spans="1:26" s="418" customFormat="1" ht="11.45" customHeight="1">
      <c r="A12" s="243"/>
      <c r="B12" s="243"/>
      <c r="C12" s="243"/>
      <c r="D12" s="241"/>
      <c r="E12" s="241"/>
      <c r="F12" s="243" t="s">
        <v>1938</v>
      </c>
      <c r="G12" s="243"/>
      <c r="H12" s="241"/>
      <c r="I12" s="241"/>
      <c r="J12" s="430">
        <v>132577</v>
      </c>
      <c r="K12" s="430">
        <v>151976</v>
      </c>
      <c r="L12" s="430">
        <v>184804</v>
      </c>
      <c r="M12" s="430">
        <v>239075</v>
      </c>
      <c r="N12" s="430">
        <v>262432</v>
      </c>
      <c r="O12" s="243"/>
      <c r="Q12" s="424" t="s">
        <v>2761</v>
      </c>
      <c r="R12" s="424">
        <f>'Part VI-Revenues &amp; Expenses'!$H$63*$J12+'Part VI-Revenues &amp; Expenses'!$I$63*$K12+'Part VI-Revenues &amp; Expenses'!$J$63*$L12+'Part VI-Revenues &amp; Expenses'!$K$63*$M12+'Part VI-Revenues &amp; Expenses'!$L$63*$N12</f>
        <v>15196362</v>
      </c>
      <c r="S12" s="452" t="s">
        <v>1349</v>
      </c>
      <c r="T12" s="241"/>
      <c r="U12" s="241"/>
      <c r="V12" s="427"/>
      <c r="W12" s="427"/>
      <c r="X12" s="427"/>
    </row>
    <row r="13" spans="1:26" s="418" customFormat="1" ht="11.45" customHeight="1">
      <c r="A13" s="243"/>
      <c r="B13" s="243"/>
      <c r="C13" s="243"/>
      <c r="D13" s="241"/>
      <c r="E13" s="241"/>
      <c r="F13" s="243" t="s">
        <v>1937</v>
      </c>
      <c r="G13" s="243"/>
      <c r="H13" s="241"/>
      <c r="I13" s="241"/>
      <c r="J13" s="430">
        <v>121529</v>
      </c>
      <c r="K13" s="430">
        <v>139312</v>
      </c>
      <c r="L13" s="430">
        <v>169403</v>
      </c>
      <c r="M13" s="430">
        <v>219152</v>
      </c>
      <c r="N13" s="430">
        <v>240562</v>
      </c>
      <c r="O13" s="243"/>
      <c r="Q13" s="424" t="s">
        <v>2761</v>
      </c>
      <c r="R13" s="424">
        <f>'Part VI-Revenues &amp; Expenses'!$H$63*$J13+'Part VI-Revenues &amp; Expenses'!$I$63*$K13+'Part VI-Revenues &amp; Expenses'!$J$63*$L13+'Part VI-Revenues &amp; Expenses'!$K$63*$M13+'Part VI-Revenues &amp; Expenses'!$L$63*$N13</f>
        <v>13929984</v>
      </c>
      <c r="S13" s="452" t="s">
        <v>1349</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1851</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1851</v>
      </c>
      <c r="C16" s="243"/>
      <c r="D16" s="241"/>
      <c r="E16" s="241"/>
      <c r="F16" s="243" t="s">
        <v>1852</v>
      </c>
      <c r="G16" s="243" t="s">
        <v>1867</v>
      </c>
      <c r="H16" s="241"/>
      <c r="I16" s="241"/>
      <c r="J16" s="243" t="s">
        <v>2282</v>
      </c>
      <c r="K16" s="243"/>
      <c r="L16" s="243"/>
      <c r="M16" s="243"/>
      <c r="N16" s="243"/>
      <c r="O16" s="243"/>
      <c r="P16" s="241"/>
      <c r="Q16" s="245">
        <v>4500</v>
      </c>
      <c r="R16" s="433" t="s">
        <v>2761</v>
      </c>
      <c r="S16" s="434"/>
    </row>
    <row r="17" spans="1:21" s="418" customFormat="1" ht="11.45" customHeight="1">
      <c r="A17" s="241"/>
      <c r="B17" s="243"/>
      <c r="C17" s="243"/>
      <c r="D17" s="241"/>
      <c r="E17" s="241"/>
      <c r="F17" s="243"/>
      <c r="G17" s="243" t="s">
        <v>2364</v>
      </c>
      <c r="H17" s="241"/>
      <c r="I17" s="241"/>
      <c r="J17" s="243" t="s">
        <v>2282</v>
      </c>
      <c r="K17" s="243"/>
      <c r="L17" s="243"/>
      <c r="M17" s="243"/>
      <c r="N17" s="243"/>
      <c r="O17" s="243"/>
      <c r="P17" s="241"/>
      <c r="Q17" s="245">
        <v>4000</v>
      </c>
      <c r="R17" s="433" t="s">
        <v>2761</v>
      </c>
      <c r="S17" s="434"/>
    </row>
    <row r="18" spans="1:21" s="418" customFormat="1" ht="11.45" customHeight="1">
      <c r="A18" s="243"/>
      <c r="B18" s="243"/>
      <c r="C18" s="243"/>
      <c r="D18" s="241"/>
      <c r="E18" s="241"/>
      <c r="F18" s="243" t="s">
        <v>2971</v>
      </c>
      <c r="G18" s="243"/>
      <c r="H18" s="241"/>
      <c r="I18" s="241"/>
      <c r="J18" s="243" t="s">
        <v>2282</v>
      </c>
      <c r="K18" s="243"/>
      <c r="L18" s="243"/>
      <c r="M18" s="243"/>
      <c r="N18" s="243"/>
      <c r="O18" s="243"/>
      <c r="P18" s="241"/>
      <c r="Q18" s="245">
        <v>3000</v>
      </c>
      <c r="R18" s="433" t="s">
        <v>2761</v>
      </c>
      <c r="S18" s="434"/>
    </row>
    <row r="19" spans="1:21" s="418" customFormat="1" ht="11.45" customHeight="1">
      <c r="A19" s="243"/>
      <c r="B19" s="243"/>
      <c r="C19" s="243"/>
      <c r="D19" s="241"/>
      <c r="E19" s="241"/>
      <c r="F19" s="243" t="s">
        <v>1853</v>
      </c>
      <c r="G19" s="243"/>
      <c r="H19" s="241"/>
      <c r="I19" s="241"/>
      <c r="J19" s="243" t="s">
        <v>2282</v>
      </c>
      <c r="K19" s="243"/>
      <c r="L19" s="243"/>
      <c r="M19" s="243"/>
      <c r="N19" s="243"/>
      <c r="O19" s="243"/>
      <c r="P19" s="241"/>
      <c r="Q19" s="245">
        <v>3000</v>
      </c>
      <c r="R19" s="433" t="s">
        <v>2761</v>
      </c>
      <c r="S19" s="434"/>
      <c r="T19" s="434"/>
      <c r="U19" s="434"/>
    </row>
    <row r="20" spans="1:21" s="418" customFormat="1" ht="11.45" customHeight="1">
      <c r="A20" s="243"/>
      <c r="B20" s="243" t="s">
        <v>1854</v>
      </c>
      <c r="C20" s="243"/>
      <c r="D20" s="241"/>
      <c r="E20" s="241"/>
      <c r="F20" s="243" t="s">
        <v>368</v>
      </c>
      <c r="G20" s="243"/>
      <c r="H20" s="241"/>
      <c r="I20" s="241"/>
      <c r="J20" s="243" t="s">
        <v>2282</v>
      </c>
      <c r="K20" s="243"/>
      <c r="L20" s="243"/>
      <c r="M20" s="243"/>
      <c r="N20" s="243"/>
      <c r="O20" s="243"/>
      <c r="P20" s="241"/>
      <c r="Q20" s="435">
        <v>350</v>
      </c>
      <c r="R20" s="433" t="s">
        <v>2761</v>
      </c>
      <c r="S20" s="434"/>
      <c r="T20" s="434"/>
      <c r="U20" s="434"/>
    </row>
    <row r="21" spans="1:21" s="418" customFormat="1" ht="11.45" customHeight="1">
      <c r="A21" s="243"/>
      <c r="B21" s="243"/>
      <c r="C21" s="243"/>
      <c r="D21" s="241"/>
      <c r="E21" s="241"/>
      <c r="F21" s="243" t="s">
        <v>1855</v>
      </c>
      <c r="G21" s="243"/>
      <c r="H21" s="241"/>
      <c r="I21" s="241"/>
      <c r="J21" s="243" t="s">
        <v>2282</v>
      </c>
      <c r="K21" s="243"/>
      <c r="L21" s="243"/>
      <c r="M21" s="243"/>
      <c r="N21" s="243"/>
      <c r="O21" s="243"/>
      <c r="P21" s="241"/>
      <c r="Q21" s="435">
        <v>250</v>
      </c>
      <c r="R21" s="433" t="s">
        <v>2761</v>
      </c>
      <c r="S21" s="434"/>
      <c r="T21" s="434"/>
      <c r="U21" s="434"/>
    </row>
    <row r="22" spans="1:21" s="418" customFormat="1" ht="11.45" customHeight="1">
      <c r="A22" s="243"/>
      <c r="B22" s="243"/>
      <c r="C22" s="243"/>
      <c r="D22" s="243"/>
      <c r="E22" s="241"/>
      <c r="F22" s="243" t="s">
        <v>1856</v>
      </c>
      <c r="G22" s="243"/>
      <c r="H22" s="241"/>
      <c r="I22" s="241"/>
      <c r="J22" s="243" t="s">
        <v>2282</v>
      </c>
      <c r="K22" s="243"/>
      <c r="L22" s="243"/>
      <c r="M22" s="243"/>
      <c r="N22" s="243"/>
      <c r="O22" s="243"/>
      <c r="P22" s="241"/>
      <c r="Q22" s="435">
        <v>420</v>
      </c>
      <c r="R22" s="433" t="s">
        <v>2761</v>
      </c>
      <c r="S22" s="434"/>
      <c r="T22" s="434"/>
      <c r="U22" s="434"/>
    </row>
    <row r="23" spans="1:21" s="418" customFormat="1" ht="11.45" customHeight="1">
      <c r="A23" s="243"/>
      <c r="B23" s="243"/>
      <c r="C23" s="243"/>
      <c r="D23" s="243"/>
      <c r="E23" s="241"/>
      <c r="F23" s="243" t="s">
        <v>1797</v>
      </c>
      <c r="G23" s="243"/>
      <c r="H23" s="241"/>
      <c r="I23" s="241"/>
      <c r="J23" s="243" t="s">
        <v>2282</v>
      </c>
      <c r="K23" s="243"/>
      <c r="L23" s="243"/>
      <c r="M23" s="243"/>
      <c r="N23" s="243"/>
      <c r="O23" s="243"/>
      <c r="P23" s="241"/>
      <c r="Q23" s="435">
        <v>420</v>
      </c>
      <c r="R23" s="433" t="s">
        <v>2761</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1857</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1858</v>
      </c>
      <c r="C26" s="243"/>
      <c r="D26" s="243"/>
      <c r="E26" s="241"/>
      <c r="F26" s="246" t="s">
        <v>1859</v>
      </c>
      <c r="G26" s="243"/>
      <c r="H26" s="241"/>
      <c r="I26" s="241"/>
      <c r="J26" s="243" t="s">
        <v>1860</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1859</v>
      </c>
      <c r="G27" s="243"/>
      <c r="H27" s="241"/>
      <c r="I27" s="241"/>
      <c r="J27" s="243" t="s">
        <v>1861</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1862</v>
      </c>
      <c r="G28" s="243"/>
      <c r="H28" s="241"/>
      <c r="I28" s="241"/>
      <c r="J28" s="243" t="s">
        <v>1860</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1862</v>
      </c>
      <c r="G29" s="243"/>
      <c r="H29" s="241"/>
      <c r="I29" s="241"/>
      <c r="J29" s="243" t="s">
        <v>1861</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1252</v>
      </c>
      <c r="G30" s="243"/>
      <c r="H30" s="241"/>
      <c r="I30" s="241"/>
      <c r="J30" s="243" t="s">
        <v>1860</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1252</v>
      </c>
      <c r="G31" s="243"/>
      <c r="H31" s="241"/>
      <c r="I31" s="241"/>
      <c r="J31" s="243" t="s">
        <v>1861</v>
      </c>
      <c r="K31" s="243"/>
      <c r="L31" s="243"/>
      <c r="M31" s="243"/>
      <c r="N31" s="243"/>
      <c r="O31" s="243"/>
      <c r="P31" s="241"/>
      <c r="Q31" s="1078">
        <v>3500</v>
      </c>
      <c r="R31" s="1079"/>
      <c r="S31" s="434"/>
      <c r="T31" s="434"/>
      <c r="U31" s="434"/>
    </row>
    <row r="32" spans="1:21" s="418" customFormat="1" ht="11.45" customHeight="1">
      <c r="A32" s="243"/>
      <c r="B32" s="243" t="s">
        <v>1253</v>
      </c>
      <c r="C32" s="243"/>
      <c r="D32" s="241"/>
      <c r="E32" s="241"/>
      <c r="F32" s="243" t="s">
        <v>368</v>
      </c>
      <c r="G32" s="243"/>
      <c r="H32" s="241"/>
      <c r="I32" s="241"/>
      <c r="J32" s="243" t="s">
        <v>779</v>
      </c>
      <c r="K32" s="243"/>
      <c r="L32" s="243"/>
      <c r="M32" s="243"/>
      <c r="N32" s="243"/>
      <c r="O32" s="243"/>
      <c r="P32" s="241"/>
      <c r="Q32" s="424">
        <v>25000</v>
      </c>
      <c r="R32" s="433" t="s">
        <v>780</v>
      </c>
      <c r="S32" s="434"/>
      <c r="T32" s="434"/>
      <c r="U32" s="434"/>
    </row>
    <row r="33" spans="1:21" s="418" customFormat="1" ht="11.45" customHeight="1">
      <c r="A33" s="243"/>
      <c r="B33" s="243"/>
      <c r="C33" s="243"/>
      <c r="D33" s="241"/>
      <c r="E33" s="241"/>
      <c r="F33" s="243"/>
      <c r="G33" s="243"/>
      <c r="H33" s="241"/>
      <c r="I33" s="241"/>
      <c r="J33" s="243" t="s">
        <v>781</v>
      </c>
      <c r="K33" s="243"/>
      <c r="L33" s="243"/>
      <c r="M33" s="243"/>
      <c r="N33" s="243"/>
      <c r="O33" s="243"/>
      <c r="P33" s="241"/>
      <c r="Q33" s="424">
        <v>30000</v>
      </c>
      <c r="R33" s="433" t="s">
        <v>780</v>
      </c>
      <c r="S33" s="434"/>
      <c r="T33" s="434"/>
      <c r="U33" s="434"/>
    </row>
    <row r="34" spans="1:21" s="418" customFormat="1" ht="11.45" customHeight="1">
      <c r="A34" s="243"/>
      <c r="B34" s="243" t="s">
        <v>3038</v>
      </c>
      <c r="C34" s="243"/>
      <c r="D34" s="241"/>
      <c r="E34" s="241"/>
      <c r="F34" s="243" t="s">
        <v>1855</v>
      </c>
      <c r="G34" s="243"/>
      <c r="H34" s="241"/>
      <c r="I34" s="241"/>
      <c r="J34" s="243" t="s">
        <v>1580</v>
      </c>
      <c r="K34" s="243"/>
      <c r="L34" s="243"/>
      <c r="M34" s="243"/>
      <c r="N34" s="243"/>
      <c r="O34" s="243"/>
      <c r="P34" s="241"/>
      <c r="Q34" s="747" t="s">
        <v>1581</v>
      </c>
      <c r="R34" s="747">
        <v>0.05</v>
      </c>
      <c r="S34" s="434"/>
      <c r="T34" s="434"/>
      <c r="U34" s="434"/>
    </row>
    <row r="35" spans="1:21" s="418" customFormat="1" ht="11.45" customHeight="1">
      <c r="A35" s="243"/>
      <c r="B35" s="243"/>
      <c r="C35" s="243"/>
      <c r="D35" s="241"/>
      <c r="E35" s="241"/>
      <c r="F35" s="243"/>
      <c r="G35" s="243"/>
      <c r="H35" s="241"/>
      <c r="I35" s="241"/>
      <c r="J35" s="243" t="s">
        <v>3113</v>
      </c>
      <c r="K35" s="243"/>
      <c r="L35" s="243"/>
      <c r="M35" s="243"/>
      <c r="N35" s="243"/>
      <c r="O35" s="243"/>
      <c r="P35" s="241"/>
      <c r="Q35" s="747" t="s">
        <v>1581</v>
      </c>
      <c r="R35" s="424">
        <v>500000</v>
      </c>
      <c r="S35" s="434"/>
      <c r="T35" s="434"/>
      <c r="U35" s="434"/>
    </row>
    <row r="36" spans="1:21" s="418" customFormat="1" ht="11.45" customHeight="1">
      <c r="A36" s="243"/>
      <c r="B36" s="243"/>
      <c r="C36" s="243"/>
      <c r="D36" s="241"/>
      <c r="E36" s="241"/>
      <c r="F36" s="243" t="s">
        <v>368</v>
      </c>
      <c r="G36" s="243"/>
      <c r="H36" s="241"/>
      <c r="I36" s="241"/>
      <c r="J36" s="243" t="s">
        <v>1580</v>
      </c>
      <c r="K36" s="243"/>
      <c r="L36" s="243"/>
      <c r="M36" s="243"/>
      <c r="N36" s="243"/>
      <c r="O36" s="243"/>
      <c r="P36" s="241"/>
      <c r="Q36" s="747" t="s">
        <v>1581</v>
      </c>
      <c r="R36" s="747">
        <v>7.0000000000000007E-2</v>
      </c>
      <c r="S36" s="434"/>
      <c r="T36" s="434"/>
      <c r="U36" s="434"/>
    </row>
    <row r="37" spans="1:21" s="418" customFormat="1" ht="11.45" customHeight="1">
      <c r="A37" s="243"/>
      <c r="B37" s="243"/>
      <c r="C37" s="243"/>
      <c r="D37" s="241"/>
      <c r="E37" s="241"/>
      <c r="F37" s="243"/>
      <c r="G37" s="243"/>
      <c r="H37" s="241"/>
      <c r="I37" s="241"/>
      <c r="J37" s="243" t="s">
        <v>3113</v>
      </c>
      <c r="K37" s="243"/>
      <c r="L37" s="243"/>
      <c r="M37" s="243"/>
      <c r="N37" s="243"/>
      <c r="O37" s="243"/>
      <c r="P37" s="241"/>
      <c r="Q37" s="747" t="s">
        <v>1581</v>
      </c>
      <c r="R37" s="424">
        <v>500000</v>
      </c>
      <c r="S37" s="434"/>
      <c r="T37" s="434"/>
      <c r="U37" s="434"/>
    </row>
    <row r="38" spans="1:21" s="418" customFormat="1" ht="11.45" customHeight="1">
      <c r="A38" s="243"/>
      <c r="B38" s="243" t="s">
        <v>3128</v>
      </c>
      <c r="C38" s="243"/>
      <c r="D38" s="241"/>
      <c r="E38" s="241"/>
      <c r="F38" s="243" t="s">
        <v>2761</v>
      </c>
      <c r="G38" s="243"/>
      <c r="H38" s="241"/>
      <c r="I38" s="241"/>
      <c r="J38" s="243" t="s">
        <v>459</v>
      </c>
      <c r="K38" s="243"/>
      <c r="L38" s="243"/>
      <c r="M38" s="243"/>
      <c r="N38" s="243"/>
      <c r="O38" s="243"/>
      <c r="P38" s="241"/>
      <c r="Q38" s="433" t="s">
        <v>2761</v>
      </c>
      <c r="R38" s="747">
        <v>0.06</v>
      </c>
      <c r="S38" s="434"/>
      <c r="T38" s="434"/>
      <c r="U38" s="434"/>
    </row>
    <row r="39" spans="1:21" s="418" customFormat="1" ht="11.45" customHeight="1">
      <c r="A39" s="243"/>
      <c r="B39" s="243" t="s">
        <v>3129</v>
      </c>
      <c r="C39" s="243"/>
      <c r="D39" s="241"/>
      <c r="E39" s="241"/>
      <c r="F39" s="243" t="s">
        <v>2761</v>
      </c>
      <c r="G39" s="243"/>
      <c r="H39" s="241"/>
      <c r="I39" s="241"/>
      <c r="J39" s="243" t="s">
        <v>459</v>
      </c>
      <c r="K39" s="243"/>
      <c r="L39" s="243"/>
      <c r="M39" s="243"/>
      <c r="N39" s="243"/>
      <c r="O39" s="243"/>
      <c r="P39" s="241"/>
      <c r="Q39" s="433" t="s">
        <v>2761</v>
      </c>
      <c r="R39" s="747">
        <v>0.02</v>
      </c>
      <c r="S39" s="434"/>
      <c r="T39" s="434"/>
      <c r="U39" s="434"/>
    </row>
    <row r="40" spans="1:21" s="418" customFormat="1" ht="11.45" customHeight="1">
      <c r="A40" s="243"/>
      <c r="B40" s="243" t="s">
        <v>1579</v>
      </c>
      <c r="C40" s="243"/>
      <c r="D40" s="241"/>
      <c r="E40" s="241"/>
      <c r="F40" s="243" t="s">
        <v>2761</v>
      </c>
      <c r="G40" s="243"/>
      <c r="H40" s="241"/>
      <c r="I40" s="241"/>
      <c r="J40" s="243" t="s">
        <v>459</v>
      </c>
      <c r="K40" s="243"/>
      <c r="L40" s="243"/>
      <c r="M40" s="243"/>
      <c r="N40" s="243"/>
      <c r="O40" s="243"/>
      <c r="P40" s="241"/>
      <c r="Q40" s="433" t="s">
        <v>2761</v>
      </c>
      <c r="R40" s="747">
        <v>0.06</v>
      </c>
      <c r="S40" s="434"/>
      <c r="T40" s="434"/>
      <c r="U40" s="434"/>
    </row>
    <row r="41" spans="1:21" s="418" customFormat="1" ht="11.45" customHeight="1">
      <c r="A41" s="243"/>
      <c r="B41" s="246" t="s">
        <v>1544</v>
      </c>
      <c r="C41" s="243"/>
      <c r="D41" s="241"/>
      <c r="E41" s="241"/>
      <c r="F41" s="243" t="s">
        <v>1545</v>
      </c>
      <c r="G41" s="243"/>
      <c r="H41" s="241"/>
      <c r="I41" s="241"/>
      <c r="J41" s="243" t="s">
        <v>1546</v>
      </c>
      <c r="K41" s="243"/>
      <c r="L41" s="243"/>
      <c r="M41" s="243"/>
      <c r="N41" s="243"/>
      <c r="O41" s="243"/>
      <c r="P41" s="241"/>
      <c r="Q41" s="1080">
        <v>7.0000000000000007E-2</v>
      </c>
      <c r="R41" s="1080"/>
      <c r="S41" s="434"/>
      <c r="T41" s="434"/>
      <c r="U41" s="434"/>
    </row>
    <row r="42" spans="1:21" s="418" customFormat="1" ht="11.45" customHeight="1">
      <c r="A42" s="243"/>
      <c r="B42" s="246" t="s">
        <v>1547</v>
      </c>
      <c r="C42" s="243"/>
      <c r="D42" s="241"/>
      <c r="E42" s="241"/>
      <c r="F42" s="243" t="s">
        <v>1545</v>
      </c>
      <c r="G42" s="243"/>
      <c r="H42" s="241"/>
      <c r="I42" s="241"/>
      <c r="J42" s="243" t="s">
        <v>1546</v>
      </c>
      <c r="K42" s="243"/>
      <c r="L42" s="243"/>
      <c r="M42" s="243"/>
      <c r="N42" s="243"/>
      <c r="O42" s="243"/>
      <c r="P42" s="241"/>
      <c r="Q42" s="1080">
        <v>7.0000000000000007E-2</v>
      </c>
      <c r="R42" s="1080"/>
      <c r="S42" s="434"/>
      <c r="T42" s="434"/>
      <c r="U42" s="434"/>
    </row>
    <row r="43" spans="1:21" s="418" customFormat="1" ht="11.45" customHeight="1">
      <c r="A43" s="243"/>
      <c r="B43" s="246" t="s">
        <v>696</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1548</v>
      </c>
      <c r="C44" s="243"/>
      <c r="D44" s="241"/>
      <c r="E44" s="241"/>
      <c r="F44" s="243" t="s">
        <v>2378</v>
      </c>
      <c r="G44" s="243"/>
      <c r="H44" s="241"/>
      <c r="I44" s="241"/>
      <c r="J44" s="243" t="s">
        <v>2282</v>
      </c>
      <c r="K44" s="243"/>
      <c r="L44" s="243"/>
      <c r="M44" s="243"/>
      <c r="N44" s="243"/>
      <c r="O44" s="243"/>
      <c r="P44" s="241"/>
      <c r="Q44" s="433">
        <v>700</v>
      </c>
      <c r="R44" s="433" t="s">
        <v>2761</v>
      </c>
      <c r="S44" s="434"/>
      <c r="T44" s="434"/>
      <c r="U44" s="434"/>
    </row>
    <row r="45" spans="1:21" s="418" customFormat="1" ht="11.45" customHeight="1">
      <c r="A45" s="243"/>
      <c r="B45" s="243"/>
      <c r="C45" s="243"/>
      <c r="D45" s="241"/>
      <c r="E45" s="241"/>
      <c r="F45" s="243" t="s">
        <v>2738</v>
      </c>
      <c r="G45" s="243"/>
      <c r="H45" s="241"/>
      <c r="I45" s="241"/>
      <c r="J45" s="243" t="s">
        <v>2282</v>
      </c>
      <c r="K45" s="243"/>
      <c r="L45" s="243"/>
      <c r="M45" s="243"/>
      <c r="N45" s="243"/>
      <c r="O45" s="243"/>
      <c r="P45" s="241"/>
      <c r="Q45" s="433">
        <v>150</v>
      </c>
      <c r="R45" s="433" t="s">
        <v>2761</v>
      </c>
      <c r="S45" s="434"/>
      <c r="T45" s="434"/>
      <c r="U45" s="434"/>
    </row>
    <row r="46" spans="1:21" s="418" customFormat="1" ht="11.45" customHeight="1">
      <c r="A46" s="243"/>
      <c r="B46" s="243" t="s">
        <v>2917</v>
      </c>
      <c r="C46" s="243"/>
      <c r="D46" s="241"/>
      <c r="E46" s="241"/>
      <c r="F46" s="243"/>
      <c r="G46" s="243"/>
      <c r="H46" s="243"/>
      <c r="I46" s="241"/>
      <c r="J46" s="243" t="s">
        <v>2758</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2739</v>
      </c>
      <c r="G47" s="243"/>
      <c r="H47" s="243" t="s">
        <v>3436</v>
      </c>
      <c r="I47" s="241"/>
      <c r="J47" s="243" t="s">
        <v>1587</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1583</v>
      </c>
      <c r="I48" s="243" t="s">
        <v>1584</v>
      </c>
      <c r="J48" s="243" t="s">
        <v>1586</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1585</v>
      </c>
      <c r="J49" s="243" t="s">
        <v>1588</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1582</v>
      </c>
      <c r="I50" s="241"/>
      <c r="J50" s="243" t="s">
        <v>1588</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1589</v>
      </c>
      <c r="J51" s="243" t="s">
        <v>1590</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2788</v>
      </c>
      <c r="G52" s="243"/>
      <c r="H52" s="243"/>
      <c r="I52" s="241"/>
      <c r="J52" s="243" t="s">
        <v>3585</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3586</v>
      </c>
      <c r="K53" s="243"/>
      <c r="L53" s="243"/>
      <c r="M53" s="243"/>
      <c r="N53" s="243"/>
      <c r="O53" s="243"/>
      <c r="P53" s="241"/>
      <c r="Q53" s="1080" t="s">
        <v>3587</v>
      </c>
      <c r="R53" s="1080"/>
      <c r="S53" s="434"/>
      <c r="T53" s="434"/>
      <c r="U53" s="434"/>
    </row>
    <row r="54" spans="1:21" s="418" customFormat="1" ht="11.45" customHeight="1">
      <c r="A54" s="243"/>
      <c r="B54" s="583"/>
      <c r="C54" s="243"/>
      <c r="D54" s="241"/>
      <c r="E54" s="241"/>
      <c r="F54" s="243" t="s">
        <v>3115</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3114</v>
      </c>
      <c r="G55" s="243"/>
      <c r="I55" s="241"/>
      <c r="J55" s="243"/>
      <c r="K55" s="243"/>
      <c r="L55" s="243"/>
      <c r="M55" s="243"/>
      <c r="N55" s="243"/>
      <c r="O55" s="243"/>
      <c r="P55" s="241"/>
      <c r="Q55" s="747">
        <v>0</v>
      </c>
      <c r="R55" s="747">
        <v>0.5</v>
      </c>
      <c r="S55" s="434"/>
      <c r="T55" s="434"/>
      <c r="U55" s="434"/>
    </row>
    <row r="56" spans="1:21" s="418" customFormat="1" ht="11.45" customHeight="1">
      <c r="A56" s="243"/>
      <c r="B56" s="243" t="s">
        <v>2789</v>
      </c>
      <c r="C56" s="243"/>
      <c r="D56" s="243"/>
      <c r="E56" s="243"/>
      <c r="F56" s="243"/>
      <c r="G56" s="243"/>
      <c r="H56" s="241"/>
      <c r="I56" s="241"/>
      <c r="J56" s="243" t="s">
        <v>2790</v>
      </c>
      <c r="K56" s="243"/>
      <c r="L56" s="243"/>
      <c r="M56" s="243"/>
      <c r="N56" s="243"/>
      <c r="O56" s="243"/>
      <c r="P56" s="241"/>
      <c r="Q56" s="436">
        <v>6</v>
      </c>
      <c r="R56" s="433" t="s">
        <v>2761</v>
      </c>
      <c r="S56" s="434"/>
      <c r="T56" s="434"/>
      <c r="U56" s="434"/>
    </row>
    <row r="57" spans="1:21" s="418" customFormat="1" ht="11.45" customHeight="1">
      <c r="A57" s="243"/>
      <c r="B57" s="243"/>
      <c r="C57" s="243"/>
      <c r="D57" s="243"/>
      <c r="E57" s="243"/>
      <c r="F57" s="243"/>
      <c r="G57" s="243"/>
      <c r="H57" s="241"/>
      <c r="I57" s="241"/>
      <c r="J57" s="243" t="s">
        <v>2791</v>
      </c>
      <c r="K57" s="243"/>
      <c r="L57" s="243"/>
      <c r="M57" s="243"/>
      <c r="N57" s="243"/>
      <c r="O57" s="243"/>
      <c r="P57" s="241"/>
      <c r="Q57" s="436">
        <v>6</v>
      </c>
      <c r="R57" s="433" t="s">
        <v>2761</v>
      </c>
      <c r="S57" s="434"/>
      <c r="T57" s="434"/>
      <c r="U57" s="434"/>
    </row>
    <row r="58" spans="1:21" s="418" customFormat="1" ht="11.45" customHeight="1">
      <c r="A58" s="243"/>
      <c r="B58" s="587" t="s">
        <v>3116</v>
      </c>
      <c r="C58" s="243"/>
      <c r="D58" s="241"/>
      <c r="E58" s="241"/>
      <c r="F58" s="243"/>
      <c r="G58" s="243"/>
      <c r="I58" s="241"/>
      <c r="J58" s="243" t="s">
        <v>3117</v>
      </c>
      <c r="K58" s="243"/>
      <c r="L58" s="243"/>
      <c r="M58" s="243"/>
      <c r="N58" s="243"/>
      <c r="O58" s="243"/>
      <c r="P58" s="241"/>
      <c r="Q58" s="436">
        <v>3</v>
      </c>
      <c r="R58" s="433" t="s">
        <v>2761</v>
      </c>
      <c r="S58" s="434"/>
      <c r="T58" s="434"/>
      <c r="U58" s="434"/>
    </row>
    <row r="59" spans="1:21" s="418" customFormat="1" ht="11.45" customHeight="1">
      <c r="A59" s="243"/>
      <c r="B59" s="246" t="s">
        <v>2792</v>
      </c>
      <c r="C59" s="243"/>
      <c r="D59" s="241"/>
      <c r="E59" s="243"/>
      <c r="F59" s="243"/>
      <c r="G59" s="243"/>
      <c r="H59" s="241"/>
      <c r="I59" s="241"/>
      <c r="J59" s="243" t="s">
        <v>2793</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2794</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3655</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160</v>
      </c>
      <c r="N63" s="439">
        <v>1.08</v>
      </c>
      <c r="O63" s="439">
        <v>1.1599999999999999</v>
      </c>
      <c r="P63" s="439">
        <v>1.24</v>
      </c>
      <c r="Q63" s="439">
        <v>1.32</v>
      </c>
    </row>
    <row r="64" spans="1:21" s="434" customFormat="1" ht="11.45" customHeight="1">
      <c r="A64" s="243"/>
      <c r="B64" s="243" t="s">
        <v>2795</v>
      </c>
      <c r="C64" s="243"/>
      <c r="D64" s="243"/>
      <c r="E64" s="243"/>
      <c r="F64" s="243"/>
      <c r="G64" s="243"/>
      <c r="H64" s="243"/>
      <c r="J64" s="243" t="s">
        <v>2796</v>
      </c>
      <c r="K64" s="243"/>
      <c r="L64" s="243"/>
      <c r="M64" s="243"/>
      <c r="N64" s="243"/>
      <c r="O64" s="243"/>
      <c r="Q64" s="1080">
        <v>0.02</v>
      </c>
      <c r="R64" s="1080"/>
    </row>
    <row r="65" spans="1:21" s="434" customFormat="1" ht="11.45" customHeight="1">
      <c r="A65" s="243"/>
      <c r="B65" s="243" t="s">
        <v>2797</v>
      </c>
      <c r="C65" s="243"/>
      <c r="D65" s="243"/>
      <c r="E65" s="243"/>
      <c r="F65" s="243"/>
      <c r="G65" s="243"/>
      <c r="H65" s="243"/>
      <c r="J65" s="243" t="s">
        <v>2796</v>
      </c>
      <c r="K65" s="243"/>
      <c r="L65" s="243"/>
      <c r="M65" s="243"/>
      <c r="N65" s="243"/>
      <c r="O65" s="243"/>
      <c r="Q65" s="1080">
        <v>7.0000000000000007E-2</v>
      </c>
      <c r="R65" s="1080"/>
    </row>
    <row r="66" spans="1:21" s="434" customFormat="1" ht="11.45" customHeight="1">
      <c r="A66" s="243"/>
      <c r="B66" s="243" t="s">
        <v>2798</v>
      </c>
      <c r="C66" s="243"/>
      <c r="D66" s="243"/>
      <c r="E66" s="243"/>
      <c r="F66" s="243"/>
      <c r="G66" s="243"/>
      <c r="H66" s="243"/>
      <c r="J66" s="243" t="s">
        <v>2796</v>
      </c>
      <c r="K66" s="243"/>
      <c r="L66" s="243"/>
      <c r="M66" s="243"/>
      <c r="N66" s="243"/>
      <c r="O66" s="243"/>
      <c r="Q66" s="1080">
        <v>7.0000000000000007E-2</v>
      </c>
      <c r="R66" s="1080"/>
    </row>
    <row r="67" spans="1:21" s="418" customFormat="1" ht="11.45" customHeight="1">
      <c r="A67" s="243"/>
      <c r="B67" s="243" t="s">
        <v>157</v>
      </c>
      <c r="C67" s="243"/>
      <c r="D67" s="241"/>
      <c r="E67" s="241"/>
      <c r="F67" s="241"/>
      <c r="G67" s="243"/>
      <c r="H67" s="241"/>
      <c r="I67" s="241"/>
      <c r="J67" s="243" t="s">
        <v>2796</v>
      </c>
      <c r="K67" s="243"/>
      <c r="L67" s="243"/>
      <c r="M67" s="243"/>
      <c r="N67" s="243"/>
      <c r="O67" s="243"/>
      <c r="P67" s="241"/>
      <c r="Q67" s="1080">
        <v>0.03</v>
      </c>
      <c r="R67" s="1080"/>
      <c r="S67" s="434"/>
      <c r="T67" s="434"/>
      <c r="U67" s="434"/>
    </row>
    <row r="68" spans="1:21" s="418" customFormat="1" ht="11.45" customHeight="1">
      <c r="A68" s="243"/>
      <c r="B68" s="243" t="s">
        <v>158</v>
      </c>
      <c r="C68" s="243"/>
      <c r="D68" s="241"/>
      <c r="E68" s="241"/>
      <c r="F68" s="241"/>
      <c r="G68" s="243"/>
      <c r="H68" s="241"/>
      <c r="I68" s="241"/>
      <c r="J68" s="243" t="s">
        <v>2796</v>
      </c>
      <c r="K68" s="243"/>
      <c r="L68" s="243"/>
      <c r="M68" s="243"/>
      <c r="N68" s="243"/>
      <c r="O68" s="243"/>
      <c r="P68" s="241"/>
      <c r="Q68" s="1080">
        <v>0.03</v>
      </c>
      <c r="R68" s="1080"/>
      <c r="S68" s="434"/>
      <c r="T68" s="434"/>
      <c r="U68" s="434"/>
    </row>
    <row r="69" spans="1:21" s="418" customFormat="1" ht="11.45" customHeight="1">
      <c r="A69" s="243"/>
      <c r="B69" s="243" t="s">
        <v>159</v>
      </c>
      <c r="C69" s="243"/>
      <c r="D69" s="241"/>
      <c r="E69" s="241"/>
      <c r="F69" s="241"/>
      <c r="G69" s="243"/>
      <c r="H69" s="241"/>
      <c r="I69" s="241"/>
      <c r="J69" s="243" t="s">
        <v>2796</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1387</v>
      </c>
      <c r="K75" s="1125"/>
      <c r="L75" s="398"/>
    </row>
    <row r="76" spans="1:21" ht="13.5">
      <c r="C76" s="576" t="s">
        <v>1964</v>
      </c>
      <c r="D76" s="579" t="s">
        <v>1659</v>
      </c>
      <c r="J76" s="1126" t="s">
        <v>1390</v>
      </c>
      <c r="K76" s="1126" t="s">
        <v>1388</v>
      </c>
      <c r="L76" s="580" t="s">
        <v>1389</v>
      </c>
    </row>
    <row r="77" spans="1:21" ht="9" customHeight="1">
      <c r="C77" s="577" t="s">
        <v>2812</v>
      </c>
      <c r="D77" s="1127">
        <v>48700</v>
      </c>
      <c r="J77" s="427">
        <v>0</v>
      </c>
      <c r="K77" s="427">
        <v>0.7</v>
      </c>
      <c r="L77" s="427">
        <v>1</v>
      </c>
    </row>
    <row r="78" spans="1:21" ht="9" customHeight="1">
      <c r="C78" s="577" t="s">
        <v>1660</v>
      </c>
      <c r="D78" s="1127">
        <v>58600</v>
      </c>
      <c r="J78" s="427">
        <v>1</v>
      </c>
      <c r="K78" s="427">
        <v>0.75</v>
      </c>
      <c r="L78" s="427">
        <v>1.5</v>
      </c>
    </row>
    <row r="79" spans="1:21" ht="9" customHeight="1">
      <c r="C79" s="577" t="s">
        <v>1340</v>
      </c>
      <c r="D79" s="1127">
        <v>68300</v>
      </c>
      <c r="J79" s="427">
        <v>2</v>
      </c>
      <c r="K79" s="427">
        <v>0.9</v>
      </c>
      <c r="L79" s="427">
        <v>3</v>
      </c>
    </row>
    <row r="80" spans="1:21" ht="9" customHeight="1">
      <c r="C80" s="577" t="s">
        <v>1341</v>
      </c>
      <c r="D80" s="1127">
        <v>57100</v>
      </c>
      <c r="J80" s="427">
        <v>3</v>
      </c>
      <c r="K80" s="427">
        <v>1.04</v>
      </c>
      <c r="L80" s="427">
        <v>4.5</v>
      </c>
    </row>
    <row r="81" spans="3:12" ht="9" customHeight="1">
      <c r="C81" s="577" t="s">
        <v>13</v>
      </c>
      <c r="D81" s="1127">
        <v>59400</v>
      </c>
      <c r="J81" s="427">
        <v>4</v>
      </c>
      <c r="K81" s="427">
        <v>1.1599999999999999</v>
      </c>
      <c r="L81" s="427">
        <v>6</v>
      </c>
    </row>
    <row r="82" spans="3:12" ht="9" customHeight="1">
      <c r="C82" s="577" t="s">
        <v>1661</v>
      </c>
      <c r="D82" s="1127">
        <v>63400</v>
      </c>
      <c r="J82" s="427">
        <v>5</v>
      </c>
      <c r="K82" s="427">
        <v>1.28</v>
      </c>
      <c r="L82" s="427">
        <v>7.5</v>
      </c>
    </row>
    <row r="83" spans="3:12" ht="9" customHeight="1">
      <c r="C83" s="577" t="s">
        <v>2272</v>
      </c>
      <c r="D83" s="1127">
        <v>57000</v>
      </c>
    </row>
    <row r="84" spans="3:12" ht="9" customHeight="1">
      <c r="C84" s="577" t="s">
        <v>217</v>
      </c>
      <c r="D84" s="1127">
        <v>51600</v>
      </c>
    </row>
    <row r="85" spans="3:12" ht="9" customHeight="1">
      <c r="C85" s="577" t="s">
        <v>432</v>
      </c>
      <c r="D85" s="1127">
        <v>50200</v>
      </c>
    </row>
    <row r="86" spans="3:12" ht="9" customHeight="1">
      <c r="C86" s="578" t="s">
        <v>1883</v>
      </c>
      <c r="D86" s="1127">
        <v>61200</v>
      </c>
    </row>
    <row r="87" spans="3:12" ht="9" customHeight="1">
      <c r="C87" s="578" t="s">
        <v>1342</v>
      </c>
      <c r="D87" s="1127">
        <v>46800</v>
      </c>
    </row>
    <row r="88" spans="3:12" ht="9" customHeight="1">
      <c r="C88" s="578" t="s">
        <v>1662</v>
      </c>
      <c r="D88" s="1127">
        <v>47100</v>
      </c>
    </row>
    <row r="89" spans="3:12" ht="9" customHeight="1">
      <c r="C89" s="577" t="s">
        <v>1343</v>
      </c>
      <c r="D89" s="1127">
        <v>42700</v>
      </c>
    </row>
    <row r="90" spans="3:12" ht="9" customHeight="1">
      <c r="C90" s="578" t="s">
        <v>2186</v>
      </c>
      <c r="D90" s="1127">
        <v>48500</v>
      </c>
    </row>
    <row r="91" spans="3:12" ht="9" customHeight="1">
      <c r="C91" s="577" t="s">
        <v>2022</v>
      </c>
      <c r="D91" s="1127">
        <v>54000</v>
      </c>
    </row>
    <row r="92" spans="3:12" ht="9" customHeight="1">
      <c r="C92" s="578" t="s">
        <v>1345</v>
      </c>
      <c r="D92" s="1127">
        <v>48900</v>
      </c>
    </row>
    <row r="93" spans="3:12" ht="9" customHeight="1">
      <c r="C93" s="578" t="s">
        <v>3134</v>
      </c>
      <c r="D93" s="1127">
        <v>63700</v>
      </c>
    </row>
    <row r="94" spans="3:12" ht="9" customHeight="1">
      <c r="C94" s="578" t="s">
        <v>3900</v>
      </c>
      <c r="D94" s="1127">
        <v>47100</v>
      </c>
    </row>
    <row r="95" spans="3:12" ht="9" customHeight="1">
      <c r="C95" s="577" t="s">
        <v>3400</v>
      </c>
      <c r="D95" s="1127">
        <v>52100</v>
      </c>
    </row>
    <row r="96" spans="3:12" ht="9" customHeight="1">
      <c r="C96" s="577" t="s">
        <v>2028</v>
      </c>
      <c r="D96" s="1127">
        <v>60000</v>
      </c>
    </row>
    <row r="97" spans="3:4" ht="9" customHeight="1">
      <c r="C97" s="577" t="s">
        <v>2714</v>
      </c>
      <c r="D97" s="1127">
        <v>50300</v>
      </c>
    </row>
    <row r="98" spans="3:4" ht="9" customHeight="1">
      <c r="C98" s="577" t="s">
        <v>2727</v>
      </c>
      <c r="D98" s="1127">
        <v>70400</v>
      </c>
    </row>
    <row r="99" spans="3:4" ht="9" customHeight="1">
      <c r="C99" s="578" t="s">
        <v>1874</v>
      </c>
      <c r="D99" s="1127">
        <v>44500</v>
      </c>
    </row>
    <row r="100" spans="3:4" ht="9" customHeight="1">
      <c r="C100" s="578" t="s">
        <v>2808</v>
      </c>
      <c r="D100" s="1127">
        <v>36500</v>
      </c>
    </row>
    <row r="101" spans="3:4" ht="9" customHeight="1">
      <c r="C101" s="578" t="s">
        <v>2810</v>
      </c>
      <c r="D101" s="1127">
        <v>45100</v>
      </c>
    </row>
    <row r="102" spans="3:4" ht="9" customHeight="1">
      <c r="C102" s="577" t="s">
        <v>212</v>
      </c>
      <c r="D102" s="1127">
        <v>49700</v>
      </c>
    </row>
    <row r="103" spans="3:4" ht="9" customHeight="1">
      <c r="C103" s="578" t="s">
        <v>2014</v>
      </c>
      <c r="D103" s="1127">
        <v>48400</v>
      </c>
    </row>
    <row r="104" spans="3:4" ht="9" customHeight="1">
      <c r="C104" s="578" t="s">
        <v>1663</v>
      </c>
      <c r="D104" s="1127">
        <v>36500</v>
      </c>
    </row>
    <row r="105" spans="3:4" ht="9" customHeight="1">
      <c r="C105" s="578" t="s">
        <v>2020</v>
      </c>
      <c r="D105" s="1127">
        <v>43700</v>
      </c>
    </row>
    <row r="106" spans="3:4" ht="9" customHeight="1">
      <c r="C106" s="577" t="s">
        <v>2024</v>
      </c>
      <c r="D106" s="1127">
        <v>52300</v>
      </c>
    </row>
    <row r="107" spans="3:4" ht="9" customHeight="1">
      <c r="C107" s="577" t="s">
        <v>2030</v>
      </c>
      <c r="D107" s="1127">
        <v>56000</v>
      </c>
    </row>
    <row r="108" spans="3:4" ht="9" customHeight="1">
      <c r="C108" s="578" t="s">
        <v>2035</v>
      </c>
      <c r="D108" s="1127">
        <v>43200</v>
      </c>
    </row>
    <row r="109" spans="3:4" ht="9" customHeight="1">
      <c r="C109" s="577" t="s">
        <v>1220</v>
      </c>
      <c r="D109" s="1127">
        <v>60800</v>
      </c>
    </row>
    <row r="110" spans="3:4" ht="9" customHeight="1">
      <c r="C110" s="578" t="s">
        <v>1222</v>
      </c>
      <c r="D110" s="1127">
        <v>40700</v>
      </c>
    </row>
    <row r="111" spans="3:4" ht="9" customHeight="1">
      <c r="C111" s="578" t="s">
        <v>214</v>
      </c>
      <c r="D111" s="1127">
        <v>48200</v>
      </c>
    </row>
    <row r="112" spans="3:4" ht="9" customHeight="1">
      <c r="C112" s="578" t="s">
        <v>219</v>
      </c>
      <c r="D112" s="1127">
        <v>40500</v>
      </c>
    </row>
    <row r="113" spans="3:4" ht="9" customHeight="1">
      <c r="C113" s="578" t="s">
        <v>3758</v>
      </c>
      <c r="D113" s="1127">
        <v>44200</v>
      </c>
    </row>
    <row r="114" spans="3:4" ht="9" customHeight="1">
      <c r="C114" s="578" t="s">
        <v>3761</v>
      </c>
      <c r="D114" s="1127">
        <v>41600</v>
      </c>
    </row>
    <row r="115" spans="3:4" ht="9" customHeight="1">
      <c r="C115" s="578" t="s">
        <v>3764</v>
      </c>
      <c r="D115" s="1127">
        <v>42300</v>
      </c>
    </row>
    <row r="116" spans="3:4" ht="9" customHeight="1">
      <c r="C116" s="578" t="s">
        <v>3816</v>
      </c>
      <c r="D116" s="1127">
        <v>40400</v>
      </c>
    </row>
    <row r="117" spans="3:4" ht="9" customHeight="1">
      <c r="C117" s="578" t="s">
        <v>3819</v>
      </c>
      <c r="D117" s="1127">
        <v>41100</v>
      </c>
    </row>
    <row r="118" spans="3:4" ht="9" customHeight="1">
      <c r="C118" s="578" t="s">
        <v>251</v>
      </c>
      <c r="D118" s="1127">
        <v>40400</v>
      </c>
    </row>
    <row r="119" spans="3:4" ht="9" customHeight="1">
      <c r="C119" s="578" t="s">
        <v>255</v>
      </c>
      <c r="D119" s="1127">
        <v>46800</v>
      </c>
    </row>
    <row r="120" spans="3:4" ht="9" customHeight="1">
      <c r="C120" s="578" t="s">
        <v>1549</v>
      </c>
      <c r="D120" s="1127">
        <v>46200</v>
      </c>
    </row>
    <row r="121" spans="3:4" ht="9" customHeight="1">
      <c r="C121" s="578" t="s">
        <v>1551</v>
      </c>
      <c r="D121" s="1127">
        <v>39800</v>
      </c>
    </row>
    <row r="122" spans="3:4" ht="9" customHeight="1">
      <c r="C122" s="578" t="s">
        <v>1467</v>
      </c>
      <c r="D122" s="1127">
        <v>41300</v>
      </c>
    </row>
    <row r="123" spans="3:4" ht="9" customHeight="1">
      <c r="C123" s="578" t="s">
        <v>1471</v>
      </c>
      <c r="D123" s="1127">
        <v>39500</v>
      </c>
    </row>
    <row r="124" spans="3:4" ht="9" customHeight="1">
      <c r="C124" s="578" t="s">
        <v>3372</v>
      </c>
      <c r="D124" s="1127">
        <v>38800</v>
      </c>
    </row>
    <row r="125" spans="3:4" ht="9" customHeight="1">
      <c r="C125" s="578" t="s">
        <v>999</v>
      </c>
      <c r="D125" s="1127">
        <v>44200</v>
      </c>
    </row>
    <row r="126" spans="3:4" ht="9" customHeight="1">
      <c r="C126" s="578" t="s">
        <v>1001</v>
      </c>
      <c r="D126" s="1127">
        <v>45700</v>
      </c>
    </row>
    <row r="127" spans="3:4" ht="9" customHeight="1">
      <c r="C127" s="577" t="s">
        <v>1006</v>
      </c>
      <c r="D127" s="1127">
        <v>45600</v>
      </c>
    </row>
    <row r="128" spans="3:4" ht="9" customHeight="1">
      <c r="C128" s="578" t="s">
        <v>1008</v>
      </c>
      <c r="D128" s="1127">
        <v>43900</v>
      </c>
    </row>
    <row r="129" spans="3:4" ht="9" customHeight="1">
      <c r="C129" s="577" t="s">
        <v>1010</v>
      </c>
      <c r="D129" s="1127">
        <v>42800</v>
      </c>
    </row>
    <row r="130" spans="3:4" ht="9" customHeight="1">
      <c r="C130" s="578" t="s">
        <v>1013</v>
      </c>
      <c r="D130" s="1127">
        <v>51700</v>
      </c>
    </row>
    <row r="131" spans="3:4" ht="9" customHeight="1">
      <c r="C131" s="578" t="s">
        <v>1015</v>
      </c>
      <c r="D131" s="1127">
        <v>45000</v>
      </c>
    </row>
    <row r="132" spans="3:4" ht="9" customHeight="1">
      <c r="C132" s="578" t="s">
        <v>1017</v>
      </c>
      <c r="D132" s="1127">
        <v>47400</v>
      </c>
    </row>
    <row r="133" spans="3:4" ht="9" customHeight="1">
      <c r="C133" s="578" t="s">
        <v>138</v>
      </c>
      <c r="D133" s="1127">
        <v>50200</v>
      </c>
    </row>
    <row r="134" spans="3:4" ht="9" customHeight="1">
      <c r="C134" s="578" t="s">
        <v>409</v>
      </c>
      <c r="D134" s="1127">
        <v>33300</v>
      </c>
    </row>
    <row r="135" spans="3:4" ht="9" customHeight="1">
      <c r="C135" s="578" t="s">
        <v>413</v>
      </c>
      <c r="D135" s="1127">
        <v>49900</v>
      </c>
    </row>
    <row r="136" spans="3:4" ht="9" customHeight="1">
      <c r="C136" s="578" t="s">
        <v>418</v>
      </c>
      <c r="D136" s="1127">
        <v>55800</v>
      </c>
    </row>
    <row r="137" spans="3:4" ht="9" customHeight="1">
      <c r="C137" s="578" t="s">
        <v>420</v>
      </c>
      <c r="D137" s="1127">
        <v>58600</v>
      </c>
    </row>
    <row r="138" spans="3:4" ht="9" customHeight="1">
      <c r="C138" s="578" t="s">
        <v>423</v>
      </c>
      <c r="D138" s="1127">
        <v>38400</v>
      </c>
    </row>
    <row r="139" spans="3:4" ht="9" customHeight="1">
      <c r="C139" s="578" t="s">
        <v>425</v>
      </c>
      <c r="D139" s="1127">
        <v>38500</v>
      </c>
    </row>
    <row r="140" spans="3:4" ht="9" customHeight="1">
      <c r="C140" s="578" t="s">
        <v>427</v>
      </c>
      <c r="D140" s="1127">
        <v>36500</v>
      </c>
    </row>
    <row r="141" spans="3:4" ht="9" customHeight="1">
      <c r="C141" s="578" t="s">
        <v>429</v>
      </c>
      <c r="D141" s="1127">
        <v>32800</v>
      </c>
    </row>
    <row r="142" spans="3:4" ht="9" customHeight="1">
      <c r="C142" s="578" t="s">
        <v>2180</v>
      </c>
      <c r="D142" s="1127">
        <v>50600</v>
      </c>
    </row>
    <row r="143" spans="3:4" ht="9" customHeight="1">
      <c r="C143" s="578" t="s">
        <v>2184</v>
      </c>
      <c r="D143" s="1127">
        <v>43200</v>
      </c>
    </row>
    <row r="144" spans="3:4" ht="9" customHeight="1">
      <c r="C144" s="577" t="s">
        <v>234</v>
      </c>
      <c r="D144" s="1127">
        <v>52400</v>
      </c>
    </row>
    <row r="145" spans="3:4" ht="9" customHeight="1">
      <c r="C145" s="578" t="s">
        <v>235</v>
      </c>
      <c r="D145" s="1127">
        <v>38600</v>
      </c>
    </row>
    <row r="146" spans="3:4" ht="9" customHeight="1">
      <c r="C146" s="578" t="s">
        <v>2540</v>
      </c>
      <c r="D146" s="1127">
        <v>44700</v>
      </c>
    </row>
    <row r="147" spans="3:4" ht="9" customHeight="1">
      <c r="C147" s="578" t="s">
        <v>2542</v>
      </c>
      <c r="D147" s="1127">
        <v>47700</v>
      </c>
    </row>
    <row r="148" spans="3:4" ht="9" customHeight="1">
      <c r="C148" s="578" t="s">
        <v>242</v>
      </c>
      <c r="D148" s="1127">
        <v>47400</v>
      </c>
    </row>
    <row r="149" spans="3:4" ht="9" customHeight="1">
      <c r="C149" s="577" t="s">
        <v>3898</v>
      </c>
      <c r="D149" s="1127">
        <v>56700</v>
      </c>
    </row>
    <row r="150" spans="3:4" ht="9" customHeight="1">
      <c r="C150" s="578" t="s">
        <v>1724</v>
      </c>
      <c r="D150" s="1127">
        <v>58800</v>
      </c>
    </row>
    <row r="151" spans="3:4" ht="9" customHeight="1">
      <c r="C151" s="578" t="s">
        <v>1727</v>
      </c>
      <c r="D151" s="1127">
        <v>48700</v>
      </c>
    </row>
    <row r="152" spans="3:4" ht="9" customHeight="1">
      <c r="C152" s="578" t="s">
        <v>1730</v>
      </c>
      <c r="D152" s="1127">
        <v>48000</v>
      </c>
    </row>
    <row r="153" spans="3:4" ht="9" customHeight="1">
      <c r="C153" s="577" t="s">
        <v>1732</v>
      </c>
      <c r="D153" s="1127">
        <v>46600</v>
      </c>
    </row>
    <row r="154" spans="3:4" ht="9" customHeight="1">
      <c r="C154" s="577" t="s">
        <v>1734</v>
      </c>
      <c r="D154" s="1127">
        <v>52000</v>
      </c>
    </row>
    <row r="155" spans="3:4" ht="9" customHeight="1">
      <c r="C155" s="578" t="s">
        <v>1736</v>
      </c>
      <c r="D155" s="1127">
        <v>40400</v>
      </c>
    </row>
    <row r="156" spans="3:4" ht="9" customHeight="1">
      <c r="C156" s="578" t="s">
        <v>1738</v>
      </c>
      <c r="D156" s="1127">
        <v>52600</v>
      </c>
    </row>
    <row r="157" spans="3:4" ht="9" customHeight="1">
      <c r="C157" s="578" t="s">
        <v>1740</v>
      </c>
      <c r="D157" s="1127">
        <v>33500</v>
      </c>
    </row>
    <row r="158" spans="3:4" ht="9" customHeight="1">
      <c r="C158" s="578" t="s">
        <v>3275</v>
      </c>
      <c r="D158" s="1127">
        <v>48100</v>
      </c>
    </row>
    <row r="159" spans="3:4" ht="9" customHeight="1">
      <c r="C159" s="578" t="s">
        <v>3277</v>
      </c>
      <c r="D159" s="1127">
        <v>49000</v>
      </c>
    </row>
    <row r="160" spans="3:4" ht="9" customHeight="1">
      <c r="C160" s="577" t="s">
        <v>3279</v>
      </c>
      <c r="D160" s="1127">
        <v>45200</v>
      </c>
    </row>
    <row r="161" spans="3:4" ht="9" customHeight="1">
      <c r="C161" s="577" t="s">
        <v>3282</v>
      </c>
      <c r="D161" s="1127">
        <v>44700</v>
      </c>
    </row>
    <row r="162" spans="3:4" ht="9" customHeight="1">
      <c r="C162" s="578" t="s">
        <v>3284</v>
      </c>
      <c r="D162" s="1127">
        <v>38200</v>
      </c>
    </row>
    <row r="163" spans="3:4" ht="9" customHeight="1">
      <c r="C163" s="578" t="s">
        <v>3286</v>
      </c>
      <c r="D163" s="1127">
        <v>40800</v>
      </c>
    </row>
    <row r="164" spans="3:4" ht="9" customHeight="1">
      <c r="C164" s="578" t="s">
        <v>3288</v>
      </c>
      <c r="D164" s="1127">
        <v>46600</v>
      </c>
    </row>
    <row r="165" spans="3:4" ht="9" customHeight="1">
      <c r="C165" s="578" t="s">
        <v>3290</v>
      </c>
      <c r="D165" s="1127">
        <v>25200</v>
      </c>
    </row>
    <row r="166" spans="3:4" ht="9" customHeight="1">
      <c r="C166" s="578" t="s">
        <v>3292</v>
      </c>
      <c r="D166" s="1127">
        <v>45700</v>
      </c>
    </row>
    <row r="167" spans="3:4" ht="9" customHeight="1">
      <c r="C167" s="578" t="s">
        <v>1462</v>
      </c>
      <c r="D167" s="1127">
        <v>37000</v>
      </c>
    </row>
    <row r="168" spans="3:4" ht="9" customHeight="1">
      <c r="C168" s="578" t="s">
        <v>1464</v>
      </c>
      <c r="D168" s="1127">
        <v>40300</v>
      </c>
    </row>
    <row r="169" spans="3:4" ht="9" customHeight="1">
      <c r="C169" s="577" t="s">
        <v>2664</v>
      </c>
      <c r="D169" s="1127">
        <v>51200</v>
      </c>
    </row>
    <row r="170" spans="3:4" ht="9" customHeight="1">
      <c r="C170" s="577" t="s">
        <v>2979</v>
      </c>
      <c r="D170" s="1127">
        <v>47000</v>
      </c>
    </row>
    <row r="171" spans="3:4" ht="9" customHeight="1">
      <c r="C171" s="577" t="s">
        <v>2981</v>
      </c>
      <c r="D171" s="1127">
        <v>43300</v>
      </c>
    </row>
    <row r="172" spans="3:4" ht="9" customHeight="1">
      <c r="C172" s="577" t="s">
        <v>2983</v>
      </c>
      <c r="D172" s="1127">
        <v>51200</v>
      </c>
    </row>
    <row r="173" spans="3:4" ht="9" customHeight="1">
      <c r="C173" s="577" t="s">
        <v>2985</v>
      </c>
      <c r="D173" s="1127">
        <v>38400</v>
      </c>
    </row>
    <row r="174" spans="3:4" ht="9" customHeight="1">
      <c r="C174" s="578" t="s">
        <v>2987</v>
      </c>
      <c r="D174" s="1127">
        <v>50100</v>
      </c>
    </row>
    <row r="175" spans="3:4" ht="9" customHeight="1">
      <c r="C175" s="577" t="s">
        <v>2989</v>
      </c>
      <c r="D175" s="1127">
        <v>41000</v>
      </c>
    </row>
    <row r="176" spans="3:4" ht="9" customHeight="1">
      <c r="C176" s="577" t="s">
        <v>2992</v>
      </c>
      <c r="D176" s="1127">
        <v>50700</v>
      </c>
    </row>
    <row r="177" spans="3:4" ht="9" customHeight="1">
      <c r="C177" s="578" t="s">
        <v>3086</v>
      </c>
      <c r="D177" s="1127">
        <v>44900</v>
      </c>
    </row>
    <row r="178" spans="3:4" ht="9" customHeight="1">
      <c r="C178" s="577" t="s">
        <v>117</v>
      </c>
      <c r="D178" s="1127">
        <v>46000</v>
      </c>
    </row>
    <row r="179" spans="3:4" ht="9" customHeight="1">
      <c r="C179" s="577" t="s">
        <v>119</v>
      </c>
      <c r="D179" s="1127">
        <v>36500</v>
      </c>
    </row>
    <row r="180" spans="3:4" ht="9" customHeight="1">
      <c r="C180" s="577" t="s">
        <v>121</v>
      </c>
      <c r="D180" s="1127">
        <v>42800</v>
      </c>
    </row>
    <row r="181" spans="3:4" ht="9" customHeight="1">
      <c r="C181" s="577" t="s">
        <v>123</v>
      </c>
      <c r="D181" s="1127">
        <v>51700</v>
      </c>
    </row>
    <row r="182" spans="3:4" ht="9" customHeight="1">
      <c r="C182" s="577" t="s">
        <v>125</v>
      </c>
      <c r="D182" s="1127">
        <v>37800</v>
      </c>
    </row>
    <row r="183" spans="3:4" ht="9" customHeight="1">
      <c r="C183" s="577" t="s">
        <v>127</v>
      </c>
      <c r="D183" s="1127">
        <v>47100</v>
      </c>
    </row>
    <row r="184" spans="3:4" ht="9" customHeight="1">
      <c r="C184" s="577" t="s">
        <v>129</v>
      </c>
      <c r="D184" s="1127">
        <v>53800</v>
      </c>
    </row>
    <row r="185" spans="3:4" ht="9" customHeight="1">
      <c r="C185" s="577" t="s">
        <v>3631</v>
      </c>
      <c r="D185" s="1127">
        <v>41100</v>
      </c>
    </row>
    <row r="186" spans="3:4" ht="9" customHeight="1">
      <c r="C186" s="577" t="s">
        <v>3633</v>
      </c>
      <c r="D186" s="1127">
        <v>42000</v>
      </c>
    </row>
    <row r="187" spans="3:4" ht="9" customHeight="1">
      <c r="C187" s="577" t="s">
        <v>3635</v>
      </c>
      <c r="D187" s="1127">
        <v>45200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1591</v>
      </c>
    </row>
    <row r="2" spans="1:2">
      <c r="A2" s="748" t="str">
        <f>'Part I-Project Information'!F22</f>
        <v>Calypso</v>
      </c>
    </row>
    <row r="3" spans="1:2">
      <c r="A3" s="748" t="str">
        <f>CONCATENATE('Part I-Project Information'!F24,", ", 'Part I-Project Information'!J25," County")</f>
        <v>Palmetto, Fulton County</v>
      </c>
    </row>
    <row r="4" spans="1:2" ht="12" customHeight="1"/>
    <row r="5" spans="1:2" ht="111" customHeight="1">
      <c r="A5" s="748" t="str">
        <f>'Project Narrative'!A5</f>
        <v xml:space="preserve">Project Overview
Calypso will be a newly constructed 62-unit townhome style multi-family development in the city of Palmetto, which is in southern Fulton County, Georgia.  The complex will be family tenancy, with a mix of 3 and 4 bedroom units.  The undeveloped site is approximately 9 acres, and it is contiguous to established development in the area.  Downtown Palmetto is one mile from the site.  Rents will be affordable to families earning less than 60% of the Area Median Income.  The rents for the 3 bedroom, 2 bathroom units will be between $590 and $680, and the rents for the 4 bedroom, 2 and half bathroom units will be between $700 and $880.  These will be affordable to families earning up to $43,000 for a family of 4.
Calypso will be certified to “Earthcraft Homes for Multifamily” standards, which ensures a “green” project.  This will benefit the tenants by resulting in reduced utility bills, and it will have the lowest possibly impact on the environment.
Palmetto is a small city in southwest Fulton County.  Fulton County is one of the most populous counties in Georgia, as it includes most of the City of Atlanta.  Therefore, while this property is in a small town and considered rural by the USDA, it is near all major amenities of a major city and is also within the Atlanta MSA.  
The development team has site control through a purchase option.  The property is zoned for multifamily and is appropriate for the density we are seeking.  The market study shows strong demand for this property type at the rents proposed.  The units will be individually metered for water and sewer, and tenants will pay those costs.  This also allows the project to convert more easily to home ownership after Year 15.
</v>
      </c>
      <c r="B5" s="748" t="s">
        <v>1592</v>
      </c>
    </row>
    <row r="6" spans="1:2" ht="6.6" customHeight="1"/>
    <row r="7" spans="1:2" ht="111" customHeight="1">
      <c r="A7" s="748" t="str">
        <f>'Project Narrative'!A7</f>
        <v xml:space="preserve">Project Sponsor and Team Members
Volunteers of America Southeast, Inc., (VOASE) will be the Managing General Partner (MGP) of Calypso, with 51% of the GP interest.  The Van Dyke and Company (VDC) of Auburn, Alabama, will serve as a co-General Partner, with 49% of the GP interest.  VOASE and VDC will be co-developers, sharing in the Development Fee along their lines of % of ownership.   VOASE is one of the largest non-profit owners of affordable housing in the United States.  Both VOASE and VDC have experience in the development and ownership of 9% LIHTC projects.
</v>
      </c>
    </row>
    <row r="8" spans="1:2" ht="6.6" customHeight="1"/>
    <row r="9" spans="1:2" ht="111" customHeight="1">
      <c r="A9" s="748" t="str">
        <f>'Project Narrative'!A9</f>
        <v xml:space="preserve">Project Financing
The project will be funded with equity from the DCA 9% Low Income Housing Tax Credit program and a conventional construction/permanent loan.  Please note that Calypso is the first of two phases of development.  The second phase will be an affordable senior property, located on the land adjacent to the site to the west, abutting the Highway.  
</v>
      </c>
    </row>
    <row r="10" spans="1:2" ht="6.6" customHeight="1"/>
    <row r="11" spans="1:2" ht="111" customHeight="1">
      <c r="A11" s="748" t="str">
        <f>'Project Narrative'!A11</f>
        <v>Summary</v>
      </c>
    </row>
    <row r="12" spans="1:2" ht="6.6" customHeight="1"/>
    <row r="13" spans="1:2" ht="111" customHeight="1">
      <c r="A13" s="748" t="str">
        <f>'Project Narrative'!A13</f>
        <v xml:space="preserve">Calypso will meet a housing need for affordable, quality housing for families, especially for large families with the availability of 4 bedroom units.  The site is well situated to take advantage of the amentities in Palmetto, and it is within walking distance of MARTA bus route 180, which provides residents with a public transit option for those that work in nearby Atlanta.  </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3570</v>
      </c>
      <c r="E32" s="748" t="s">
        <v>4058</v>
      </c>
      <c r="M32" s="748" t="s">
        <v>2730</v>
      </c>
    </row>
    <row r="33" spans="1:15" ht="12" customHeight="1">
      <c r="E33" s="748" t="s">
        <v>4059</v>
      </c>
      <c r="O33" s="748" t="str">
        <f>'Part I-Project Information'!$O$4</f>
        <v>2011-043</v>
      </c>
    </row>
    <row r="34" spans="1:15" ht="12" customHeight="1"/>
    <row r="35" spans="1:15" ht="13.15" customHeight="1">
      <c r="A35" s="748" t="s">
        <v>951</v>
      </c>
      <c r="C35" s="748" t="s">
        <v>3590</v>
      </c>
      <c r="F35" s="748" t="s">
        <v>2741</v>
      </c>
      <c r="J35" s="748">
        <f>'Part IV-Uses of Funds'!J194</f>
        <v>0</v>
      </c>
    </row>
    <row r="36" spans="1:15" ht="13.15" customHeight="1">
      <c r="F36" s="748" t="s">
        <v>1983</v>
      </c>
      <c r="J36" s="748">
        <f>'Part III A-Sources of Funds'!J34</f>
        <v>0</v>
      </c>
    </row>
    <row r="37" spans="1:15" ht="7.15" customHeight="1"/>
    <row r="38" spans="1:15" ht="13.15" customHeight="1">
      <c r="A38" s="748" t="s">
        <v>1230</v>
      </c>
      <c r="C38" s="748" t="s">
        <v>3132</v>
      </c>
      <c r="F38" s="748" t="str">
        <f>'Part I-Project Information'!$F$9</f>
        <v>Competitive Round</v>
      </c>
      <c r="I38" s="748" t="s">
        <v>1231</v>
      </c>
      <c r="J38" s="748">
        <f>'Part I-Project Information'!$J$9</f>
        <v>0</v>
      </c>
    </row>
    <row r="39" spans="1:15" ht="7.15" customHeight="1"/>
    <row r="40" spans="1:15" ht="13.15" customHeight="1">
      <c r="A40" s="748" t="s">
        <v>1232</v>
      </c>
      <c r="C40" s="748" t="s">
        <v>2207</v>
      </c>
    </row>
    <row r="41" spans="1:15" ht="3" customHeight="1"/>
    <row r="42" spans="1:15" ht="13.15" customHeight="1">
      <c r="C42" s="748" t="s">
        <v>3442</v>
      </c>
      <c r="F42" s="748" t="str">
        <f>'Part I-Project Information'!$F$13</f>
        <v>Sherry Atchinson</v>
      </c>
      <c r="M42" s="748" t="s">
        <v>3057</v>
      </c>
      <c r="N42" s="748" t="str">
        <f>'Part I-Project Information'!N13</f>
        <v>Director of Project Development</v>
      </c>
    </row>
    <row r="43" spans="1:15" ht="13.15" customHeight="1">
      <c r="C43" s="748" t="s">
        <v>3058</v>
      </c>
      <c r="F43" s="748" t="str">
        <f>'Part I-Project Information'!$F$14</f>
        <v>600 Azalea Road</v>
      </c>
      <c r="M43" s="748" t="s">
        <v>2747</v>
      </c>
      <c r="O43" s="748">
        <f>'Part I-Project Information'!O14</f>
        <v>8008594431</v>
      </c>
    </row>
    <row r="44" spans="1:15" ht="13.15" customHeight="1">
      <c r="C44" s="748" t="s">
        <v>954</v>
      </c>
      <c r="F44" s="748" t="str">
        <f>'Part I-Project Information'!$F$15</f>
        <v>Mobile</v>
      </c>
      <c r="M44" s="748" t="s">
        <v>2834</v>
      </c>
      <c r="O44" s="748">
        <f>'Part I-Project Information'!O15</f>
        <v>2516662836</v>
      </c>
    </row>
    <row r="45" spans="1:15" ht="13.15" customHeight="1">
      <c r="C45" s="748" t="s">
        <v>2831</v>
      </c>
      <c r="F45" s="748" t="str">
        <f>'Part I-Project Information'!$F$16</f>
        <v>AL</v>
      </c>
      <c r="I45" s="748" t="s">
        <v>3354</v>
      </c>
      <c r="J45" s="748">
        <f>'Part I-Project Information'!J16</f>
        <v>366091528</v>
      </c>
      <c r="M45" s="748" t="s">
        <v>3056</v>
      </c>
      <c r="O45" s="748">
        <f>'Part I-Project Information'!O16</f>
        <v>0</v>
      </c>
    </row>
    <row r="46" spans="1:15" ht="13.15" customHeight="1">
      <c r="C46" s="748" t="s">
        <v>2746</v>
      </c>
      <c r="F46" s="748">
        <f>'Part I-Project Information'!F17</f>
        <v>8008594431</v>
      </c>
      <c r="I46" s="748" t="s">
        <v>2745</v>
      </c>
      <c r="J46" s="748">
        <f>'Part I-Project Information'!J17</f>
        <v>0</v>
      </c>
      <c r="K46" s="748" t="s">
        <v>3061</v>
      </c>
      <c r="L46" s="748" t="str">
        <f>'Part I-Project Information'!L17</f>
        <v>satchinson@voase.org</v>
      </c>
    </row>
    <row r="47" spans="1:15" ht="13.15" customHeight="1">
      <c r="C47" s="748" t="s">
        <v>998</v>
      </c>
    </row>
    <row r="48" spans="1:15" ht="7.15" customHeight="1"/>
    <row r="49" spans="1:16" ht="13.15" customHeight="1">
      <c r="A49" s="748" t="s">
        <v>2824</v>
      </c>
      <c r="C49" s="748" t="s">
        <v>2208</v>
      </c>
    </row>
    <row r="50" spans="1:16" ht="3" customHeight="1"/>
    <row r="51" spans="1:16" ht="13.15" customHeight="1">
      <c r="C51" s="748" t="s">
        <v>952</v>
      </c>
      <c r="F51" s="748" t="str">
        <f>'Part I-Project Information'!F22</f>
        <v>Calypso</v>
      </c>
      <c r="M51" s="748" t="s">
        <v>3300</v>
      </c>
      <c r="O51" s="748" t="str">
        <f>'Part I-Project Information'!O22</f>
        <v>Yes - no Master Plan</v>
      </c>
    </row>
    <row r="52" spans="1:16" ht="13.15" customHeight="1">
      <c r="C52" s="748" t="s">
        <v>953</v>
      </c>
      <c r="F52" s="748" t="str">
        <f>'Part I-Project Information'!F23</f>
        <v>8212 Cascade Palmetto Highway</v>
      </c>
      <c r="M52" s="748" t="s">
        <v>3146</v>
      </c>
      <c r="O52" s="748" t="str">
        <f>'Part I-Project Information'!O23</f>
        <v>No</v>
      </c>
    </row>
    <row r="53" spans="1:16" ht="13.15" customHeight="1">
      <c r="C53" s="748" t="s">
        <v>954</v>
      </c>
      <c r="F53" s="748" t="str">
        <f>'Part I-Project Information'!F24</f>
        <v>Palmetto</v>
      </c>
      <c r="I53" s="748" t="s">
        <v>4060</v>
      </c>
      <c r="J53" s="748">
        <f>'Part I-Project Information'!J24</f>
        <v>302681052</v>
      </c>
      <c r="L53" s="748" t="str">
        <f>IF(AND(NOT(F51=""),NOT(F53="Select from list"),J53=""),"Enter Zip!","")</f>
        <v/>
      </c>
      <c r="M53" s="748" t="s">
        <v>3416</v>
      </c>
      <c r="O53" s="748">
        <f>'Part I-Project Information'!O24</f>
        <v>8.99</v>
      </c>
    </row>
    <row r="54" spans="1:16" ht="13.15" customHeight="1">
      <c r="C54" s="748" t="s">
        <v>3145</v>
      </c>
      <c r="F54" s="748" t="str">
        <f>'Part I-Project Information'!F25</f>
        <v>Yes</v>
      </c>
      <c r="I54" s="748" t="s">
        <v>955</v>
      </c>
      <c r="J54" s="748" t="str">
        <f>'Part I-Project Information'!J25</f>
        <v>Fulton</v>
      </c>
      <c r="M54" s="748" t="s">
        <v>3435</v>
      </c>
      <c r="O54" s="748">
        <f>'Part I-Project Information'!O25</f>
        <v>104</v>
      </c>
    </row>
    <row r="55" spans="1:16" ht="13.15" customHeight="1">
      <c r="C55" s="748" t="s">
        <v>2314</v>
      </c>
      <c r="F55" s="748" t="str">
        <f>'Part I-Project Information'!F26</f>
        <v>Yes</v>
      </c>
      <c r="I55" s="748" t="s">
        <v>886</v>
      </c>
      <c r="J55" s="748" t="str">
        <f>'Part I-Project Information'!J26</f>
        <v>Atlanta-Sandy Springs-Marietta</v>
      </c>
      <c r="M55" s="748" t="s">
        <v>666</v>
      </c>
      <c r="N55" s="748" t="str">
        <f>'Part I-Project Information'!N26</f>
        <v>No</v>
      </c>
      <c r="O55" s="748" t="s">
        <v>667</v>
      </c>
      <c r="P55" s="748" t="str">
        <f>'Part I-Project Information'!P26</f>
        <v>No</v>
      </c>
    </row>
    <row r="56" spans="1:16" ht="3" customHeight="1"/>
    <row r="57" spans="1:16" ht="13.15" customHeight="1">
      <c r="F57" s="748" t="s">
        <v>4061</v>
      </c>
      <c r="H57" s="748" t="s">
        <v>1226</v>
      </c>
      <c r="J57" s="748" t="s">
        <v>1227</v>
      </c>
    </row>
    <row r="58" spans="1:16" ht="13.15" customHeight="1">
      <c r="C58" s="748" t="s">
        <v>956</v>
      </c>
      <c r="F58" s="748">
        <f>'Part I-Project Information'!F29</f>
        <v>13</v>
      </c>
      <c r="H58" s="748">
        <f>'Part I-Project Information'!H29</f>
        <v>35</v>
      </c>
      <c r="J58" s="748">
        <f>'Part I-Project Information'!J29</f>
        <v>65</v>
      </c>
    </row>
    <row r="59" spans="1:16" ht="13.15" customHeight="1">
      <c r="C59" s="748" t="s">
        <v>1228</v>
      </c>
      <c r="F59" s="748">
        <f>'Part I-Project Information'!F30</f>
        <v>0</v>
      </c>
      <c r="H59" s="748">
        <f>'Part I-Project Information'!H30</f>
        <v>0</v>
      </c>
      <c r="J59" s="748">
        <f>'Part I-Project Information'!J30</f>
        <v>0</v>
      </c>
    </row>
    <row r="60" spans="1:16" ht="3" customHeight="1"/>
    <row r="61" spans="1:16" ht="13.15" customHeight="1">
      <c r="C61" s="748" t="s">
        <v>974</v>
      </c>
      <c r="F61" s="748" t="str">
        <f>'Part I-Project Information'!F32</f>
        <v>City of Palmetto</v>
      </c>
    </row>
    <row r="62" spans="1:16" ht="13.15" customHeight="1">
      <c r="C62" s="748" t="s">
        <v>975</v>
      </c>
      <c r="F62" s="748" t="str">
        <f>'Part I-Project Information'!F33</f>
        <v>John O. Miller</v>
      </c>
      <c r="K62" s="748" t="s">
        <v>3057</v>
      </c>
      <c r="L62" s="748" t="str">
        <f>'Part I-Project Information'!L33</f>
        <v>Mayor</v>
      </c>
    </row>
    <row r="63" spans="1:16" ht="13.15" customHeight="1">
      <c r="C63" s="748" t="s">
        <v>3058</v>
      </c>
      <c r="F63" s="748" t="str">
        <f>'Part I-Project Information'!F34</f>
        <v>509 Toombs Street</v>
      </c>
      <c r="K63" s="748" t="s">
        <v>954</v>
      </c>
      <c r="L63" s="748" t="str">
        <f>'Part I-Project Information'!L34</f>
        <v>Palmetto</v>
      </c>
    </row>
    <row r="64" spans="1:16" ht="13.15" customHeight="1">
      <c r="C64" s="748" t="s">
        <v>3354</v>
      </c>
      <c r="F64" s="748">
        <f>'Part I-Project Information'!F35</f>
        <v>302681214</v>
      </c>
      <c r="H64" s="748" t="s">
        <v>3059</v>
      </c>
      <c r="I64" s="748">
        <f>'Part I-Project Information'!I35</f>
        <v>7704633377</v>
      </c>
      <c r="L64" s="748" t="s">
        <v>2834</v>
      </c>
      <c r="M64" s="748">
        <f>'Part I-Project Information'!M35</f>
        <v>7704632890</v>
      </c>
    </row>
    <row r="65" spans="1:16" ht="7.15" customHeight="1"/>
    <row r="66" spans="1:16" ht="13.15" customHeight="1">
      <c r="A66" s="748" t="s">
        <v>2826</v>
      </c>
      <c r="C66" s="748" t="s">
        <v>2209</v>
      </c>
      <c r="J66" s="748" t="s">
        <v>4062</v>
      </c>
    </row>
    <row r="67" spans="1:16" ht="3" customHeight="1"/>
    <row r="68" spans="1:16">
      <c r="B68" s="748" t="s">
        <v>3060</v>
      </c>
      <c r="C68" s="748" t="s">
        <v>3437</v>
      </c>
      <c r="F68" s="748" t="str">
        <f>'Part I-Project Information'!F39</f>
        <v>No</v>
      </c>
      <c r="J68" s="748" t="s">
        <v>1972</v>
      </c>
      <c r="L68" s="748" t="s">
        <v>1973</v>
      </c>
    </row>
    <row r="69" spans="1:16" ht="3" customHeight="1"/>
    <row r="70" spans="1:16" ht="13.15" customHeight="1">
      <c r="B70" s="748" t="s">
        <v>3063</v>
      </c>
      <c r="C70" s="748" t="s">
        <v>3599</v>
      </c>
      <c r="J70" s="748" t="s">
        <v>1976</v>
      </c>
      <c r="L70" s="748" t="s">
        <v>1971</v>
      </c>
    </row>
    <row r="71" spans="1:16" ht="13.15" customHeight="1">
      <c r="C71" s="748" t="s">
        <v>3436</v>
      </c>
      <c r="F71" s="748">
        <f>'Part VI-Revenues &amp; Expenses'!$M$75</f>
        <v>62</v>
      </c>
    </row>
    <row r="72" spans="1:16" ht="13.15" customHeight="1">
      <c r="C72" s="748" t="s">
        <v>469</v>
      </c>
      <c r="F72" s="748">
        <f>'Part VI-Revenues &amp; Expenses'!$M$82</f>
        <v>0</v>
      </c>
    </row>
    <row r="73" spans="1:16" ht="13.15" customHeight="1">
      <c r="C73" s="748" t="s">
        <v>443</v>
      </c>
      <c r="F73" s="748">
        <f>'Part VI-Revenues &amp; Expenses'!$M$78</f>
        <v>0</v>
      </c>
      <c r="G73" s="748" t="s">
        <v>445</v>
      </c>
      <c r="L73" s="748">
        <f>'Part I-Project Information'!L44</f>
        <v>0</v>
      </c>
    </row>
    <row r="74" spans="1:16" ht="13.15" customHeight="1">
      <c r="C74" s="748" t="s">
        <v>444</v>
      </c>
      <c r="F74" s="748">
        <f>'Part VI-Revenues &amp; Expenses'!$M$81</f>
        <v>0</v>
      </c>
    </row>
    <row r="75" spans="1:16" ht="13.15" customHeight="1">
      <c r="C75" s="748" t="s">
        <v>470</v>
      </c>
      <c r="F75" s="748">
        <f>'Part VI-Revenues &amp; Expenses'!$M$83</f>
        <v>0</v>
      </c>
    </row>
    <row r="76" spans="1:16" ht="3.6" customHeight="1"/>
    <row r="77" spans="1:16" ht="13.15" customHeight="1">
      <c r="B77" s="748" t="s">
        <v>1239</v>
      </c>
      <c r="C77" s="748" t="s">
        <v>3408</v>
      </c>
      <c r="I77" s="748" t="s">
        <v>2131</v>
      </c>
      <c r="J77" s="748" t="s">
        <v>3212</v>
      </c>
      <c r="K77" s="748" t="s">
        <v>3443</v>
      </c>
    </row>
    <row r="78" spans="1:16" ht="13.15" customHeight="1">
      <c r="C78" s="748" t="s">
        <v>3409</v>
      </c>
      <c r="H78" s="748">
        <f>SUM(H79:H80)</f>
        <v>62</v>
      </c>
      <c r="K78" s="748" t="s">
        <v>3444</v>
      </c>
      <c r="P78" s="748">
        <f>'Part VI-Revenues &amp; Expenses'!$M$94</f>
        <v>82440</v>
      </c>
    </row>
    <row r="79" spans="1:16" ht="13.15" customHeight="1">
      <c r="D79" s="748" t="s">
        <v>490</v>
      </c>
      <c r="H79" s="748">
        <f>'Part VI-Revenues &amp; Expenses'!$M$58</f>
        <v>10</v>
      </c>
      <c r="I79" s="748">
        <f>'Part VI-Revenues &amp; Expenses'!$M$66</f>
        <v>0</v>
      </c>
      <c r="K79" s="748" t="s">
        <v>326</v>
      </c>
      <c r="P79" s="748">
        <f>'Part VI-Revenues &amp; Expenses'!$M$95</f>
        <v>0</v>
      </c>
    </row>
    <row r="80" spans="1:16" ht="13.15" customHeight="1">
      <c r="D80" s="748" t="s">
        <v>2864</v>
      </c>
      <c r="H80" s="748">
        <f>'Part VI-Revenues &amp; Expenses'!$M$57</f>
        <v>52</v>
      </c>
      <c r="I80" s="748">
        <f>'Part VI-Revenues &amp; Expenses'!$M$65</f>
        <v>0</v>
      </c>
      <c r="K80" s="748" t="s">
        <v>3445</v>
      </c>
      <c r="P80" s="748">
        <f>+P78+P79</f>
        <v>82440</v>
      </c>
    </row>
    <row r="81" spans="1:16" ht="13.15" customHeight="1">
      <c r="C81" s="748" t="s">
        <v>327</v>
      </c>
      <c r="H81" s="748">
        <f>'Part VI-Revenues &amp; Expenses'!$M$60</f>
        <v>0</v>
      </c>
      <c r="K81" s="748" t="s">
        <v>2134</v>
      </c>
      <c r="P81" s="748">
        <f>'Part VI-Revenues &amp; Expenses'!$M$97</f>
        <v>0</v>
      </c>
    </row>
    <row r="82" spans="1:16" ht="13.15" customHeight="1">
      <c r="C82" s="748" t="s">
        <v>3650</v>
      </c>
      <c r="H82" s="748">
        <f>+H78+H81</f>
        <v>62</v>
      </c>
      <c r="K82" s="748" t="s">
        <v>2133</v>
      </c>
      <c r="P82" s="748">
        <f>+P80+P81</f>
        <v>82440</v>
      </c>
    </row>
    <row r="83" spans="1:16" ht="13.15" customHeight="1">
      <c r="C83" s="748" t="s">
        <v>3651</v>
      </c>
      <c r="H83" s="748">
        <f>'Part VI-Revenues &amp; Expenses'!$M$62</f>
        <v>0</v>
      </c>
    </row>
    <row r="84" spans="1:16" ht="13.15" customHeight="1">
      <c r="C84" s="748" t="s">
        <v>2825</v>
      </c>
      <c r="H84" s="748">
        <f>+H82+H83</f>
        <v>62</v>
      </c>
    </row>
    <row r="85" spans="1:16" ht="3" customHeight="1"/>
    <row r="86" spans="1:16" ht="13.15" customHeight="1">
      <c r="B86" s="748" t="s">
        <v>2763</v>
      </c>
      <c r="C86" s="748" t="s">
        <v>3438</v>
      </c>
      <c r="D86" s="748" t="s">
        <v>3074</v>
      </c>
      <c r="H86" s="748">
        <f>'Part I-Project Information'!H57</f>
        <v>8</v>
      </c>
      <c r="K86" s="748" t="s">
        <v>1760</v>
      </c>
      <c r="P86" s="748">
        <f>'Part I-Project Information'!P57</f>
        <v>2750</v>
      </c>
    </row>
    <row r="87" spans="1:16" ht="13.15" customHeight="1">
      <c r="D87" s="748" t="s">
        <v>3075</v>
      </c>
      <c r="H87" s="748">
        <f>'Part I-Project Information'!H58</f>
        <v>1</v>
      </c>
      <c r="K87" s="748" t="s">
        <v>325</v>
      </c>
      <c r="P87" s="748">
        <f>+P82+P86</f>
        <v>85190</v>
      </c>
    </row>
    <row r="88" spans="1:16" ht="13.15" customHeight="1">
      <c r="D88" s="748" t="s">
        <v>3076</v>
      </c>
      <c r="H88" s="748">
        <f>+H86+H87</f>
        <v>9</v>
      </c>
    </row>
    <row r="89" spans="1:16" ht="3" customHeight="1"/>
    <row r="90" spans="1:16" ht="13.15" customHeight="1">
      <c r="B90" s="748" t="s">
        <v>2764</v>
      </c>
      <c r="C90" s="748" t="s">
        <v>3600</v>
      </c>
      <c r="H90" s="748">
        <f>'Part I-Project Information'!H61</f>
        <v>93</v>
      </c>
    </row>
    <row r="91" spans="1:16" ht="9" customHeight="1"/>
    <row r="92" spans="1:16" ht="13.15" customHeight="1">
      <c r="A92" s="748" t="s">
        <v>823</v>
      </c>
      <c r="C92" s="748" t="s">
        <v>1837</v>
      </c>
    </row>
    <row r="93" spans="1:16" ht="3" customHeight="1"/>
    <row r="94" spans="1:16" ht="13.15" customHeight="1">
      <c r="B94" s="748" t="s">
        <v>3060</v>
      </c>
      <c r="C94" s="748" t="s">
        <v>2273</v>
      </c>
      <c r="H94" s="748" t="str">
        <f>'Part I-Project Information'!H65</f>
        <v>Family</v>
      </c>
      <c r="K94" s="748" t="s">
        <v>2802</v>
      </c>
      <c r="N94" s="748">
        <f>'Part I-Project Information'!N65</f>
        <v>0</v>
      </c>
    </row>
    <row r="95" spans="1:16" ht="3" customHeight="1"/>
    <row r="96" spans="1:16" ht="13.15" customHeight="1">
      <c r="B96" s="748" t="s">
        <v>3063</v>
      </c>
      <c r="C96" s="748" t="s">
        <v>2122</v>
      </c>
      <c r="G96" s="748" t="s">
        <v>1379</v>
      </c>
      <c r="H96" s="748">
        <f>'Part I-Project Information'!H67</f>
        <v>4</v>
      </c>
      <c r="K96" s="748" t="s">
        <v>813</v>
      </c>
      <c r="P96" s="748">
        <f>IF('Part VI-Revenues &amp; Expenses'!$M$63=0,0,$H96/'Part VI-Revenues &amp; Expenses'!$M$63)</f>
        <v>6.4516129032258063E-2</v>
      </c>
    </row>
    <row r="97" spans="1:16" ht="3" customHeight="1"/>
    <row r="98" spans="1:16" ht="13.15" customHeight="1">
      <c r="B98" s="748" t="s">
        <v>1239</v>
      </c>
      <c r="C98" s="748" t="s">
        <v>2891</v>
      </c>
      <c r="G98" s="748" t="s">
        <v>1379</v>
      </c>
      <c r="H98" s="748">
        <f>'Part I-Project Information'!H69</f>
        <v>2</v>
      </c>
      <c r="K98" s="748" t="s">
        <v>813</v>
      </c>
      <c r="P98" s="748">
        <f>IF('Part VI-Revenues &amp; Expenses'!$M$63=0,0,$H98/'Part VI-Revenues &amp; Expenses'!$M$63)</f>
        <v>3.2258064516129031E-2</v>
      </c>
    </row>
    <row r="99" spans="1:16" ht="3" customHeight="1"/>
    <row r="100" spans="1:16" ht="13.15" customHeight="1">
      <c r="B100" s="748" t="s">
        <v>3212</v>
      </c>
      <c r="C100" s="748" t="s">
        <v>1978</v>
      </c>
      <c r="G100" s="748" t="s">
        <v>1979</v>
      </c>
      <c r="H100" s="748">
        <f>'Part I-Project Information'!H71</f>
        <v>0</v>
      </c>
      <c r="K100" s="748" t="s">
        <v>813</v>
      </c>
      <c r="P100" s="748">
        <f>IF('Part VI-Revenues &amp; Expenses'!$M$63=0,0,$H100/'Part VI-Revenues &amp; Expenses'!$M$63)</f>
        <v>0</v>
      </c>
    </row>
    <row r="101" spans="1:16" ht="9" customHeight="1"/>
    <row r="102" spans="1:16" ht="13.15" customHeight="1">
      <c r="A102" s="748" t="s">
        <v>1348</v>
      </c>
      <c r="C102" s="748" t="s">
        <v>3592</v>
      </c>
    </row>
    <row r="103" spans="1:16" ht="3" customHeight="1"/>
    <row r="104" spans="1:16" ht="13.15" customHeight="1">
      <c r="B104" s="748" t="s">
        <v>3060</v>
      </c>
      <c r="C104" s="748" t="s">
        <v>3591</v>
      </c>
      <c r="H104" s="748" t="str">
        <f>'Part I-Project Information'!H75</f>
        <v>40% of Units at 60% of AMI</v>
      </c>
    </row>
    <row r="105" spans="1:16" ht="3" customHeight="1"/>
    <row r="106" spans="1:16" ht="13.15" customHeight="1">
      <c r="B106" s="748" t="s">
        <v>3063</v>
      </c>
      <c r="C106" s="748" t="s">
        <v>2286</v>
      </c>
      <c r="K106" s="748" t="s">
        <v>1460</v>
      </c>
      <c r="P106" s="748" t="str">
        <f>'Part I-Project Information'!P77</f>
        <v>No</v>
      </c>
    </row>
    <row r="107" spans="1:16" ht="9" customHeight="1"/>
    <row r="108" spans="1:16" ht="13.15" customHeight="1">
      <c r="A108" s="748" t="s">
        <v>386</v>
      </c>
      <c r="C108" s="748" t="s">
        <v>3133</v>
      </c>
    </row>
    <row r="109" spans="1:16" ht="3" customHeight="1"/>
    <row r="110" spans="1:16" ht="13.15" customHeight="1">
      <c r="E110" s="748" t="str">
        <f>'Part I-Project Information'!E81</f>
        <v>Yes</v>
      </c>
      <c r="F110" s="748" t="s">
        <v>3914</v>
      </c>
      <c r="H110" s="748" t="str">
        <f>'Part I-Project Information'!H81</f>
        <v>Yes</v>
      </c>
      <c r="I110" s="748" t="s">
        <v>3913</v>
      </c>
      <c r="K110" s="748">
        <f>'Part I-Project Information'!K81</f>
        <v>0</v>
      </c>
      <c r="L110" s="748" t="s">
        <v>144</v>
      </c>
    </row>
    <row r="111" spans="1:16" ht="13.15" customHeight="1">
      <c r="E111" s="748">
        <f>'Part I-Project Information'!E82</f>
        <v>0</v>
      </c>
      <c r="F111" s="748" t="s">
        <v>651</v>
      </c>
      <c r="H111" s="748">
        <f>'Part I-Project Information'!H82</f>
        <v>0</v>
      </c>
      <c r="I111" s="748" t="s">
        <v>3233</v>
      </c>
      <c r="K111" s="748">
        <f>'Part I-Project Information'!K82</f>
        <v>0</v>
      </c>
      <c r="L111" s="748" t="s">
        <v>3234</v>
      </c>
    </row>
    <row r="112" spans="1:16" ht="9" customHeight="1"/>
    <row r="113" spans="1:15" ht="13.15" customHeight="1">
      <c r="A113" s="748" t="s">
        <v>542</v>
      </c>
      <c r="C113" s="748" t="s">
        <v>1835</v>
      </c>
    </row>
    <row r="114" spans="1:15" ht="3" customHeight="1"/>
    <row r="115" spans="1:15" ht="13.15" customHeight="1">
      <c r="C115" s="748" t="s">
        <v>848</v>
      </c>
      <c r="E115" s="748">
        <f>'Part I-Project Information'!E86</f>
        <v>0</v>
      </c>
      <c r="M115" s="748" t="s">
        <v>849</v>
      </c>
      <c r="O115" s="748">
        <f>'Part I-Project Information'!O86</f>
        <v>0</v>
      </c>
    </row>
    <row r="116" spans="1:15" ht="13.15" customHeight="1">
      <c r="C116" s="748" t="s">
        <v>1642</v>
      </c>
      <c r="E116" s="748">
        <f>'Part I-Project Information'!E87</f>
        <v>0</v>
      </c>
      <c r="M116" s="748" t="s">
        <v>1391</v>
      </c>
      <c r="O116" s="748">
        <f>'Part I-Project Information'!O87</f>
        <v>0</v>
      </c>
    </row>
    <row r="117" spans="1:15" ht="13.15" customHeight="1">
      <c r="C117" s="748" t="s">
        <v>954</v>
      </c>
      <c r="E117" s="748">
        <f>'Part I-Project Information'!E88</f>
        <v>0</v>
      </c>
      <c r="H117" s="748" t="s">
        <v>2831</v>
      </c>
      <c r="I117" s="748">
        <f>'Part I-Project Information'!I88</f>
        <v>0</v>
      </c>
      <c r="J117" s="748" t="s">
        <v>3354</v>
      </c>
      <c r="K117" s="748">
        <f>'Part I-Project Information'!K88</f>
        <v>0</v>
      </c>
    </row>
    <row r="118" spans="1:15" ht="13.15" customHeight="1">
      <c r="C118" s="748" t="s">
        <v>3302</v>
      </c>
      <c r="E118" s="748">
        <f>'Part I-Project Information'!E89</f>
        <v>0</v>
      </c>
      <c r="H118" s="748" t="s">
        <v>3057</v>
      </c>
      <c r="I118" s="748">
        <f>'Part I-Project Information'!I89</f>
        <v>0</v>
      </c>
      <c r="L118" s="748" t="s">
        <v>3061</v>
      </c>
      <c r="M118" s="748">
        <f>'Part I-Project Information'!M89</f>
        <v>0</v>
      </c>
    </row>
    <row r="119" spans="1:15" ht="13.15" customHeight="1">
      <c r="C119" s="748" t="s">
        <v>3301</v>
      </c>
      <c r="E119" s="748">
        <f>'Part I-Project Information'!E90</f>
        <v>0</v>
      </c>
      <c r="H119" s="748" t="s">
        <v>2834</v>
      </c>
      <c r="I119" s="748">
        <f>'Part I-Project Information'!I90</f>
        <v>0</v>
      </c>
      <c r="K119" s="748" t="s">
        <v>2835</v>
      </c>
      <c r="L119" s="748">
        <f>'Part I-Project Information'!L90</f>
        <v>0</v>
      </c>
      <c r="N119" s="748" t="s">
        <v>3056</v>
      </c>
      <c r="O119" s="748">
        <f>'Part I-Project Information'!O90</f>
        <v>0</v>
      </c>
    </row>
    <row r="120" spans="1:15" ht="3" customHeight="1"/>
    <row r="121" spans="1:15" ht="13.15" customHeight="1">
      <c r="A121" s="748" t="s">
        <v>464</v>
      </c>
      <c r="C121" s="748" t="s">
        <v>2666</v>
      </c>
    </row>
    <row r="122" spans="1:15" ht="3.6" customHeight="1"/>
    <row r="123" spans="1:15" ht="13.15" customHeight="1">
      <c r="C123" s="748" t="s">
        <v>3257</v>
      </c>
    </row>
    <row r="124" spans="1:15" ht="4.9000000000000004" customHeight="1"/>
    <row r="125" spans="1:15" ht="13.15" customHeight="1">
      <c r="B125" s="748" t="s">
        <v>3060</v>
      </c>
      <c r="C125" s="748" t="s">
        <v>2123</v>
      </c>
      <c r="H125" s="748">
        <f>'Part I-Project Information'!H96</f>
        <v>1</v>
      </c>
    </row>
    <row r="126" spans="1:15" ht="3.6" customHeight="1"/>
    <row r="127" spans="1:15" ht="13.15" customHeight="1">
      <c r="B127" s="748" t="s">
        <v>3063</v>
      </c>
      <c r="C127" s="748" t="s">
        <v>526</v>
      </c>
      <c r="H127" s="748">
        <f>'Part I-Project Information'!H98</f>
        <v>950000</v>
      </c>
    </row>
    <row r="128" spans="1:15" ht="3.6" customHeight="1"/>
    <row r="129" spans="2:13" ht="13.15" customHeight="1">
      <c r="B129" s="748" t="s">
        <v>1239</v>
      </c>
      <c r="C129" s="748" t="s">
        <v>396</v>
      </c>
    </row>
    <row r="130" spans="2:13" ht="13.15" customHeight="1">
      <c r="C130" s="748" t="s">
        <v>3235</v>
      </c>
      <c r="F130" s="748" t="s">
        <v>1774</v>
      </c>
      <c r="J130" s="748" t="s">
        <v>3235</v>
      </c>
      <c r="M130" s="748" t="s">
        <v>1774</v>
      </c>
    </row>
    <row r="131" spans="2:13" ht="13.15" customHeight="1">
      <c r="C131" s="748" t="str">
        <f>'Part I-Project Information'!C102</f>
        <v>Volunteers of America Southeast, Inc.</v>
      </c>
      <c r="F131" s="748" t="str">
        <f>'Part I-Project Information'!F102</f>
        <v>Calypso</v>
      </c>
      <c r="J131" s="748">
        <f>'Part I-Project Information'!J102</f>
        <v>8</v>
      </c>
      <c r="M131" s="748">
        <f>'Part I-Project Information'!M102</f>
        <v>0</v>
      </c>
    </row>
    <row r="132" spans="2:13" ht="13.15" customHeight="1">
      <c r="C132" s="748" t="str">
        <f>'Part I-Project Information'!C103</f>
        <v>Van Dyke and Company</v>
      </c>
      <c r="F132" s="748" t="str">
        <f>'Part I-Project Information'!F103</f>
        <v>Calypso</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3212</v>
      </c>
      <c r="C139" s="748" t="s">
        <v>2900</v>
      </c>
    </row>
    <row r="140" spans="2:13" ht="13.15" customHeight="1"/>
    <row r="141" spans="2:13" ht="13.15" customHeight="1">
      <c r="C141" s="748" t="s">
        <v>3235</v>
      </c>
      <c r="F141" s="748" t="s">
        <v>1774</v>
      </c>
      <c r="J141" s="748" t="s">
        <v>3235</v>
      </c>
      <c r="M141" s="748" t="s">
        <v>1774</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465</v>
      </c>
      <c r="C150" s="748" t="s">
        <v>3665</v>
      </c>
      <c r="H150" s="748" t="str">
        <f>'Part I-Project Information'!H121</f>
        <v>No</v>
      </c>
    </row>
    <row r="151" spans="1:15" ht="3" customHeight="1"/>
    <row r="152" spans="1:15" ht="13.15" customHeight="1">
      <c r="B152" s="748" t="s">
        <v>3060</v>
      </c>
      <c r="C152" s="748" t="s">
        <v>2732</v>
      </c>
      <c r="H152" s="748" t="str">
        <f>'Part I-Project Information'!H123</f>
        <v>No</v>
      </c>
    </row>
    <row r="153" spans="1:15" ht="13.15" customHeight="1">
      <c r="C153" s="748" t="s">
        <v>3667</v>
      </c>
      <c r="H153" s="748">
        <f>'Part I-Project Information'!H124</f>
        <v>0</v>
      </c>
    </row>
    <row r="154" spans="1:15" ht="13.15" customHeight="1">
      <c r="C154" s="748" t="s">
        <v>2731</v>
      </c>
      <c r="H154" s="748">
        <f>'Part I-Project Information'!H125</f>
        <v>0</v>
      </c>
    </row>
    <row r="155" spans="1:15" ht="13.15" customHeight="1">
      <c r="C155" s="748" t="s">
        <v>3668</v>
      </c>
      <c r="H155" s="748">
        <f>'Part I-Project Information'!H126</f>
        <v>0</v>
      </c>
      <c r="K155" s="748" t="s">
        <v>3375</v>
      </c>
      <c r="O155" s="748" t="str">
        <f>'Part I-Project Information'!O126</f>
        <v>GA-</v>
      </c>
    </row>
    <row r="156" spans="1:15" ht="13.15" customHeight="1">
      <c r="C156" s="748" t="s">
        <v>3666</v>
      </c>
      <c r="H156" s="748" t="str">
        <f>'Part I-Project Information'!H127</f>
        <v>No</v>
      </c>
      <c r="K156" s="748" t="s">
        <v>3376</v>
      </c>
      <c r="O156" s="748" t="str">
        <f>'Part I-Project Information'!O127</f>
        <v>GA-</v>
      </c>
    </row>
    <row r="157" spans="1:15" ht="13.15" customHeight="1">
      <c r="C157" s="748" t="s">
        <v>3273</v>
      </c>
      <c r="H157" s="748">
        <f>'Part I-Project Information'!H128</f>
        <v>0</v>
      </c>
    </row>
    <row r="158" spans="1:15" ht="3" customHeight="1"/>
    <row r="159" spans="1:15" ht="13.15" customHeight="1">
      <c r="B159" s="748" t="s">
        <v>3063</v>
      </c>
      <c r="C159" s="748" t="s">
        <v>3770</v>
      </c>
      <c r="H159" s="748" t="str">
        <f>'Part I-Project Information'!H130</f>
        <v>No</v>
      </c>
    </row>
    <row r="160" spans="1:15" ht="3" customHeight="1"/>
    <row r="161" spans="1:16" ht="13.15" customHeight="1">
      <c r="B161" s="748" t="s">
        <v>1239</v>
      </c>
      <c r="C161" s="748" t="s">
        <v>982</v>
      </c>
    </row>
    <row r="162" spans="1:16" ht="13.15" customHeight="1">
      <c r="C162" s="748" t="s">
        <v>4063</v>
      </c>
      <c r="H162" s="748" t="str">
        <f>'Part I-Project Information'!H133</f>
        <v>No</v>
      </c>
      <c r="K162" s="748" t="s">
        <v>2287</v>
      </c>
      <c r="O162" s="748" t="str">
        <f>'Part I-Project Information'!O133</f>
        <v>No</v>
      </c>
    </row>
    <row r="163" spans="1:16" ht="13.15" customHeight="1">
      <c r="C163" s="748" t="s">
        <v>4064</v>
      </c>
      <c r="H163" s="748" t="str">
        <f>'Part I-Project Information'!H134</f>
        <v>No</v>
      </c>
    </row>
    <row r="164" spans="1:16" ht="6" customHeight="1"/>
    <row r="165" spans="1:16" ht="13.15" customHeight="1">
      <c r="A165" s="748" t="s">
        <v>466</v>
      </c>
      <c r="C165" s="748" t="s">
        <v>1836</v>
      </c>
    </row>
    <row r="166" spans="1:16" ht="1.9" customHeight="1"/>
    <row r="167" spans="1:16" ht="13.15" customHeight="1">
      <c r="B167" s="748" t="s">
        <v>3060</v>
      </c>
      <c r="C167" s="748" t="s">
        <v>2865</v>
      </c>
    </row>
    <row r="168" spans="1:16" ht="12.6" customHeight="1">
      <c r="C168" s="748" t="s">
        <v>2279</v>
      </c>
      <c r="K168" s="748" t="str">
        <f>'Part I-Project Information'!K139</f>
        <v>No</v>
      </c>
    </row>
    <row r="169" spans="1:16" ht="12.6" customHeight="1">
      <c r="C169" s="748" t="s">
        <v>950</v>
      </c>
      <c r="K169" s="748">
        <f>'Part I-Project Information'!K140</f>
        <v>0</v>
      </c>
      <c r="L169" s="748" t="s">
        <v>2827</v>
      </c>
      <c r="P169" s="748">
        <f>IF('Part VI-Revenues &amp; Expenses'!$M$61=0,0,$K169/'Part VI-Revenues &amp; Expenses'!$M$61)</f>
        <v>0</v>
      </c>
    </row>
    <row r="170" spans="1:16" ht="12.6" customHeight="1">
      <c r="C170" s="748" t="s">
        <v>3274</v>
      </c>
      <c r="K170" s="748">
        <f>'Part I-Project Information'!K141</f>
        <v>0</v>
      </c>
      <c r="L170" s="748" t="s">
        <v>2827</v>
      </c>
      <c r="P170" s="748">
        <f>IF('Part VI-Revenues &amp; Expenses'!$M$61=0,0,$K170/'Part VI-Revenues &amp; Expenses'!$M$61)</f>
        <v>0</v>
      </c>
    </row>
    <row r="171" spans="1:16" ht="12.6" customHeight="1">
      <c r="C171" s="748" t="s">
        <v>2828</v>
      </c>
      <c r="E171" s="748">
        <f>'Part I-Project Information'!E142</f>
        <v>0</v>
      </c>
      <c r="L171" s="748" t="s">
        <v>2829</v>
      </c>
      <c r="M171" s="748">
        <f>'Part I-Project Information'!M142</f>
        <v>0</v>
      </c>
    </row>
    <row r="172" spans="1:16" ht="12.6" customHeight="1">
      <c r="C172" s="748" t="s">
        <v>2830</v>
      </c>
      <c r="E172" s="748">
        <f>'Part I-Project Information'!E143</f>
        <v>0</v>
      </c>
      <c r="L172" s="748" t="s">
        <v>2832</v>
      </c>
      <c r="M172" s="748">
        <f>'Part I-Project Information'!M143</f>
        <v>0</v>
      </c>
    </row>
    <row r="173" spans="1:16" ht="12.6" customHeight="1">
      <c r="C173" s="748" t="s">
        <v>954</v>
      </c>
      <c r="E173" s="748">
        <f>'Part I-Project Information'!E144</f>
        <v>0</v>
      </c>
      <c r="I173" s="748" t="s">
        <v>3354</v>
      </c>
      <c r="J173" s="748">
        <f>'Part I-Project Information'!J144</f>
        <v>0</v>
      </c>
      <c r="L173" s="748" t="s">
        <v>2835</v>
      </c>
      <c r="M173" s="748">
        <f>'Part I-Project Information'!M144</f>
        <v>0</v>
      </c>
    </row>
    <row r="174" spans="1:16" ht="12.6" customHeight="1">
      <c r="C174" s="748" t="s">
        <v>2833</v>
      </c>
      <c r="E174" s="748">
        <f>'Part I-Project Information'!E145</f>
        <v>0</v>
      </c>
      <c r="H174" s="748" t="s">
        <v>2834</v>
      </c>
      <c r="I174" s="748">
        <f>'Part I-Project Information'!I145</f>
        <v>0</v>
      </c>
      <c r="L174" s="748" t="s">
        <v>3056</v>
      </c>
      <c r="M174" s="748">
        <f>'Part I-Project Information'!M145</f>
        <v>0</v>
      </c>
    </row>
    <row r="175" spans="1:16" ht="1.9" customHeight="1"/>
    <row r="176" spans="1:16" ht="12.6" customHeight="1">
      <c r="B176" s="748" t="s">
        <v>3063</v>
      </c>
      <c r="C176" s="748" t="s">
        <v>2373</v>
      </c>
      <c r="I176" s="748" t="str">
        <f>'Part I-Project Information'!I147</f>
        <v>No</v>
      </c>
      <c r="J176" s="748" t="s">
        <v>1254</v>
      </c>
      <c r="L176" s="748">
        <f>'Part I-Project Information'!L147</f>
        <v>0</v>
      </c>
      <c r="M176" s="748" t="s">
        <v>3471</v>
      </c>
      <c r="P176" s="748">
        <f>'Part I-Project Information'!P147</f>
        <v>0</v>
      </c>
    </row>
    <row r="177" spans="2:16" ht="1.9" customHeight="1"/>
    <row r="178" spans="2:16" ht="12.6" customHeight="1">
      <c r="B178" s="748" t="s">
        <v>1239</v>
      </c>
      <c r="C178" s="748" t="s">
        <v>2786</v>
      </c>
      <c r="I178" s="748" t="str">
        <f>'Part I-Project Information'!I149</f>
        <v>No</v>
      </c>
    </row>
    <row r="179" spans="2:16" ht="1.9" customHeight="1"/>
    <row r="180" spans="2:16" ht="12.6" customHeight="1">
      <c r="B180" s="748" t="s">
        <v>3212</v>
      </c>
      <c r="C180" s="748" t="s">
        <v>3055</v>
      </c>
      <c r="I180" s="748" t="str">
        <f>'Part I-Project Information'!I151</f>
        <v>No</v>
      </c>
    </row>
    <row r="181" spans="2:16" ht="12.6" customHeight="1">
      <c r="C181" s="748" t="s">
        <v>2210</v>
      </c>
      <c r="I181" s="748">
        <f>'Part I-Project Information'!I152</f>
        <v>0</v>
      </c>
    </row>
    <row r="182" spans="2:16" ht="12.6" customHeight="1">
      <c r="C182" s="748" t="s">
        <v>1380</v>
      </c>
      <c r="I182" s="748">
        <f>'Part I-Project Information'!I153</f>
        <v>0</v>
      </c>
    </row>
    <row r="183" spans="2:16" ht="12.6" customHeight="1">
      <c r="C183" s="748" t="s">
        <v>2823</v>
      </c>
      <c r="I183" s="748" t="e">
        <f>IF(I181="","",I182/I181)</f>
        <v>#DIV/0!</v>
      </c>
    </row>
    <row r="184" spans="2:16" ht="1.9" customHeight="1"/>
    <row r="185" spans="2:16" ht="13.15" customHeight="1">
      <c r="B185" s="748" t="s">
        <v>2763</v>
      </c>
      <c r="C185" s="748" t="s">
        <v>2374</v>
      </c>
    </row>
    <row r="186" spans="2:16" ht="12.6" customHeight="1">
      <c r="C186" s="748" t="s">
        <v>3328</v>
      </c>
      <c r="I186" s="748">
        <f>'Part I-Project Information'!I157</f>
        <v>0</v>
      </c>
      <c r="L186" s="748" t="s">
        <v>3327</v>
      </c>
      <c r="P186" s="748">
        <f>'Part I-Project Information'!P157</f>
        <v>0</v>
      </c>
    </row>
    <row r="187" spans="2:16" ht="12.6" customHeight="1">
      <c r="C187" s="748" t="s">
        <v>3330</v>
      </c>
      <c r="I187" s="748">
        <f>'Part I-Project Information'!I158</f>
        <v>0</v>
      </c>
      <c r="L187" s="748" t="s">
        <v>2376</v>
      </c>
      <c r="P187" s="748">
        <f>'Part I-Project Information'!P158</f>
        <v>0</v>
      </c>
    </row>
    <row r="188" spans="2:16" ht="12.6" customHeight="1">
      <c r="C188" s="748" t="s">
        <v>1980</v>
      </c>
      <c r="I188" s="748">
        <f>'Part I-Project Information'!I159</f>
        <v>0</v>
      </c>
      <c r="L188" s="748" t="s">
        <v>2545</v>
      </c>
      <c r="P188" s="748">
        <f>'Part I-Project Information'!P159</f>
        <v>0</v>
      </c>
    </row>
    <row r="189" spans="2:16" ht="12.6" customHeight="1">
      <c r="C189" s="748" t="s">
        <v>2375</v>
      </c>
      <c r="I189" s="748">
        <f>'Part I-Project Information'!I160</f>
        <v>0</v>
      </c>
      <c r="L189" s="748" t="s">
        <v>2290</v>
      </c>
      <c r="P189" s="748">
        <f>'Part I-Project Information'!P160</f>
        <v>0</v>
      </c>
    </row>
    <row r="190" spans="2:16" ht="12.6" customHeight="1">
      <c r="C190" s="748" t="s">
        <v>2377</v>
      </c>
      <c r="I190" s="748">
        <f>'Part I-Project Information'!I161</f>
        <v>0</v>
      </c>
    </row>
    <row r="191" spans="2:16" ht="12.6" customHeight="1">
      <c r="C191" s="748" t="s">
        <v>2845</v>
      </c>
      <c r="I191" s="748">
        <f>'Part I-Project Information'!I162</f>
        <v>0</v>
      </c>
      <c r="J191" s="748" t="s">
        <v>3374</v>
      </c>
      <c r="O191" s="748">
        <f>'Part I-Project Information'!O162</f>
        <v>0</v>
      </c>
    </row>
    <row r="192" spans="2:16" ht="12.6" customHeight="1">
      <c r="C192" s="748" t="s">
        <v>3410</v>
      </c>
      <c r="E192" s="748">
        <f>'Part I-Project Information'!E163</f>
        <v>0</v>
      </c>
      <c r="I192" s="748">
        <f>'Part I-Project Information'!I163</f>
        <v>0</v>
      </c>
    </row>
    <row r="193" spans="1:12" ht="1.9" customHeight="1"/>
    <row r="194" spans="1:12" ht="13.15" customHeight="1">
      <c r="B194" s="748" t="s">
        <v>2764</v>
      </c>
      <c r="C194" s="748" t="s">
        <v>1229</v>
      </c>
    </row>
    <row r="195" spans="1:12" ht="12.6" customHeight="1">
      <c r="C195" s="748" t="s">
        <v>976</v>
      </c>
      <c r="I195" s="748">
        <f>'Part I-Project Information'!I166</f>
        <v>0</v>
      </c>
    </row>
    <row r="196" spans="1:12" ht="12.6" customHeight="1">
      <c r="C196" s="748" t="s">
        <v>368</v>
      </c>
      <c r="I196" s="748">
        <f>'Part I-Project Information'!I167</f>
        <v>0</v>
      </c>
    </row>
    <row r="197" spans="1:12" ht="12.6" customHeight="1">
      <c r="C197" s="748" t="s">
        <v>3436</v>
      </c>
      <c r="I197" s="748">
        <f>'Part I-Project Information'!I168</f>
        <v>41487</v>
      </c>
    </row>
    <row r="198" spans="1:12" ht="1.9" customHeight="1"/>
    <row r="199" spans="1:12" ht="12" customHeight="1">
      <c r="A199" s="748" t="s">
        <v>2753</v>
      </c>
      <c r="C199" s="748" t="s">
        <v>880</v>
      </c>
      <c r="K199" s="748" t="s">
        <v>3381</v>
      </c>
      <c r="L199" s="748" t="s">
        <v>89</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2011-043 Calypso, , City of Cairo Development Authority County</v>
      </c>
    </row>
    <row r="206" spans="1:12" ht="12" customHeight="1"/>
    <row r="207" spans="1:12" ht="13.15" customHeight="1">
      <c r="A207" s="748" t="s">
        <v>951</v>
      </c>
      <c r="B207" s="748" t="s">
        <v>2913</v>
      </c>
    </row>
    <row r="208" spans="1:12" ht="8.4499999999999993" customHeight="1"/>
    <row r="209" spans="2:17" ht="12.6" customHeight="1">
      <c r="B209" s="748" t="s">
        <v>3060</v>
      </c>
      <c r="C209" s="748" t="s">
        <v>2909</v>
      </c>
      <c r="H209" s="748" t="str">
        <f>'Part II-Development Team'!H5</f>
        <v>Calypso, Ltd</v>
      </c>
      <c r="O209" s="748" t="s">
        <v>3067</v>
      </c>
      <c r="Q209" s="748" t="str">
        <f>'Part II-Development Team'!Q5</f>
        <v>Wallace Davis</v>
      </c>
    </row>
    <row r="210" spans="2:17" ht="12.6" customHeight="1">
      <c r="E210" s="748" t="s">
        <v>1642</v>
      </c>
      <c r="H210" s="748" t="str">
        <f>'Part II-Development Team'!H6</f>
        <v>600 Azalea Road</v>
      </c>
      <c r="O210" s="748" t="s">
        <v>2776</v>
      </c>
      <c r="Q210" s="748" t="str">
        <f>'Part II-Development Team'!Q6</f>
        <v>President/CEO</v>
      </c>
    </row>
    <row r="211" spans="2:17" ht="12.6" customHeight="1">
      <c r="E211" s="748" t="s">
        <v>954</v>
      </c>
      <c r="H211" s="748" t="str">
        <f>'Part II-Development Team'!H7</f>
        <v>Mobile</v>
      </c>
      <c r="K211" s="748" t="s">
        <v>1255</v>
      </c>
      <c r="L211" s="748">
        <f>'Part II-Development Team'!L7</f>
        <v>0</v>
      </c>
      <c r="O211" s="748" t="s">
        <v>2835</v>
      </c>
      <c r="Q211" s="748">
        <f>'Part II-Development Team'!Q7</f>
        <v>0</v>
      </c>
    </row>
    <row r="212" spans="2:17" ht="12.6" customHeight="1">
      <c r="E212" s="748" t="s">
        <v>2831</v>
      </c>
      <c r="H212" s="748" t="str">
        <f>'Part II-Development Team'!H8</f>
        <v>AL</v>
      </c>
      <c r="I212" s="748" t="s">
        <v>4065</v>
      </c>
      <c r="J212" s="748">
        <f>'Part II-Development Team'!J8</f>
        <v>366091528</v>
      </c>
      <c r="L212" s="748" t="s">
        <v>4066</v>
      </c>
      <c r="N212" s="748">
        <f>'Part II-Development Team'!N8</f>
        <v>1</v>
      </c>
      <c r="O212" s="748" t="s">
        <v>3056</v>
      </c>
      <c r="Q212" s="748">
        <f>'Part II-Development Team'!Q8</f>
        <v>0</v>
      </c>
    </row>
    <row r="213" spans="2:17" ht="12.6" customHeight="1">
      <c r="E213" s="748" t="s">
        <v>3062</v>
      </c>
      <c r="H213" s="748">
        <f>'Part II-Development Team'!H9</f>
        <v>8008594431</v>
      </c>
      <c r="J213" s="748">
        <f>'Part II-Development Team'!J9</f>
        <v>0</v>
      </c>
      <c r="K213" s="748" t="s">
        <v>2834</v>
      </c>
      <c r="L213" s="748">
        <f>'Part II-Development Team'!L9</f>
        <v>2516662836</v>
      </c>
      <c r="N213" s="748" t="s">
        <v>3061</v>
      </c>
      <c r="O213" s="748" t="str">
        <f>'Part II-Development Team'!O9</f>
        <v>wdavis@voase.org</v>
      </c>
    </row>
    <row r="214" spans="2:17" ht="13.15" customHeight="1">
      <c r="E214" s="748" t="s">
        <v>998</v>
      </c>
      <c r="L214" s="748" t="s">
        <v>1215</v>
      </c>
    </row>
    <row r="215" spans="2:17" ht="4.1500000000000004" customHeight="1"/>
    <row r="216" spans="2:17" ht="13.15" customHeight="1">
      <c r="B216" s="748" t="s">
        <v>3063</v>
      </c>
      <c r="C216" s="748" t="s">
        <v>2910</v>
      </c>
      <c r="L216" s="748" t="s">
        <v>1972</v>
      </c>
      <c r="O216" s="748" t="s">
        <v>1973</v>
      </c>
    </row>
    <row r="217" spans="2:17" ht="4.1500000000000004" customHeight="1"/>
    <row r="218" spans="2:17" ht="13.15" customHeight="1">
      <c r="C218" s="748" t="s">
        <v>3064</v>
      </c>
      <c r="D218" s="748" t="s">
        <v>3065</v>
      </c>
      <c r="L218" s="748" t="s">
        <v>1976</v>
      </c>
      <c r="O218" s="748" t="s">
        <v>1971</v>
      </c>
    </row>
    <row r="219" spans="2:17" ht="4.1500000000000004" customHeight="1"/>
    <row r="220" spans="2:17" ht="12.6" customHeight="1">
      <c r="D220" s="748" t="s">
        <v>3213</v>
      </c>
      <c r="E220" s="748" t="s">
        <v>2911</v>
      </c>
      <c r="H220" s="748" t="str">
        <f>'Part II-Development Team'!H16</f>
        <v>New Calypso GP, Inc.</v>
      </c>
      <c r="O220" s="748" t="s">
        <v>3067</v>
      </c>
      <c r="Q220" s="748" t="str">
        <f>'Part II-Development Team'!Q16</f>
        <v>Wallace Davis</v>
      </c>
    </row>
    <row r="221" spans="2:17" ht="12.6" customHeight="1">
      <c r="E221" s="748" t="s">
        <v>1642</v>
      </c>
      <c r="H221" s="748" t="str">
        <f>'Part II-Development Team'!H17</f>
        <v>600 Azalea Road</v>
      </c>
      <c r="O221" s="748" t="s">
        <v>2776</v>
      </c>
      <c r="Q221" s="748" t="str">
        <f>'Part II-Development Team'!Q17</f>
        <v>President/CEO</v>
      </c>
    </row>
    <row r="222" spans="2:17" ht="12.6" customHeight="1">
      <c r="E222" s="748" t="s">
        <v>954</v>
      </c>
      <c r="H222" s="748" t="str">
        <f>'Part II-Development Team'!H18</f>
        <v>Mobile</v>
      </c>
      <c r="O222" s="748" t="s">
        <v>2835</v>
      </c>
      <c r="Q222" s="748">
        <f>'Part II-Development Team'!Q18</f>
        <v>0</v>
      </c>
    </row>
    <row r="223" spans="2:17" ht="12.6" customHeight="1">
      <c r="E223" s="748" t="s">
        <v>2831</v>
      </c>
      <c r="H223" s="748" t="str">
        <f>'Part II-Development Team'!H19</f>
        <v>AL</v>
      </c>
      <c r="I223" s="748" t="s">
        <v>4065</v>
      </c>
      <c r="J223" s="748">
        <f>'Part II-Development Team'!J19</f>
        <v>366091528</v>
      </c>
      <c r="L223" s="748" t="s">
        <v>4066</v>
      </c>
      <c r="N223" s="748">
        <f>'Part II-Development Team'!N19</f>
        <v>1</v>
      </c>
      <c r="O223" s="748" t="s">
        <v>3056</v>
      </c>
      <c r="Q223" s="748">
        <f>'Part II-Development Team'!Q19</f>
        <v>0</v>
      </c>
    </row>
    <row r="224" spans="2:17" ht="12.6" customHeight="1">
      <c r="E224" s="748" t="s">
        <v>3062</v>
      </c>
      <c r="H224" s="748">
        <f>'Part II-Development Team'!H20</f>
        <v>8008594431</v>
      </c>
      <c r="J224" s="748">
        <f>'Part II-Development Team'!J20</f>
        <v>0</v>
      </c>
      <c r="K224" s="748" t="s">
        <v>2834</v>
      </c>
      <c r="L224" s="748">
        <f>'Part II-Development Team'!L20</f>
        <v>2516662836</v>
      </c>
      <c r="N224" s="748" t="s">
        <v>3061</v>
      </c>
      <c r="O224" s="748" t="str">
        <f>'Part II-Development Team'!O20</f>
        <v>wdavis@voase.org</v>
      </c>
    </row>
    <row r="225" spans="3:17" ht="4.1500000000000004" customHeight="1"/>
    <row r="226" spans="3:17" ht="12.6" customHeight="1">
      <c r="D226" s="748" t="s">
        <v>3214</v>
      </c>
      <c r="E226" s="748" t="s">
        <v>2912</v>
      </c>
      <c r="H226" s="748" t="str">
        <f>'Part II-Development Team'!H22</f>
        <v>Van Dyke &amp; Company</v>
      </c>
      <c r="O226" s="748" t="s">
        <v>3067</v>
      </c>
      <c r="Q226" s="748" t="str">
        <f>'Part II-Development Team'!Q22</f>
        <v>Judy Van Dyke</v>
      </c>
    </row>
    <row r="227" spans="3:17" ht="12.6" customHeight="1">
      <c r="E227" s="748" t="s">
        <v>1642</v>
      </c>
      <c r="H227" s="748" t="str">
        <f>'Part II-Development Team'!H23</f>
        <v>730 N. Dean Road, Suite 100</v>
      </c>
      <c r="O227" s="748" t="s">
        <v>2776</v>
      </c>
      <c r="Q227" s="748" t="str">
        <f>'Part II-Development Team'!Q23</f>
        <v>Principal</v>
      </c>
    </row>
    <row r="228" spans="3:17" ht="12.6" customHeight="1">
      <c r="E228" s="748" t="s">
        <v>954</v>
      </c>
      <c r="H228" s="748" t="str">
        <f>'Part II-Development Team'!H24</f>
        <v>Auburn</v>
      </c>
      <c r="O228" s="748" t="s">
        <v>2835</v>
      </c>
      <c r="Q228" s="748">
        <f>'Part II-Development Team'!Q24</f>
        <v>0</v>
      </c>
    </row>
    <row r="229" spans="3:17" ht="12.6" customHeight="1">
      <c r="E229" s="748" t="s">
        <v>2831</v>
      </c>
      <c r="H229" s="748" t="str">
        <f>'Part II-Development Team'!H25</f>
        <v>AL</v>
      </c>
      <c r="I229" s="748" t="s">
        <v>3354</v>
      </c>
      <c r="J229" s="748">
        <f>'Part II-Development Team'!J25</f>
        <v>366091528</v>
      </c>
      <c r="O229" s="748" t="s">
        <v>3056</v>
      </c>
      <c r="Q229" s="748">
        <f>'Part II-Development Team'!Q25</f>
        <v>0</v>
      </c>
    </row>
    <row r="230" spans="3:17" ht="12.6" customHeight="1">
      <c r="E230" s="748" t="s">
        <v>3062</v>
      </c>
      <c r="H230" s="748">
        <f>'Part II-Development Team'!H26</f>
        <v>3343210529</v>
      </c>
      <c r="J230" s="748">
        <f>'Part II-Development Team'!J26</f>
        <v>0</v>
      </c>
      <c r="K230" s="748" t="s">
        <v>2834</v>
      </c>
      <c r="L230" s="748">
        <f>'Part II-Development Team'!L26</f>
        <v>3345027636</v>
      </c>
      <c r="N230" s="748" t="s">
        <v>3061</v>
      </c>
      <c r="O230" s="748" t="str">
        <f>'Part II-Development Team'!O26</f>
        <v>judy@thebennettgrp.net</v>
      </c>
    </row>
    <row r="231" spans="3:17" ht="4.1500000000000004" customHeight="1"/>
    <row r="232" spans="3:17" ht="12.6" customHeight="1">
      <c r="D232" s="748" t="s">
        <v>2762</v>
      </c>
      <c r="E232" s="748" t="s">
        <v>2912</v>
      </c>
      <c r="H232" s="748">
        <f>'Part II-Development Team'!H28</f>
        <v>0</v>
      </c>
      <c r="O232" s="748" t="s">
        <v>3067</v>
      </c>
      <c r="Q232" s="748">
        <f>'Part II-Development Team'!Q28</f>
        <v>0</v>
      </c>
    </row>
    <row r="233" spans="3:17" ht="12.6" customHeight="1">
      <c r="E233" s="748" t="s">
        <v>1642</v>
      </c>
      <c r="H233" s="748">
        <f>'Part II-Development Team'!H29</f>
        <v>0</v>
      </c>
      <c r="O233" s="748" t="s">
        <v>2776</v>
      </c>
      <c r="Q233" s="748">
        <f>'Part II-Development Team'!Q29</f>
        <v>0</v>
      </c>
    </row>
    <row r="234" spans="3:17" ht="12.6" customHeight="1">
      <c r="E234" s="748" t="s">
        <v>954</v>
      </c>
      <c r="H234" s="748">
        <f>'Part II-Development Team'!H30</f>
        <v>0</v>
      </c>
      <c r="O234" s="748" t="s">
        <v>2835</v>
      </c>
      <c r="Q234" s="748">
        <f>'Part II-Development Team'!Q30</f>
        <v>0</v>
      </c>
    </row>
    <row r="235" spans="3:17" ht="12.6" customHeight="1">
      <c r="E235" s="748" t="s">
        <v>2831</v>
      </c>
      <c r="H235" s="748">
        <f>'Part II-Development Team'!H31</f>
        <v>0</v>
      </c>
      <c r="I235" s="748" t="s">
        <v>3354</v>
      </c>
      <c r="J235" s="748">
        <f>'Part II-Development Team'!J31</f>
        <v>0</v>
      </c>
      <c r="O235" s="748" t="s">
        <v>3056</v>
      </c>
      <c r="Q235" s="748">
        <f>'Part II-Development Team'!Q31</f>
        <v>0</v>
      </c>
    </row>
    <row r="236" spans="3:17" ht="12.6" customHeight="1">
      <c r="E236" s="748" t="s">
        <v>3062</v>
      </c>
      <c r="H236" s="748">
        <f>'Part II-Development Team'!H32</f>
        <v>0</v>
      </c>
      <c r="J236" s="748">
        <f>'Part II-Development Team'!J32</f>
        <v>0</v>
      </c>
      <c r="K236" s="748" t="s">
        <v>2834</v>
      </c>
      <c r="L236" s="748">
        <f>'Part II-Development Team'!L32</f>
        <v>0</v>
      </c>
      <c r="N236" s="748" t="s">
        <v>3061</v>
      </c>
      <c r="O236" s="748">
        <f>'Part II-Development Team'!O32</f>
        <v>0</v>
      </c>
    </row>
    <row r="237" spans="3:17" ht="4.1500000000000004" customHeight="1"/>
    <row r="238" spans="3:17" ht="13.15" customHeight="1">
      <c r="C238" s="748" t="s">
        <v>3066</v>
      </c>
      <c r="D238" s="748" t="s">
        <v>2914</v>
      </c>
    </row>
    <row r="239" spans="3:17" ht="4.1500000000000004" customHeight="1"/>
    <row r="240" spans="3:17" ht="12.6" customHeight="1">
      <c r="D240" s="748" t="s">
        <v>3213</v>
      </c>
      <c r="E240" s="748" t="s">
        <v>1240</v>
      </c>
      <c r="H240" s="748" t="str">
        <f>'Part II-Development Team'!H36</f>
        <v>CAHEC</v>
      </c>
      <c r="O240" s="748" t="s">
        <v>3067</v>
      </c>
      <c r="Q240" s="748" t="str">
        <f>'Part II-Development Team'!Q36</f>
        <v>Yolanda Winstead</v>
      </c>
    </row>
    <row r="241" spans="3:17" ht="12.6" customHeight="1">
      <c r="E241" s="748" t="s">
        <v>1642</v>
      </c>
      <c r="H241" s="748" t="str">
        <f>'Part II-Development Team'!H37</f>
        <v>7700 Falls of Neuse Road, Suite 700</v>
      </c>
      <c r="O241" s="748" t="s">
        <v>2776</v>
      </c>
      <c r="Q241" s="748" t="str">
        <f>'Part II-Development Team'!Q37</f>
        <v>Senior Acquisitions Manager</v>
      </c>
    </row>
    <row r="242" spans="3:17" ht="12.6" customHeight="1">
      <c r="E242" s="748" t="s">
        <v>954</v>
      </c>
      <c r="H242" s="748" t="str">
        <f>'Part II-Development Team'!H38</f>
        <v>Raliegh</v>
      </c>
      <c r="O242" s="748" t="s">
        <v>2835</v>
      </c>
      <c r="Q242" s="748">
        <f>'Part II-Development Team'!Q38</f>
        <v>9197881815</v>
      </c>
    </row>
    <row r="243" spans="3:17" ht="12.6" customHeight="1">
      <c r="E243" s="748" t="s">
        <v>2831</v>
      </c>
      <c r="H243" s="748" t="str">
        <f>'Part II-Development Team'!H39</f>
        <v>NC</v>
      </c>
      <c r="I243" s="748" t="s">
        <v>3354</v>
      </c>
      <c r="J243" s="748">
        <f>'Part II-Development Team'!J39</f>
        <v>276150000</v>
      </c>
      <c r="O243" s="748" t="s">
        <v>3056</v>
      </c>
      <c r="Q243" s="748">
        <f>'Part II-Development Team'!Q39</f>
        <v>0</v>
      </c>
    </row>
    <row r="244" spans="3:17" ht="12.6" customHeight="1">
      <c r="E244" s="748" t="s">
        <v>3062</v>
      </c>
      <c r="H244" s="748">
        <f>'Part II-Development Team'!H40</f>
        <v>9194300063</v>
      </c>
      <c r="J244" s="748">
        <f>'Part II-Development Team'!J40</f>
        <v>211</v>
      </c>
      <c r="K244" s="748" t="s">
        <v>2834</v>
      </c>
      <c r="L244" s="748">
        <f>'Part II-Development Team'!L40</f>
        <v>9195321815</v>
      </c>
      <c r="N244" s="748" t="s">
        <v>3061</v>
      </c>
      <c r="O244" s="748" t="str">
        <f>'Part II-Development Team'!O40</f>
        <v xml:space="preserve"> ywinstead@cahec.com</v>
      </c>
    </row>
    <row r="245" spans="3:17" ht="4.1500000000000004" customHeight="1"/>
    <row r="246" spans="3:17" ht="12.6" customHeight="1">
      <c r="D246" s="748" t="s">
        <v>3214</v>
      </c>
      <c r="E246" s="748" t="s">
        <v>1241</v>
      </c>
      <c r="H246" s="748" t="str">
        <f>'Part II-Development Team'!H42</f>
        <v>Sugar Creek Realty</v>
      </c>
      <c r="O246" s="748" t="s">
        <v>3067</v>
      </c>
      <c r="Q246" s="748" t="str">
        <f>'Part II-Development Team'!Q42</f>
        <v>Chris Hite</v>
      </c>
    </row>
    <row r="247" spans="3:17" ht="12.6" customHeight="1">
      <c r="E247" s="748" t="s">
        <v>1642</v>
      </c>
      <c r="H247" s="748" t="str">
        <f>'Part II-Development Team'!H43</f>
        <v xml:space="preserve"> 17 West Lockwood Ave</v>
      </c>
      <c r="O247" s="748" t="s">
        <v>2776</v>
      </c>
      <c r="Q247" s="748" t="str">
        <f>'Part II-Development Team'!Q43</f>
        <v>Director of State Tax Credits</v>
      </c>
    </row>
    <row r="248" spans="3:17" ht="12.6" customHeight="1">
      <c r="E248" s="748" t="s">
        <v>954</v>
      </c>
      <c r="H248" s="748" t="str">
        <f>'Part II-Development Team'!H44</f>
        <v>St. Louis</v>
      </c>
      <c r="O248" s="748" t="s">
        <v>2835</v>
      </c>
      <c r="Q248" s="748">
        <f>'Part II-Development Team'!Q44</f>
        <v>3149682205</v>
      </c>
    </row>
    <row r="249" spans="3:17" ht="12.6" customHeight="1">
      <c r="E249" s="748" t="s">
        <v>2831</v>
      </c>
      <c r="H249" s="748" t="str">
        <f>'Part II-Development Team'!H45</f>
        <v>MO</v>
      </c>
      <c r="I249" s="748" t="s">
        <v>3354</v>
      </c>
      <c r="J249" s="748">
        <f>'Part II-Development Team'!J45</f>
        <v>631190000</v>
      </c>
      <c r="O249" s="748" t="s">
        <v>3056</v>
      </c>
      <c r="Q249" s="748">
        <f>'Part II-Development Team'!Q45</f>
        <v>0</v>
      </c>
    </row>
    <row r="250" spans="3:17" ht="12.6" customHeight="1">
      <c r="E250" s="748" t="s">
        <v>3062</v>
      </c>
      <c r="H250" s="748">
        <f>'Part II-Development Team'!H46</f>
        <v>3149682205</v>
      </c>
      <c r="J250" s="748">
        <f>'Part II-Development Team'!J46</f>
        <v>158</v>
      </c>
      <c r="K250" s="748" t="s">
        <v>2834</v>
      </c>
      <c r="L250" s="748">
        <f>'Part II-Development Team'!L46</f>
        <v>0</v>
      </c>
      <c r="N250" s="748" t="s">
        <v>3061</v>
      </c>
      <c r="O250" s="748" t="str">
        <f>'Part II-Development Team'!O46</f>
        <v xml:space="preserve"> chite@sugarcreekrealtyllc.com</v>
      </c>
    </row>
    <row r="251" spans="3:17" ht="4.1500000000000004" customHeight="1"/>
    <row r="252" spans="3:17" ht="13.15" customHeight="1">
      <c r="C252" s="748" t="s">
        <v>3823</v>
      </c>
      <c r="D252" s="748" t="s">
        <v>995</v>
      </c>
    </row>
    <row r="253" spans="3:17" ht="4.1500000000000004" customHeight="1"/>
    <row r="254" spans="3:17" ht="12.6" customHeight="1">
      <c r="E254" s="748" t="s">
        <v>103</v>
      </c>
      <c r="H254" s="748" t="str">
        <f>'Part II-Development Team'!H50</f>
        <v>Volunteers of America Southeast</v>
      </c>
      <c r="O254" s="748" t="s">
        <v>3067</v>
      </c>
      <c r="Q254" s="748" t="str">
        <f>'Part II-Development Team'!Q50</f>
        <v>Wallace Davis</v>
      </c>
    </row>
    <row r="255" spans="3:17" ht="12.6" customHeight="1">
      <c r="E255" s="748" t="s">
        <v>1642</v>
      </c>
      <c r="H255" s="748" t="str">
        <f>'Part II-Development Team'!H51</f>
        <v>600 Azalea Road</v>
      </c>
      <c r="O255" s="748" t="s">
        <v>2776</v>
      </c>
      <c r="Q255" s="748" t="str">
        <f>'Part II-Development Team'!Q51</f>
        <v>President/CEO</v>
      </c>
    </row>
    <row r="256" spans="3:17" ht="12.6" customHeight="1">
      <c r="E256" s="748" t="s">
        <v>954</v>
      </c>
      <c r="H256" s="748" t="str">
        <f>'Part II-Development Team'!H52</f>
        <v>Mobile</v>
      </c>
      <c r="O256" s="748" t="s">
        <v>2835</v>
      </c>
      <c r="Q256" s="748">
        <f>'Part II-Development Team'!Q52</f>
        <v>0</v>
      </c>
    </row>
    <row r="257" spans="1:17" ht="12.6" customHeight="1">
      <c r="E257" s="748" t="s">
        <v>2831</v>
      </c>
      <c r="H257" s="748" t="str">
        <f>'Part II-Development Team'!H53</f>
        <v>AL</v>
      </c>
      <c r="I257" s="748" t="s">
        <v>3354</v>
      </c>
      <c r="J257" s="748">
        <f>'Part II-Development Team'!J53</f>
        <v>366091528</v>
      </c>
      <c r="O257" s="748" t="s">
        <v>3056</v>
      </c>
      <c r="Q257" s="748">
        <f>'Part II-Development Team'!Q53</f>
        <v>0</v>
      </c>
    </row>
    <row r="258" spans="1:17" ht="12.6" customHeight="1">
      <c r="E258" s="748" t="s">
        <v>3062</v>
      </c>
      <c r="H258" s="748">
        <f>'Part II-Development Team'!H54</f>
        <v>8008594431</v>
      </c>
      <c r="J258" s="748">
        <f>'Part II-Development Team'!J54</f>
        <v>0</v>
      </c>
      <c r="K258" s="748" t="s">
        <v>2834</v>
      </c>
      <c r="L258" s="748">
        <f>'Part II-Development Team'!L54</f>
        <v>2516662836</v>
      </c>
      <c r="N258" s="748" t="s">
        <v>3061</v>
      </c>
      <c r="O258" s="748" t="str">
        <f>'Part II-Development Team'!O54</f>
        <v>wdavis@voase.org</v>
      </c>
    </row>
    <row r="259" spans="1:17" ht="13.15" customHeight="1"/>
    <row r="260" spans="1:17" ht="13.15" customHeight="1">
      <c r="A260" s="748" t="s">
        <v>1230</v>
      </c>
      <c r="B260" s="748" t="s">
        <v>996</v>
      </c>
    </row>
    <row r="261" spans="1:17" ht="9" customHeight="1"/>
    <row r="262" spans="1:17" ht="13.15" customHeight="1">
      <c r="B262" s="748" t="s">
        <v>3060</v>
      </c>
      <c r="C262" s="748" t="s">
        <v>376</v>
      </c>
      <c r="H262" s="748" t="str">
        <f>'Part II-Development Team'!H58</f>
        <v>Van Dyke &amp; Company</v>
      </c>
      <c r="O262" s="748" t="s">
        <v>3067</v>
      </c>
      <c r="Q262" s="748" t="str">
        <f>'Part II-Development Team'!Q58</f>
        <v>Judy Van Dyke</v>
      </c>
    </row>
    <row r="263" spans="1:17" ht="13.15" customHeight="1">
      <c r="E263" s="748" t="s">
        <v>1642</v>
      </c>
      <c r="H263" s="748" t="str">
        <f>'Part II-Development Team'!H59</f>
        <v>730 N. Dean Road, Suite 100</v>
      </c>
      <c r="O263" s="748" t="s">
        <v>2776</v>
      </c>
      <c r="Q263" s="748" t="str">
        <f>'Part II-Development Team'!Q59</f>
        <v>Principal</v>
      </c>
    </row>
    <row r="264" spans="1:17" ht="13.15" customHeight="1">
      <c r="E264" s="748" t="s">
        <v>954</v>
      </c>
      <c r="H264" s="748" t="str">
        <f>'Part II-Development Team'!H60</f>
        <v>Auburn</v>
      </c>
      <c r="O264" s="748" t="s">
        <v>2835</v>
      </c>
      <c r="Q264" s="748">
        <f>'Part II-Development Team'!Q60</f>
        <v>0</v>
      </c>
    </row>
    <row r="265" spans="1:17" ht="13.15" customHeight="1">
      <c r="E265" s="748" t="s">
        <v>2831</v>
      </c>
      <c r="H265" s="748" t="str">
        <f>'Part II-Development Team'!H61</f>
        <v>AL</v>
      </c>
      <c r="I265" s="748" t="s">
        <v>3354</v>
      </c>
      <c r="J265" s="748">
        <f>'Part II-Development Team'!J61</f>
        <v>368304303</v>
      </c>
      <c r="O265" s="748" t="s">
        <v>3056</v>
      </c>
      <c r="Q265" s="748">
        <f>'Part II-Development Team'!Q61</f>
        <v>0</v>
      </c>
    </row>
    <row r="266" spans="1:17" ht="13.15" customHeight="1">
      <c r="E266" s="748" t="s">
        <v>3062</v>
      </c>
      <c r="H266" s="748">
        <f>'Part II-Development Team'!H62</f>
        <v>3343210529</v>
      </c>
      <c r="J266" s="748">
        <f>'Part II-Development Team'!J62</f>
        <v>0</v>
      </c>
      <c r="K266" s="748" t="s">
        <v>2834</v>
      </c>
      <c r="L266" s="748">
        <f>'Part II-Development Team'!L62</f>
        <v>3345027636</v>
      </c>
      <c r="N266" s="748" t="s">
        <v>3061</v>
      </c>
      <c r="O266" s="748" t="str">
        <f>'Part II-Development Team'!O62</f>
        <v>judy@thebennettgrp.net</v>
      </c>
    </row>
    <row r="267" spans="1:17" ht="6.6" customHeight="1"/>
    <row r="268" spans="1:17" ht="13.15" customHeight="1">
      <c r="B268" s="748" t="s">
        <v>3063</v>
      </c>
      <c r="C268" s="748" t="s">
        <v>377</v>
      </c>
      <c r="H268" s="748" t="str">
        <f>'Part II-Development Team'!H64</f>
        <v>Volunteers of America Southeast</v>
      </c>
      <c r="O268" s="748" t="s">
        <v>3067</v>
      </c>
      <c r="Q268" s="748" t="str">
        <f>'Part II-Development Team'!Q64</f>
        <v>Wallace Davis</v>
      </c>
    </row>
    <row r="269" spans="1:17" ht="13.15" customHeight="1">
      <c r="E269" s="748" t="s">
        <v>1642</v>
      </c>
      <c r="H269" s="748" t="str">
        <f>'Part II-Development Team'!H65</f>
        <v>600 Azalea Road</v>
      </c>
      <c r="O269" s="748" t="s">
        <v>2776</v>
      </c>
      <c r="Q269" s="748" t="str">
        <f>'Part II-Development Team'!Q65</f>
        <v>President/CEO</v>
      </c>
    </row>
    <row r="270" spans="1:17" ht="13.15" customHeight="1">
      <c r="E270" s="748" t="s">
        <v>954</v>
      </c>
      <c r="H270" s="748" t="str">
        <f>'Part II-Development Team'!H66</f>
        <v>Mobile</v>
      </c>
      <c r="O270" s="748" t="s">
        <v>2835</v>
      </c>
      <c r="Q270" s="748">
        <f>'Part II-Development Team'!Q66</f>
        <v>0</v>
      </c>
    </row>
    <row r="271" spans="1:17" ht="13.15" customHeight="1">
      <c r="E271" s="748" t="s">
        <v>2831</v>
      </c>
      <c r="H271" s="748" t="str">
        <f>'Part II-Development Team'!H67</f>
        <v>AL</v>
      </c>
      <c r="I271" s="748" t="s">
        <v>3354</v>
      </c>
      <c r="J271" s="748">
        <f>'Part II-Development Team'!J67</f>
        <v>366091528</v>
      </c>
      <c r="O271" s="748" t="s">
        <v>3056</v>
      </c>
      <c r="Q271" s="748">
        <f>'Part II-Development Team'!Q67</f>
        <v>0</v>
      </c>
    </row>
    <row r="272" spans="1:17" ht="13.15" customHeight="1">
      <c r="E272" s="748" t="s">
        <v>3062</v>
      </c>
      <c r="H272" s="748">
        <f>'Part II-Development Team'!H68</f>
        <v>8008594431</v>
      </c>
      <c r="J272" s="748">
        <f>'Part II-Development Team'!J68</f>
        <v>0</v>
      </c>
      <c r="K272" s="748" t="s">
        <v>2834</v>
      </c>
      <c r="L272" s="748">
        <f>'Part II-Development Team'!L68</f>
        <v>2516662836</v>
      </c>
      <c r="N272" s="748" t="s">
        <v>3061</v>
      </c>
      <c r="O272" s="748" t="str">
        <f>'Part II-Development Team'!O68</f>
        <v>wdavis@voase.org</v>
      </c>
    </row>
    <row r="273" spans="1:17" ht="6.6" customHeight="1"/>
    <row r="274" spans="1:17" ht="13.15" customHeight="1">
      <c r="B274" s="748" t="s">
        <v>1239</v>
      </c>
      <c r="C274" s="748" t="s">
        <v>2280</v>
      </c>
      <c r="H274" s="748" t="str">
        <f>'Part II-Development Team'!H70</f>
        <v>none</v>
      </c>
      <c r="O274" s="748" t="s">
        <v>3067</v>
      </c>
      <c r="Q274" s="748">
        <f>'Part II-Development Team'!Q70</f>
        <v>0</v>
      </c>
    </row>
    <row r="275" spans="1:17" ht="13.15" customHeight="1">
      <c r="E275" s="748" t="s">
        <v>1642</v>
      </c>
      <c r="H275" s="748">
        <f>'Part II-Development Team'!H71</f>
        <v>0</v>
      </c>
      <c r="O275" s="748" t="s">
        <v>2776</v>
      </c>
      <c r="Q275" s="748">
        <f>'Part II-Development Team'!Q71</f>
        <v>0</v>
      </c>
    </row>
    <row r="276" spans="1:17" ht="13.15" customHeight="1">
      <c r="E276" s="748" t="s">
        <v>954</v>
      </c>
      <c r="H276" s="748">
        <f>'Part II-Development Team'!H72</f>
        <v>0</v>
      </c>
      <c r="O276" s="748" t="s">
        <v>2835</v>
      </c>
      <c r="Q276" s="748">
        <f>'Part II-Development Team'!Q72</f>
        <v>0</v>
      </c>
    </row>
    <row r="277" spans="1:17" ht="13.15" customHeight="1">
      <c r="E277" s="748" t="s">
        <v>2831</v>
      </c>
      <c r="H277" s="748">
        <f>'Part II-Development Team'!H73</f>
        <v>0</v>
      </c>
      <c r="I277" s="748" t="s">
        <v>3354</v>
      </c>
      <c r="J277" s="748">
        <f>'Part II-Development Team'!J73</f>
        <v>0</v>
      </c>
      <c r="O277" s="748" t="s">
        <v>3056</v>
      </c>
      <c r="Q277" s="748">
        <f>'Part II-Development Team'!Q73</f>
        <v>0</v>
      </c>
    </row>
    <row r="278" spans="1:17" ht="13.15" customHeight="1">
      <c r="E278" s="748" t="s">
        <v>3062</v>
      </c>
      <c r="H278" s="748">
        <f>'Part II-Development Team'!H74</f>
        <v>0</v>
      </c>
      <c r="J278" s="748">
        <f>'Part II-Development Team'!J74</f>
        <v>0</v>
      </c>
      <c r="K278" s="748" t="s">
        <v>2834</v>
      </c>
      <c r="L278" s="748">
        <f>'Part II-Development Team'!L74</f>
        <v>0</v>
      </c>
      <c r="N278" s="748" t="s">
        <v>3061</v>
      </c>
      <c r="O278" s="748">
        <f>'Part II-Development Team'!O74</f>
        <v>0</v>
      </c>
    </row>
    <row r="279" spans="1:17" ht="6.6" customHeight="1"/>
    <row r="280" spans="1:17" ht="13.15" customHeight="1">
      <c r="B280" s="748" t="s">
        <v>3212</v>
      </c>
      <c r="C280" s="748" t="s">
        <v>378</v>
      </c>
      <c r="H280" s="748" t="str">
        <f>'Part II-Development Team'!H76</f>
        <v>Tapestry Development Group, Inc</v>
      </c>
      <c r="O280" s="748" t="s">
        <v>3067</v>
      </c>
      <c r="Q280" s="748" t="str">
        <f>'Part II-Development Team'!Q76</f>
        <v>Richelle Patton</v>
      </c>
    </row>
    <row r="281" spans="1:17" ht="13.15" customHeight="1">
      <c r="E281" s="748" t="s">
        <v>1642</v>
      </c>
      <c r="H281" s="748" t="str">
        <f>'Part II-Development Team'!H77</f>
        <v>2005 Swazey Drive</v>
      </c>
      <c r="O281" s="748" t="s">
        <v>2776</v>
      </c>
      <c r="Q281" s="748" t="str">
        <f>'Part II-Development Team'!Q77</f>
        <v>President</v>
      </c>
    </row>
    <row r="282" spans="1:17" ht="13.15" customHeight="1">
      <c r="E282" s="748" t="s">
        <v>954</v>
      </c>
      <c r="H282" s="748" t="str">
        <f>'Part II-Development Team'!H78</f>
        <v>Decatur</v>
      </c>
      <c r="O282" s="748" t="s">
        <v>2835</v>
      </c>
      <c r="Q282" s="748">
        <f>'Part II-Development Team'!Q78</f>
        <v>0</v>
      </c>
    </row>
    <row r="283" spans="1:17" ht="13.15" customHeight="1">
      <c r="E283" s="748" t="s">
        <v>2831</v>
      </c>
      <c r="H283" s="748" t="str">
        <f>'Part II-Development Team'!H79</f>
        <v>GA</v>
      </c>
      <c r="I283" s="748" t="s">
        <v>3354</v>
      </c>
      <c r="J283" s="748">
        <f>'Part II-Development Team'!J79</f>
        <v>300323909</v>
      </c>
      <c r="O283" s="748" t="s">
        <v>3056</v>
      </c>
      <c r="Q283" s="748">
        <f>'Part II-Development Team'!Q79</f>
        <v>0</v>
      </c>
    </row>
    <row r="284" spans="1:17" ht="13.15" customHeight="1">
      <c r="E284" s="748" t="s">
        <v>3062</v>
      </c>
      <c r="H284" s="748">
        <f>'Part II-Development Team'!H80</f>
        <v>4049976786</v>
      </c>
      <c r="J284" s="748">
        <f>'Part II-Development Team'!J80</f>
        <v>0</v>
      </c>
      <c r="K284" s="748" t="s">
        <v>2834</v>
      </c>
      <c r="L284" s="748">
        <f>'Part II-Development Team'!L80</f>
        <v>4044927187</v>
      </c>
      <c r="N284" s="748" t="s">
        <v>3061</v>
      </c>
      <c r="O284" s="748" t="str">
        <f>'Part II-Development Team'!O80</f>
        <v>richellepatton@tapestrydevelopment.org</v>
      </c>
    </row>
    <row r="285" spans="1:17" ht="13.15" customHeight="1"/>
    <row r="286" spans="1:17" ht="13.15" customHeight="1">
      <c r="A286" s="748" t="s">
        <v>1232</v>
      </c>
      <c r="B286" s="748" t="s">
        <v>379</v>
      </c>
    </row>
    <row r="287" spans="1:17" ht="9" customHeight="1"/>
    <row r="288" spans="1:17" ht="13.15" customHeight="1">
      <c r="B288" s="748" t="s">
        <v>3060</v>
      </c>
      <c r="C288" s="748" t="s">
        <v>380</v>
      </c>
      <c r="H288" s="748" t="str">
        <f>'Part II-Development Team'!H84</f>
        <v>none</v>
      </c>
      <c r="O288" s="748" t="s">
        <v>3067</v>
      </c>
      <c r="Q288" s="748">
        <f>'Part II-Development Team'!Q84</f>
        <v>0</v>
      </c>
    </row>
    <row r="289" spans="2:17" ht="13.15" customHeight="1">
      <c r="E289" s="748" t="s">
        <v>1642</v>
      </c>
      <c r="H289" s="748">
        <f>'Part II-Development Team'!H85</f>
        <v>0</v>
      </c>
      <c r="O289" s="748" t="s">
        <v>2776</v>
      </c>
      <c r="Q289" s="748">
        <f>'Part II-Development Team'!Q85</f>
        <v>0</v>
      </c>
    </row>
    <row r="290" spans="2:17" ht="13.15" customHeight="1">
      <c r="E290" s="748" t="s">
        <v>954</v>
      </c>
      <c r="H290" s="748">
        <f>'Part II-Development Team'!H86</f>
        <v>0</v>
      </c>
      <c r="O290" s="748" t="s">
        <v>2835</v>
      </c>
      <c r="Q290" s="748">
        <f>'Part II-Development Team'!Q86</f>
        <v>0</v>
      </c>
    </row>
    <row r="291" spans="2:17" ht="13.15" customHeight="1">
      <c r="E291" s="748" t="s">
        <v>2831</v>
      </c>
      <c r="H291" s="748">
        <f>'Part II-Development Team'!H87</f>
        <v>0</v>
      </c>
      <c r="I291" s="748" t="s">
        <v>3354</v>
      </c>
      <c r="J291" s="748">
        <f>'Part II-Development Team'!J87</f>
        <v>0</v>
      </c>
      <c r="O291" s="748" t="s">
        <v>3056</v>
      </c>
      <c r="Q291" s="748">
        <f>'Part II-Development Team'!Q87</f>
        <v>0</v>
      </c>
    </row>
    <row r="292" spans="2:17" ht="13.15" customHeight="1">
      <c r="E292" s="748" t="s">
        <v>3062</v>
      </c>
      <c r="H292" s="748">
        <f>'Part II-Development Team'!H88</f>
        <v>0</v>
      </c>
      <c r="J292" s="748">
        <f>'Part II-Development Team'!J88</f>
        <v>0</v>
      </c>
      <c r="K292" s="748" t="s">
        <v>2834</v>
      </c>
      <c r="L292" s="748">
        <f>'Part II-Development Team'!L88</f>
        <v>0</v>
      </c>
      <c r="N292" s="748" t="s">
        <v>3061</v>
      </c>
      <c r="O292" s="748">
        <f>'Part II-Development Team'!O88</f>
        <v>0</v>
      </c>
    </row>
    <row r="293" spans="2:17" ht="6.6" customHeight="1"/>
    <row r="294" spans="2:17" ht="13.15" customHeight="1">
      <c r="B294" s="748" t="s">
        <v>3063</v>
      </c>
      <c r="C294" s="748" t="s">
        <v>381</v>
      </c>
      <c r="H294" s="748" t="str">
        <f>'Part II-Development Team'!H90</f>
        <v>Carter &amp; Carter Construction, LLC</v>
      </c>
      <c r="O294" s="748" t="s">
        <v>3067</v>
      </c>
      <c r="Q294" s="748" t="str">
        <f>'Part II-Development Team'!Q90</f>
        <v>Collin Carter</v>
      </c>
    </row>
    <row r="295" spans="2:17" ht="13.15" customHeight="1">
      <c r="E295" s="748" t="s">
        <v>1642</v>
      </c>
      <c r="H295" s="748" t="str">
        <f>'Part II-Development Team'!H91</f>
        <v>730 N. Dean Road, Suite 200</v>
      </c>
      <c r="O295" s="748" t="s">
        <v>2776</v>
      </c>
      <c r="Q295" s="748" t="str">
        <f>'Part II-Development Team'!Q91</f>
        <v>President</v>
      </c>
    </row>
    <row r="296" spans="2:17" ht="13.15" customHeight="1">
      <c r="E296" s="748" t="s">
        <v>954</v>
      </c>
      <c r="H296" s="748" t="str">
        <f>'Part II-Development Team'!H92</f>
        <v>Auburn</v>
      </c>
      <c r="O296" s="748" t="s">
        <v>2835</v>
      </c>
      <c r="Q296" s="748">
        <f>'Part II-Development Team'!Q92</f>
        <v>3345025411</v>
      </c>
    </row>
    <row r="297" spans="2:17" ht="13.15" customHeight="1">
      <c r="E297" s="748" t="s">
        <v>2831</v>
      </c>
      <c r="H297" s="748" t="str">
        <f>'Part II-Development Team'!H93</f>
        <v>AL</v>
      </c>
      <c r="I297" s="748" t="s">
        <v>3354</v>
      </c>
      <c r="J297" s="748">
        <f>'Part II-Development Team'!J93</f>
        <v>368304303</v>
      </c>
      <c r="O297" s="748" t="s">
        <v>3056</v>
      </c>
      <c r="Q297" s="748">
        <f>'Part II-Development Team'!Q93</f>
        <v>0</v>
      </c>
    </row>
    <row r="298" spans="2:17" ht="13.15" customHeight="1">
      <c r="E298" s="748" t="s">
        <v>3062</v>
      </c>
      <c r="H298" s="748">
        <f>'Part II-Development Team'!H94</f>
        <v>3345025411</v>
      </c>
      <c r="J298" s="748">
        <f>'Part II-Development Team'!J94</f>
        <v>0</v>
      </c>
      <c r="K298" s="748" t="s">
        <v>2834</v>
      </c>
      <c r="L298" s="748">
        <f>'Part II-Development Team'!L94</f>
        <v>3345027649</v>
      </c>
      <c r="N298" s="748" t="s">
        <v>3061</v>
      </c>
      <c r="O298" s="748" t="str">
        <f>'Part II-Development Team'!O94</f>
        <v xml:space="preserve"> ccarter@carter-carter.net</v>
      </c>
    </row>
    <row r="299" spans="2:17" ht="6.6" customHeight="1"/>
    <row r="300" spans="2:17" ht="13.15" customHeight="1">
      <c r="B300" s="748" t="s">
        <v>1239</v>
      </c>
      <c r="C300" s="748" t="s">
        <v>382</v>
      </c>
      <c r="H300" s="748" t="str">
        <f>'Part II-Development Team'!H96</f>
        <v>Hollyhand Management</v>
      </c>
      <c r="O300" s="748" t="s">
        <v>3067</v>
      </c>
      <c r="Q300" s="748" t="str">
        <f>'Part II-Development Team'!Q96</f>
        <v>Brian Hollyhand</v>
      </c>
    </row>
    <row r="301" spans="2:17" ht="13.15" customHeight="1">
      <c r="E301" s="748" t="s">
        <v>1642</v>
      </c>
      <c r="H301" s="748" t="str">
        <f>'Part II-Development Team'!H97</f>
        <v>527B Main Avenue</v>
      </c>
      <c r="O301" s="748" t="s">
        <v>2776</v>
      </c>
      <c r="Q301" s="748" t="str">
        <f>'Part II-Development Team'!Q97</f>
        <v>President</v>
      </c>
    </row>
    <row r="302" spans="2:17" ht="13.15" customHeight="1">
      <c r="E302" s="748" t="s">
        <v>954</v>
      </c>
      <c r="H302" s="748" t="str">
        <f>'Part II-Development Team'!H98</f>
        <v>Northport</v>
      </c>
      <c r="O302" s="748" t="s">
        <v>2835</v>
      </c>
      <c r="Q302" s="748">
        <f>'Part II-Development Team'!Q98</f>
        <v>0</v>
      </c>
    </row>
    <row r="303" spans="2:17" ht="13.15" customHeight="1">
      <c r="E303" s="748" t="s">
        <v>2831</v>
      </c>
      <c r="H303" s="748" t="str">
        <f>'Part II-Development Team'!H99</f>
        <v>AL</v>
      </c>
      <c r="I303" s="748" t="s">
        <v>3354</v>
      </c>
      <c r="J303" s="748">
        <f>'Part II-Development Team'!J99</f>
        <v>354764418</v>
      </c>
      <c r="O303" s="748" t="s">
        <v>3056</v>
      </c>
      <c r="Q303" s="748">
        <f>'Part II-Development Team'!Q99</f>
        <v>0</v>
      </c>
    </row>
    <row r="304" spans="2:17" ht="13.15" customHeight="1">
      <c r="E304" s="748" t="s">
        <v>3062</v>
      </c>
      <c r="H304" s="748">
        <f>'Part II-Development Team'!H100</f>
        <v>2052663667</v>
      </c>
      <c r="J304" s="748">
        <f>'Part II-Development Team'!J100</f>
        <v>0</v>
      </c>
      <c r="K304" s="748" t="s">
        <v>2834</v>
      </c>
      <c r="L304" s="748">
        <f>'Part II-Development Team'!L100</f>
        <v>2053661146</v>
      </c>
      <c r="N304" s="748" t="s">
        <v>3061</v>
      </c>
      <c r="O304" s="748" t="str">
        <f>'Part II-Development Team'!O100</f>
        <v>brian@Hollyhand.com</v>
      </c>
    </row>
    <row r="305" spans="2:17" ht="6.6" customHeight="1"/>
    <row r="306" spans="2:17" ht="13.15" customHeight="1">
      <c r="B306" s="748" t="s">
        <v>3212</v>
      </c>
      <c r="C306" s="748" t="s">
        <v>383</v>
      </c>
      <c r="H306" s="748" t="str">
        <f>'Part II-Development Team'!H102</f>
        <v>Thomas Atkins Roberts Jr</v>
      </c>
      <c r="O306" s="748" t="s">
        <v>3067</v>
      </c>
      <c r="Q306" s="748" t="str">
        <f>'Part II-Development Team'!Q102</f>
        <v>Atkins Roberts</v>
      </c>
    </row>
    <row r="307" spans="2:17" ht="13.15" customHeight="1">
      <c r="E307" s="748" t="s">
        <v>1642</v>
      </c>
      <c r="H307" s="748" t="str">
        <f>'Part II-Development Team'!H103</f>
        <v>1819 Fifth Avenue North</v>
      </c>
      <c r="O307" s="748" t="s">
        <v>2776</v>
      </c>
      <c r="Q307" s="748" t="str">
        <f>'Part II-Development Team'!Q103</f>
        <v>Partner</v>
      </c>
    </row>
    <row r="308" spans="2:17" ht="13.15" customHeight="1">
      <c r="E308" s="748" t="s">
        <v>954</v>
      </c>
      <c r="H308" s="748" t="str">
        <f>'Part II-Development Team'!H104</f>
        <v xml:space="preserve"> Birmingham</v>
      </c>
      <c r="O308" s="748" t="s">
        <v>2835</v>
      </c>
      <c r="Q308" s="748">
        <f>'Part II-Development Team'!Q104</f>
        <v>2055218501</v>
      </c>
    </row>
    <row r="309" spans="2:17" ht="13.15" customHeight="1">
      <c r="E309" s="748" t="s">
        <v>2831</v>
      </c>
      <c r="H309" s="748" t="str">
        <f>'Part II-Development Team'!H105</f>
        <v>AL</v>
      </c>
      <c r="I309" s="748" t="s">
        <v>3354</v>
      </c>
      <c r="J309" s="748">
        <f>'Part II-Development Team'!J105</f>
        <v>352130000</v>
      </c>
      <c r="O309" s="748" t="s">
        <v>3056</v>
      </c>
      <c r="Q309" s="748">
        <f>'Part II-Development Team'!Q105</f>
        <v>2055669976</v>
      </c>
    </row>
    <row r="310" spans="2:17" ht="13.15" customHeight="1">
      <c r="E310" s="748" t="s">
        <v>3062</v>
      </c>
      <c r="H310" s="748">
        <f>'Part II-Development Team'!H106</f>
        <v>2055218501</v>
      </c>
      <c r="J310" s="748">
        <f>'Part II-Development Team'!J106</f>
        <v>0</v>
      </c>
      <c r="K310" s="748" t="s">
        <v>2834</v>
      </c>
      <c r="L310" s="748">
        <f>'Part II-Development Team'!L106</f>
        <v>2054886501</v>
      </c>
      <c r="N310" s="748" t="s">
        <v>3061</v>
      </c>
      <c r="O310" s="748" t="str">
        <f>'Part II-Development Team'!O106</f>
        <v>aroberts@babc.com</v>
      </c>
    </row>
    <row r="311" spans="2:17" ht="6" customHeight="1"/>
    <row r="312" spans="2:17" ht="0.6" customHeight="1"/>
    <row r="313" spans="2:17" ht="13.15" customHeight="1">
      <c r="B313" s="748" t="s">
        <v>2763</v>
      </c>
      <c r="C313" s="748" t="s">
        <v>384</v>
      </c>
      <c r="H313" s="748" t="str">
        <f>'Part II-Development Team'!H109</f>
        <v>Frost Cummings Tidwell Group</v>
      </c>
      <c r="O313" s="748" t="s">
        <v>3067</v>
      </c>
      <c r="Q313" s="748" t="str">
        <f>'Part II-Development Team'!Q109</f>
        <v>Barry Tidwell</v>
      </c>
    </row>
    <row r="314" spans="2:17" ht="13.15" customHeight="1">
      <c r="E314" s="748" t="s">
        <v>1642</v>
      </c>
      <c r="H314" s="748" t="str">
        <f>'Part II-Development Team'!H110</f>
        <v>2001 Park Place North, Suite 900</v>
      </c>
      <c r="O314" s="748" t="s">
        <v>2776</v>
      </c>
      <c r="Q314" s="748" t="str">
        <f>'Part II-Development Team'!Q110</f>
        <v>Managing Partner</v>
      </c>
    </row>
    <row r="315" spans="2:17" ht="13.15" customHeight="1">
      <c r="E315" s="748" t="s">
        <v>954</v>
      </c>
      <c r="H315" s="748" t="str">
        <f>'Part II-Development Team'!H111</f>
        <v>Birmingham</v>
      </c>
      <c r="O315" s="748" t="s">
        <v>2835</v>
      </c>
      <c r="Q315" s="748">
        <f>'Part II-Development Team'!Q111</f>
        <v>2052715526</v>
      </c>
    </row>
    <row r="316" spans="2:17" ht="13.15" customHeight="1">
      <c r="E316" s="748" t="s">
        <v>2831</v>
      </c>
      <c r="H316" s="748" t="str">
        <f>'Part II-Development Team'!H112</f>
        <v>AL</v>
      </c>
      <c r="I316" s="748" t="s">
        <v>3354</v>
      </c>
      <c r="J316" s="748">
        <f>'Part II-Development Team'!J112</f>
        <v>352032700</v>
      </c>
      <c r="O316" s="748" t="s">
        <v>3056</v>
      </c>
      <c r="Q316" s="748">
        <f>'Part II-Development Team'!Q112</f>
        <v>2057900277</v>
      </c>
    </row>
    <row r="317" spans="2:17" ht="13.15" customHeight="1">
      <c r="E317" s="748" t="s">
        <v>3062</v>
      </c>
      <c r="H317" s="748">
        <f>'Part II-Development Team'!H113</f>
        <v>2058221010</v>
      </c>
      <c r="J317" s="748">
        <f>'Part II-Development Team'!J113</f>
        <v>0</v>
      </c>
      <c r="K317" s="748" t="s">
        <v>2834</v>
      </c>
      <c r="L317" s="748">
        <f>'Part II-Development Team'!L113</f>
        <v>2059305503</v>
      </c>
      <c r="N317" s="748" t="s">
        <v>3061</v>
      </c>
      <c r="O317" s="748" t="str">
        <f>'Part II-Development Team'!O113</f>
        <v>barry.tidwell@thefctgroup.com</v>
      </c>
    </row>
    <row r="318" spans="2:17" ht="6.6" customHeight="1"/>
    <row r="319" spans="2:17" ht="13.15" customHeight="1">
      <c r="B319" s="748" t="s">
        <v>2764</v>
      </c>
      <c r="C319" s="748" t="s">
        <v>385</v>
      </c>
      <c r="H319" s="748" t="str">
        <f>'Part II-Development Team'!H115</f>
        <v>The Architectural Offices of William J. Peek, P.C.</v>
      </c>
      <c r="O319" s="748" t="s">
        <v>3067</v>
      </c>
      <c r="Q319" s="748" t="str">
        <f>'Part II-Development Team'!Q115</f>
        <v>William J. Peek, AIA</v>
      </c>
    </row>
    <row r="320" spans="2:17" ht="13.15" customHeight="1">
      <c r="E320" s="748" t="s">
        <v>1642</v>
      </c>
      <c r="H320" s="748" t="str">
        <f>'Part II-Development Team'!H116</f>
        <v>908 South Hull Street, Suite 210</v>
      </c>
      <c r="O320" s="748" t="s">
        <v>2776</v>
      </c>
      <c r="Q320" s="748" t="str">
        <f>'Part II-Development Team'!Q116</f>
        <v>President</v>
      </c>
    </row>
    <row r="321" spans="1:18" ht="13.15" customHeight="1">
      <c r="E321" s="748" t="s">
        <v>954</v>
      </c>
      <c r="H321" s="748" t="str">
        <f>'Part II-Development Team'!H117</f>
        <v>Montgomery</v>
      </c>
      <c r="O321" s="748" t="s">
        <v>2835</v>
      </c>
      <c r="Q321" s="748">
        <f>'Part II-Development Team'!Q117</f>
        <v>3348341731</v>
      </c>
    </row>
    <row r="322" spans="1:18" ht="13.15" customHeight="1">
      <c r="E322" s="748" t="s">
        <v>2831</v>
      </c>
      <c r="H322" s="748" t="str">
        <f>'Part II-Development Team'!H118</f>
        <v>AL</v>
      </c>
      <c r="I322" s="748" t="s">
        <v>3354</v>
      </c>
      <c r="J322" s="748">
        <f>'Part II-Development Team'!J118</f>
        <v>361045109</v>
      </c>
      <c r="O322" s="748" t="s">
        <v>3056</v>
      </c>
      <c r="Q322" s="748">
        <f>'Part II-Development Team'!Q118</f>
        <v>0</v>
      </c>
    </row>
    <row r="323" spans="1:18" ht="13.15" customHeight="1">
      <c r="E323" s="748" t="s">
        <v>3062</v>
      </c>
      <c r="H323" s="748">
        <f>'Part II-Development Team'!H119</f>
        <v>3348341731</v>
      </c>
      <c r="J323" s="748">
        <f>'Part II-Development Team'!J119</f>
        <v>0</v>
      </c>
      <c r="K323" s="748" t="s">
        <v>2834</v>
      </c>
      <c r="L323" s="748">
        <f>'Part II-Development Team'!L119</f>
        <v>3348341736</v>
      </c>
      <c r="N323" s="748" t="s">
        <v>3061</v>
      </c>
      <c r="O323" s="748" t="str">
        <f>'Part II-Development Team'!O119</f>
        <v>jpeek@wjpeek.com</v>
      </c>
    </row>
    <row r="324" spans="1:18" ht="13.15" customHeight="1"/>
    <row r="325" spans="1:18" ht="13.15" customHeight="1">
      <c r="A325" s="748" t="s">
        <v>2824</v>
      </c>
      <c r="B325" s="748" t="s">
        <v>366</v>
      </c>
    </row>
    <row r="326" spans="1:18" ht="6.6" customHeight="1"/>
    <row r="327" spans="1:18" ht="21.6" customHeight="1">
      <c r="A327" s="748" t="s">
        <v>977</v>
      </c>
      <c r="E327" s="748" t="s">
        <v>4067</v>
      </c>
      <c r="F327" s="748" t="s">
        <v>3601</v>
      </c>
      <c r="G327" s="748" t="s">
        <v>4068</v>
      </c>
      <c r="J327" s="748" t="s">
        <v>4069</v>
      </c>
      <c r="L327" s="748" t="s">
        <v>4070</v>
      </c>
      <c r="N327" s="748" t="s">
        <v>4071</v>
      </c>
      <c r="P327" s="748" t="s">
        <v>3602</v>
      </c>
      <c r="R327" s="748" t="s">
        <v>3603</v>
      </c>
    </row>
    <row r="328" spans="1:18" ht="21.6" customHeight="1"/>
    <row r="329" spans="1:18" ht="21.6" customHeight="1"/>
    <row r="330" spans="1:18" ht="21.6" customHeight="1"/>
    <row r="331" spans="1:18" ht="21.6" customHeight="1"/>
    <row r="332" spans="1:18" ht="13.9" customHeight="1">
      <c r="A332" s="748" t="s">
        <v>3535</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5.1E-5</v>
      </c>
    </row>
    <row r="333" spans="1:18" ht="13.9" customHeight="1">
      <c r="A333" s="748" t="s">
        <v>3525</v>
      </c>
      <c r="E333" s="748" t="str">
        <f>'Part II-Development Team'!E129</f>
        <v>No</v>
      </c>
      <c r="F333" s="748" t="str">
        <f>'Part II-Development Team'!F129</f>
        <v>Yes</v>
      </c>
      <c r="G333" s="748" t="str">
        <f>'Part II-Development Team'!G129</f>
        <v>No</v>
      </c>
      <c r="J333" s="748" t="str">
        <f>'Part II-Development Team'!J129</f>
        <v>Yes</v>
      </c>
      <c r="L333" s="748" t="str">
        <f>'Part II-Development Team'!L129</f>
        <v>No</v>
      </c>
      <c r="N333" s="748" t="str">
        <f>'Part II-Development Team'!N129</f>
        <v>No</v>
      </c>
      <c r="P333" s="748" t="str">
        <f>'Part II-Development Team'!P129</f>
        <v>For Profit</v>
      </c>
      <c r="R333" s="748">
        <f>'Part II-Development Team'!R129</f>
        <v>4.8999999999999998E-5</v>
      </c>
    </row>
    <row r="334" spans="1:18" ht="13.9" customHeight="1">
      <c r="A334" s="748" t="s">
        <v>3526</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3527</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3528</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3529</v>
      </c>
      <c r="E337" s="748" t="str">
        <f>'Part II-Development Team'!E133</f>
        <v>No</v>
      </c>
      <c r="F337" s="748" t="str">
        <f>'Part II-Development Team'!F133</f>
        <v>No</v>
      </c>
      <c r="G337" s="748" t="str">
        <f>'Part II-Development Team'!G133</f>
        <v>No</v>
      </c>
      <c r="J337" s="748" t="str">
        <f>'Part II-Development Team'!J133</f>
        <v>Yes</v>
      </c>
      <c r="L337" s="748" t="str">
        <f>'Part II-Development Team'!L133</f>
        <v>No</v>
      </c>
      <c r="N337" s="748" t="str">
        <f>'Part II-Development Team'!N133</f>
        <v>No</v>
      </c>
      <c r="P337" s="748" t="str">
        <f>'Part II-Development Team'!P133</f>
        <v>Nonprofit</v>
      </c>
      <c r="R337" s="748">
        <f>'Part II-Development Team'!R133</f>
        <v>0</v>
      </c>
    </row>
    <row r="338" spans="1:18" ht="13.9" customHeight="1">
      <c r="A338" s="748" t="s">
        <v>997</v>
      </c>
      <c r="E338" s="748" t="str">
        <f>'Part II-Development Team'!E134</f>
        <v>No</v>
      </c>
      <c r="F338" s="748" t="str">
        <f>'Part II-Development Team'!F134</f>
        <v>Yes</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3530</v>
      </c>
      <c r="E339" s="748" t="str">
        <f>'Part II-Development Team'!E135</f>
        <v>No</v>
      </c>
      <c r="F339" s="748" t="str">
        <f>'Part II-Development Team'!F135</f>
        <v>No</v>
      </c>
      <c r="G339" s="748" t="str">
        <f>'Part II-Development Team'!G135</f>
        <v>No</v>
      </c>
      <c r="J339" s="748" t="str">
        <f>'Part II-Development Team'!J135</f>
        <v>Yes</v>
      </c>
      <c r="L339" s="748" t="str">
        <f>'Part II-Development Team'!L135</f>
        <v>No</v>
      </c>
      <c r="N339" s="748" t="str">
        <f>'Part II-Development Team'!N135</f>
        <v>No</v>
      </c>
      <c r="P339" s="748" t="str">
        <f>'Part II-Development Team'!P135</f>
        <v>Nonprofit</v>
      </c>
      <c r="R339" s="748">
        <f>'Part II-Development Team'!R135</f>
        <v>0</v>
      </c>
    </row>
    <row r="340" spans="1:18" ht="13.9" customHeight="1">
      <c r="A340" s="748" t="s">
        <v>3531</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3532</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3533</v>
      </c>
      <c r="E342" s="748" t="str">
        <f>'Part II-Development Team'!E138</f>
        <v>No</v>
      </c>
      <c r="F342" s="748" t="str">
        <f>'Part II-Development Team'!F138</f>
        <v>No</v>
      </c>
      <c r="G342" s="748" t="str">
        <f>'Part II-Development Team'!G138</f>
        <v>No</v>
      </c>
      <c r="J342" s="748" t="str">
        <f>'Part II-Development Team'!J138</f>
        <v>No</v>
      </c>
      <c r="L342" s="748" t="str">
        <f>'Part II-Development Team'!L138</f>
        <v>No</v>
      </c>
      <c r="N342" s="748" t="str">
        <f>'Part II-Development Team'!N138</f>
        <v>No</v>
      </c>
      <c r="P342" s="748" t="str">
        <f>'Part II-Development Team'!P138</f>
        <v>Nonprofit</v>
      </c>
      <c r="R342" s="748">
        <f>'Part II-Development Team'!R138</f>
        <v>0</v>
      </c>
    </row>
    <row r="343" spans="1:18" ht="13.9" customHeight="1">
      <c r="A343" s="748" t="s">
        <v>2281</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3534</v>
      </c>
      <c r="E344" s="748" t="str">
        <f>'Part II-Development Team'!E140</f>
        <v>No</v>
      </c>
      <c r="F344" s="748" t="str">
        <f>'Part II-Development Team'!F140</f>
        <v>No</v>
      </c>
      <c r="G344" s="748" t="str">
        <f>'Part II-Development Team'!G140</f>
        <v>No</v>
      </c>
      <c r="J344" s="748" t="str">
        <f>'Part II-Development Team'!J140</f>
        <v>No</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833</v>
      </c>
      <c r="R345" s="748">
        <f>SUM(R332:S344)</f>
        <v>1</v>
      </c>
    </row>
    <row r="346" spans="1:18" ht="12" customHeight="1"/>
    <row r="347" spans="1:18" ht="12" customHeight="1">
      <c r="A347" s="748" t="s">
        <v>2826</v>
      </c>
      <c r="C347" s="748" t="s">
        <v>880</v>
      </c>
      <c r="N347" s="748" t="s">
        <v>823</v>
      </c>
      <c r="O347" s="748" t="s">
        <v>89</v>
      </c>
    </row>
    <row r="348" spans="1:18" ht="3.6" customHeight="1"/>
    <row r="349" spans="1:18" ht="42.6" customHeight="1">
      <c r="A349" s="748" t="str">
        <f>'Part II-Development Team'!A145</f>
        <v>The Managing GP, New Calypso GP, Inc., is wholly owned by Volunteers of America Southeast, Inc., which is the Non-profit Sponsor and the Co-Developer 1.  The Other GP 1 is Van Dyke &amp; Company, Inc, which is also the Developer.</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2011-043 Calypso, Palmetto, Fulton County</v>
      </c>
    </row>
    <row r="356" spans="1:16">
      <c r="A356" s="748" t="s">
        <v>951</v>
      </c>
      <c r="B356" s="748" t="s">
        <v>3771</v>
      </c>
    </row>
    <row r="358" spans="1:16">
      <c r="B358" s="748" t="str">
        <f>'Part III A-Sources of Funds'!B5</f>
        <v>Yes</v>
      </c>
      <c r="C358" s="748" t="s">
        <v>3653</v>
      </c>
      <c r="E358" s="748">
        <f>'Part III A-Sources of Funds'!E5</f>
        <v>0</v>
      </c>
      <c r="F358" s="748" t="s">
        <v>1981</v>
      </c>
      <c r="J358" s="748">
        <f>'Part III A-Sources of Funds'!J5</f>
        <v>0</v>
      </c>
      <c r="M358" s="748">
        <f>'Part III A-Sources of Funds'!M5</f>
        <v>0</v>
      </c>
      <c r="N358" s="748" t="s">
        <v>846</v>
      </c>
    </row>
    <row r="359" spans="1:16">
      <c r="B359" s="748">
        <f>'Part III A-Sources of Funds'!B6</f>
        <v>0</v>
      </c>
      <c r="C359" s="748" t="s">
        <v>2836</v>
      </c>
      <c r="E359" s="748">
        <f>'Part III A-Sources of Funds'!E6</f>
        <v>0</v>
      </c>
      <c r="F359" s="748" t="s">
        <v>3312</v>
      </c>
      <c r="J359" s="748">
        <f>'Part III A-Sources of Funds'!J6</f>
        <v>0</v>
      </c>
      <c r="K359" s="748" t="s">
        <v>847</v>
      </c>
      <c r="M359" s="748">
        <f>'Part III A-Sources of Funds'!M6</f>
        <v>0</v>
      </c>
      <c r="N359" s="748" t="s">
        <v>845</v>
      </c>
    </row>
    <row r="360" spans="1:16">
      <c r="B360" s="748">
        <f>'Part III A-Sources of Funds'!B7</f>
        <v>0</v>
      </c>
      <c r="C360" s="748" t="s">
        <v>2837</v>
      </c>
      <c r="E360" s="748">
        <f>'Part III A-Sources of Funds'!E7</f>
        <v>0</v>
      </c>
      <c r="F360" s="748" t="s">
        <v>3311</v>
      </c>
      <c r="J360" s="748">
        <f>'Part III A-Sources of Funds'!J7</f>
        <v>0</v>
      </c>
      <c r="K360" s="748" t="s">
        <v>2291</v>
      </c>
      <c r="M360" s="748">
        <f>'Part III A-Sources of Funds'!M7</f>
        <v>0</v>
      </c>
      <c r="N360" s="748" t="s">
        <v>1982</v>
      </c>
      <c r="P360" s="748">
        <f>'Part III A-Sources of Funds'!P7</f>
        <v>0</v>
      </c>
    </row>
    <row r="361" spans="1:16">
      <c r="B361" s="748">
        <f>'Part III A-Sources of Funds'!B8</f>
        <v>0</v>
      </c>
      <c r="C361" s="748" t="s">
        <v>3915</v>
      </c>
      <c r="E361" s="748">
        <f>'Part III A-Sources of Funds'!E8</f>
        <v>0</v>
      </c>
      <c r="F361" s="748" t="s">
        <v>3916</v>
      </c>
      <c r="H361" s="748">
        <f>'Part III A-Sources of Funds'!H8</f>
        <v>0</v>
      </c>
      <c r="I361" s="748" t="s">
        <v>3654</v>
      </c>
      <c r="J361" s="748">
        <f>'Part III A-Sources of Funds'!J8</f>
        <v>0</v>
      </c>
      <c r="K361" s="748" t="s">
        <v>875</v>
      </c>
      <c r="M361" s="748">
        <f>'Part III A-Sources of Funds'!M8</f>
        <v>0</v>
      </c>
      <c r="N361" s="748" t="s">
        <v>3232</v>
      </c>
    </row>
    <row r="362" spans="1:16">
      <c r="B362" s="748" t="s">
        <v>310</v>
      </c>
    </row>
    <row r="364" spans="1:16">
      <c r="A364" s="748" t="s">
        <v>1230</v>
      </c>
      <c r="B364" s="748" t="s">
        <v>3495</v>
      </c>
    </row>
    <row r="366" spans="1:16">
      <c r="B366" s="748" t="s">
        <v>2927</v>
      </c>
      <c r="H366" s="748" t="s">
        <v>1998</v>
      </c>
      <c r="L366" s="748" t="s">
        <v>3068</v>
      </c>
      <c r="N366" s="748" t="s">
        <v>2258</v>
      </c>
      <c r="P366" s="748" t="s">
        <v>2537</v>
      </c>
    </row>
    <row r="367" spans="1:16">
      <c r="B367" s="748" t="s">
        <v>2348</v>
      </c>
      <c r="H367" s="748" t="str">
        <f>'Part III A-Sources of Funds'!H14</f>
        <v>Bank of America Merrill Lynch</v>
      </c>
      <c r="L367" s="748">
        <f>'Part III A-Sources of Funds'!L14</f>
        <v>3621427</v>
      </c>
      <c r="N367" s="748">
        <f>'Part III A-Sources of Funds'!N14</f>
        <v>3.5000000000000003E-2</v>
      </c>
      <c r="P367" s="748">
        <f>'Part III A-Sources of Funds'!P14</f>
        <v>24</v>
      </c>
    </row>
    <row r="368" spans="1:16">
      <c r="B368" s="748" t="s">
        <v>2349</v>
      </c>
      <c r="H368" s="748">
        <f>'Part III A-Sources of Funds'!H15</f>
        <v>0</v>
      </c>
      <c r="L368" s="748">
        <f>'Part III A-Sources of Funds'!L15</f>
        <v>0</v>
      </c>
      <c r="N368" s="748">
        <f>'Part III A-Sources of Funds'!N15</f>
        <v>0</v>
      </c>
      <c r="P368" s="748">
        <f>'Part III A-Sources of Funds'!P15</f>
        <v>0</v>
      </c>
    </row>
    <row r="369" spans="1:17">
      <c r="B369" s="748" t="s">
        <v>2350</v>
      </c>
      <c r="H369" s="748">
        <f>'Part III A-Sources of Funds'!H16</f>
        <v>0</v>
      </c>
      <c r="L369" s="748">
        <f>'Part III A-Sources of Funds'!L16</f>
        <v>0</v>
      </c>
      <c r="N369" s="748">
        <f>'Part III A-Sources of Funds'!N16</f>
        <v>0</v>
      </c>
      <c r="P369" s="748">
        <f>'Part III A-Sources of Funds'!P16</f>
        <v>0</v>
      </c>
    </row>
    <row r="370" spans="1:17">
      <c r="B370" s="748" t="s">
        <v>3333</v>
      </c>
      <c r="H370" s="748">
        <f>'Part III A-Sources of Funds'!H17</f>
        <v>0</v>
      </c>
      <c r="L370" s="748">
        <f>'Part III A-Sources of Funds'!L17</f>
        <v>0</v>
      </c>
    </row>
    <row r="371" spans="1:17">
      <c r="B371" s="748" t="s">
        <v>1384</v>
      </c>
      <c r="H371" s="748">
        <f>'Part III A-Sources of Funds'!H18</f>
        <v>0</v>
      </c>
      <c r="L371" s="748">
        <f>'Part III A-Sources of Funds'!L18</f>
        <v>0</v>
      </c>
    </row>
    <row r="372" spans="1:17">
      <c r="B372" s="748" t="s">
        <v>978</v>
      </c>
      <c r="H372" s="748">
        <f>'Part III A-Sources of Funds'!H19</f>
        <v>0</v>
      </c>
      <c r="L372" s="748">
        <f>'Part III A-Sources of Funds'!L19</f>
        <v>0</v>
      </c>
    </row>
    <row r="373" spans="1:17">
      <c r="B373" s="748" t="s">
        <v>1385</v>
      </c>
      <c r="H373" s="748" t="str">
        <f>'Part III A-Sources of Funds'!H20</f>
        <v>CAHEC</v>
      </c>
      <c r="L373" s="748">
        <f>'Part III A-Sources of Funds'!L20</f>
        <v>4754274</v>
      </c>
    </row>
    <row r="374" spans="1:17">
      <c r="B374" s="748" t="s">
        <v>1386</v>
      </c>
      <c r="H374" s="748" t="str">
        <f>'Part III A-Sources of Funds'!H21</f>
        <v>Sugar Creek Realty</v>
      </c>
      <c r="L374" s="748">
        <f>'Part III A-Sources of Funds'!L21</f>
        <v>1667250</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1999</v>
      </c>
      <c r="L378" s="748">
        <f>SUM(L367:L377)</f>
        <v>10042951</v>
      </c>
    </row>
    <row r="379" spans="1:17">
      <c r="B379" s="748" t="s">
        <v>2000</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10042951</v>
      </c>
    </row>
    <row r="380" spans="1:17">
      <c r="B380" s="748" t="s">
        <v>3261</v>
      </c>
      <c r="L380" s="748">
        <f>L378-L379</f>
        <v>0</v>
      </c>
    </row>
    <row r="382" spans="1:17">
      <c r="A382" s="748" t="s">
        <v>1232</v>
      </c>
      <c r="B382" s="748" t="s">
        <v>1383</v>
      </c>
    </row>
    <row r="383" spans="1:17">
      <c r="J383" s="748" t="s">
        <v>3195</v>
      </c>
      <c r="K383" s="748" t="s">
        <v>1996</v>
      </c>
      <c r="L383" s="748" t="s">
        <v>2001</v>
      </c>
      <c r="M383" s="748" t="s">
        <v>40</v>
      </c>
      <c r="Q383" s="748" t="s">
        <v>3492</v>
      </c>
    </row>
    <row r="384" spans="1:17">
      <c r="B384" s="748" t="s">
        <v>2927</v>
      </c>
      <c r="E384" s="748" t="s">
        <v>1998</v>
      </c>
      <c r="H384" s="748" t="s">
        <v>720</v>
      </c>
      <c r="J384" s="748" t="s">
        <v>2844</v>
      </c>
      <c r="K384" s="748" t="s">
        <v>3332</v>
      </c>
      <c r="L384" s="748" t="s">
        <v>3332</v>
      </c>
      <c r="O384" s="748" t="s">
        <v>84</v>
      </c>
    </row>
    <row r="385" spans="2:19">
      <c r="B385" s="748" t="str">
        <f>IF(OR(E385 = "Neither",E385 = "&lt;&lt;Select applicable option&gt;&gt;"), "N/A","Mortgage A")</f>
        <v>N/A</v>
      </c>
      <c r="E385" s="748" t="str">
        <f>'Part III A-Sources of Funds'!E32</f>
        <v>&lt;&lt;Select applicable option&gt;&gt;</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Bank of America Merril Lynch</v>
      </c>
      <c r="H386" s="748">
        <f>'Part III A-Sources of Funds'!H33</f>
        <v>2148527</v>
      </c>
      <c r="J386" s="748">
        <f>'Part III A-Sources of Funds'!J33</f>
        <v>7.2099999999999997E-2</v>
      </c>
      <c r="K386" s="748">
        <f>'Part III A-Sources of Funds'!K33</f>
        <v>18</v>
      </c>
      <c r="L386" s="748">
        <f>'Part III A-Sources of Funds'!L33</f>
        <v>30</v>
      </c>
      <c r="M386" s="748">
        <f>'Part III A-Sources of Funds'!M33</f>
        <v>175181.94394561139</v>
      </c>
      <c r="O386" s="748" t="str">
        <f>'Part III A-Sources of Funds'!O33</f>
        <v>Amortizing</v>
      </c>
      <c r="Q386" s="748" t="str">
        <f>'Part III A-Sources of Funds'!Q33</f>
        <v>n/a</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1231</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2086</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t="str">
        <f>'Part III A-Sources of Funds'!D37</f>
        <v/>
      </c>
      <c r="E390" s="748">
        <f>'Part III A-Sources of Funds'!E37</f>
        <v>0</v>
      </c>
      <c r="H390" s="748">
        <f>'Part III A-Sources of Funds'!H37</f>
        <v>0</v>
      </c>
      <c r="J390" s="748">
        <f>'Part III A-Sources of Funds'!J37</f>
        <v>0</v>
      </c>
      <c r="K390" s="748">
        <f>'Part III A-Sources of Funds'!K37</f>
        <v>0</v>
      </c>
      <c r="L390" s="748">
        <f>'Part III A-Sources of Funds'!L37</f>
        <v>0</v>
      </c>
      <c r="M390" s="748" t="str">
        <f>'Part III A-Sources of Funds'!M37</f>
        <v/>
      </c>
      <c r="O390" s="748">
        <f>'Part III A-Sources of Funds'!O37</f>
        <v>0</v>
      </c>
      <c r="Q390" s="748">
        <f>'Part III A-Sources of Funds'!Q37</f>
        <v>0</v>
      </c>
    </row>
    <row r="391" spans="2:19">
      <c r="B391" s="748" t="s">
        <v>3333</v>
      </c>
      <c r="E391" s="748">
        <f>'Part III A-Sources of Funds'!E38</f>
        <v>0</v>
      </c>
      <c r="H391" s="748">
        <f>'Part III A-Sources of Funds'!H38</f>
        <v>0</v>
      </c>
      <c r="S391" s="748" t="s">
        <v>809</v>
      </c>
    </row>
    <row r="392" spans="2:19">
      <c r="B392" s="748" t="s">
        <v>1384</v>
      </c>
      <c r="E392" s="748">
        <f>'Part III A-Sources of Funds'!E39</f>
        <v>0</v>
      </c>
      <c r="H392" s="748">
        <f>'Part III A-Sources of Funds'!H39</f>
        <v>0</v>
      </c>
      <c r="J392" s="748" t="s">
        <v>810</v>
      </c>
      <c r="L392" s="748" t="s">
        <v>811</v>
      </c>
      <c r="S392" s="748" t="s">
        <v>3865</v>
      </c>
    </row>
    <row r="393" spans="2:19">
      <c r="B393" s="748" t="s">
        <v>1385</v>
      </c>
      <c r="E393" s="748" t="str">
        <f>'Part III A-Sources of Funds'!E40</f>
        <v>CAHEC and GP Interest</v>
      </c>
      <c r="H393" s="748">
        <f>'Part III A-Sources of Funds'!H40</f>
        <v>7315000</v>
      </c>
      <c r="J393" s="748">
        <f>'Part IV-Uses of Funds'!$J$165*10*'Part IV-Uses of Funds'!$N$158</f>
        <v>7314999.9230000004</v>
      </c>
      <c r="L393" s="748">
        <f>H393-J393</f>
        <v>7.6999999582767487E-2</v>
      </c>
      <c r="M393" s="748" t="s">
        <v>2538</v>
      </c>
      <c r="S393" s="748">
        <f>H393/H403</f>
        <v>0.60813763813308142</v>
      </c>
    </row>
    <row r="394" spans="2:19">
      <c r="B394" s="748" t="s">
        <v>1386</v>
      </c>
      <c r="E394" s="748" t="str">
        <f>'Part III A-Sources of Funds'!E41</f>
        <v>Sugar Creek Realty</v>
      </c>
      <c r="H394" s="748">
        <f>'Part III A-Sources of Funds'!H41</f>
        <v>2565000</v>
      </c>
      <c r="J394" s="748">
        <f>'Part IV-Uses of Funds'!$J$165*10*'Part IV-Uses of Funds'!$Q$158</f>
        <v>2564999.9730000002</v>
      </c>
      <c r="L394" s="748">
        <f>H394-J394</f>
        <v>2.6999999769032001E-2</v>
      </c>
      <c r="S394" s="748">
        <f>H394/H403</f>
        <v>0.21324306791679479</v>
      </c>
    </row>
    <row r="395" spans="2:19">
      <c r="B395" s="748" t="s">
        <v>2121</v>
      </c>
      <c r="E395" s="748">
        <f>'Part III A-Sources of Funds'!E42</f>
        <v>0</v>
      </c>
      <c r="H395" s="748">
        <f>'Part III A-Sources of Funds'!H42</f>
        <v>0</v>
      </c>
      <c r="M395" s="748" t="s">
        <v>3022</v>
      </c>
      <c r="N395" s="748" t="s">
        <v>3023</v>
      </c>
      <c r="O395" s="748">
        <v>8</v>
      </c>
      <c r="P395" s="748">
        <v>9</v>
      </c>
      <c r="Q395" s="748">
        <v>10</v>
      </c>
      <c r="S395" s="748">
        <f>SUM(S393:S394)</f>
        <v>0.82138070604987623</v>
      </c>
    </row>
    <row r="396" spans="2:19">
      <c r="B396" s="748" t="s">
        <v>825</v>
      </c>
      <c r="E396" s="748">
        <f>'Part III A-Sources of Funds'!E43</f>
        <v>0</v>
      </c>
      <c r="H396" s="748">
        <f>'Part III A-Sources of Funds'!H43</f>
        <v>0</v>
      </c>
      <c r="M396" s="748" t="s">
        <v>3024</v>
      </c>
      <c r="N396" s="748">
        <f>'Part III A-Sources of Funds'!N43</f>
        <v>0</v>
      </c>
      <c r="O396" s="748">
        <f>'Part III A-Sources of Funds'!O43</f>
        <v>0</v>
      </c>
      <c r="P396" s="748">
        <f>'Part III A-Sources of Funds'!P43</f>
        <v>0</v>
      </c>
      <c r="Q396" s="748">
        <f>'Part III A-Sources of Funds'!Q43</f>
        <v>0</v>
      </c>
    </row>
    <row r="397" spans="2:19">
      <c r="B397" s="748" t="s">
        <v>2925</v>
      </c>
      <c r="E397" s="748">
        <f>'Part III A-Sources of Funds'!E44</f>
        <v>0</v>
      </c>
      <c r="H397" s="748">
        <f>'Part III A-Sources of Funds'!H44</f>
        <v>0</v>
      </c>
      <c r="M397" s="748">
        <v>11</v>
      </c>
      <c r="N397" s="748">
        <v>12</v>
      </c>
      <c r="O397" s="748">
        <v>13</v>
      </c>
      <c r="P397" s="748">
        <v>14</v>
      </c>
      <c r="Q397" s="748">
        <v>15</v>
      </c>
    </row>
    <row r="398" spans="2:19">
      <c r="B398" s="748" t="s">
        <v>2926</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1231</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1231</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1231</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3334</v>
      </c>
      <c r="H402" s="748">
        <f>SUM(H385:I401)</f>
        <v>12028527</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3335</v>
      </c>
      <c r="H403" s="748">
        <f>'Part IV-Uses of Funds'!$G$123</f>
        <v>12028527</v>
      </c>
      <c r="M403" s="748">
        <v>26</v>
      </c>
      <c r="N403" s="748">
        <v>27</v>
      </c>
      <c r="O403" s="748">
        <v>28</v>
      </c>
      <c r="P403" s="748">
        <v>29</v>
      </c>
      <c r="Q403" s="748">
        <v>30</v>
      </c>
    </row>
    <row r="404" spans="1:17">
      <c r="B404" s="748" t="s">
        <v>2277</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2824</v>
      </c>
      <c r="B406" s="748" t="s">
        <v>880</v>
      </c>
      <c r="K406" s="748" t="s">
        <v>2824</v>
      </c>
      <c r="L406" s="748" t="s">
        <v>89</v>
      </c>
    </row>
    <row r="408" spans="1:17">
      <c r="A408" s="748">
        <f>'Part III A-Sources of Funds'!A55</f>
        <v>0</v>
      </c>
      <c r="K408" s="748">
        <f>'Part III A-Sources of Funds'!K55</f>
        <v>0</v>
      </c>
    </row>
    <row r="409" spans="1:17">
      <c r="A409" s="748" t="str">
        <f>'Part III A-Sources of Funds'!A56</f>
        <v>Please note that CAHEC, the Federal credit purchaser, will purchase 99.99% of the Federal Credits, as per the typical arrangement, and the GP entities will purchase the remaining .001%.  This is outlined in the CAHEC letter.  Because of circularity in the Core Application, we represent the full Federal Credit Equity amount on the "Federal Housing Credit Equity" line, which is the combination of $7,314,269 in equity from CAHEC and $731 from the GP's.</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2011-043 Calypso, Palmetto, Fulton County</v>
      </c>
    </row>
    <row r="415" spans="1:17" ht="10.9" customHeight="1"/>
    <row r="416" spans="1:17" ht="14.45" customHeight="1">
      <c r="A416" s="748" t="s">
        <v>278</v>
      </c>
    </row>
    <row r="417" spans="1:5" ht="6" customHeight="1"/>
    <row r="418" spans="1:5">
      <c r="A418" s="748" t="s">
        <v>3386</v>
      </c>
      <c r="C418" s="748">
        <f>'Part III B-USDA 538 Loan'!C5</f>
        <v>0</v>
      </c>
      <c r="D418" s="748">
        <f>IF(C418&gt;1500000,1500000,0)</f>
        <v>0</v>
      </c>
      <c r="E418" s="748">
        <f>IF(C418&gt;1500000,C418-1500000,0)</f>
        <v>0</v>
      </c>
    </row>
    <row r="419" spans="1:5">
      <c r="A419" s="748" t="s">
        <v>3736</v>
      </c>
      <c r="B419" s="748" t="s">
        <v>746</v>
      </c>
      <c r="C419" s="748">
        <v>0</v>
      </c>
      <c r="D419" s="748" t="s">
        <v>747</v>
      </c>
    </row>
    <row r="420" spans="1:5">
      <c r="B420" s="748" t="s">
        <v>3752</v>
      </c>
      <c r="C420" s="748">
        <f>'Part III B-USDA 538 Loan'!C7</f>
        <v>0</v>
      </c>
      <c r="D420" s="748" t="s">
        <v>2660</v>
      </c>
    </row>
    <row r="421" spans="1:5" ht="13.15" customHeight="1">
      <c r="A421" s="748" t="s">
        <v>3740</v>
      </c>
      <c r="C421" s="748">
        <v>0</v>
      </c>
      <c r="D421" s="748" t="s">
        <v>2661</v>
      </c>
    </row>
    <row r="422" spans="1:5">
      <c r="A422" s="748" t="s">
        <v>2094</v>
      </c>
      <c r="C422" s="748">
        <f>'Part III B-USDA 538 Loan'!C9</f>
        <v>0</v>
      </c>
    </row>
    <row r="423" spans="1:5">
      <c r="A423" s="748" t="s">
        <v>2095</v>
      </c>
      <c r="C423" s="748">
        <f>'Part III B-USDA 538 Loan'!C10</f>
        <v>0</v>
      </c>
    </row>
    <row r="424" spans="1:5">
      <c r="A424" s="748" t="s">
        <v>2092</v>
      </c>
      <c r="C424" s="748" t="e">
        <f>PMT(C420/12,C423*12,-C418,0,0)*12</f>
        <v>#DIV/0!</v>
      </c>
      <c r="D424" s="748" t="e">
        <f>PMT($C$7/12,$C$10*12,-D418,0,0)*12</f>
        <v>#DIV/0!</v>
      </c>
      <c r="E424" s="748" t="e">
        <f>PMT($C$7/12,$C$10*12,-E418,0,0)*12</f>
        <v>#DIV/0!</v>
      </c>
    </row>
    <row r="425" spans="1:5">
      <c r="A425" s="748" t="s">
        <v>2093</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3754</v>
      </c>
      <c r="B429" s="748" t="s">
        <v>3750</v>
      </c>
      <c r="C429" s="748" t="s">
        <v>3751</v>
      </c>
      <c r="D429" s="748" t="s">
        <v>3385</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2011-043 Calypso, Palmetto, Fulton County</v>
      </c>
      <c r="G471" s="748" t="str">
        <f>CONCATENATE('Part I-Project Information'!$O$4," ",'Part I-Project Information'!$F$22,", ",'Part I-Project Information'!$F$24,", ",'Part I-Project Information'!$J$25," County")</f>
        <v>2011-043 Calypso, Palmetto, Fulton County</v>
      </c>
    </row>
    <row r="472" spans="1:12">
      <c r="A472" s="748" t="s">
        <v>3744</v>
      </c>
      <c r="G472" s="748" t="s">
        <v>3744</v>
      </c>
    </row>
    <row r="473" spans="1:12" ht="6" customHeight="1"/>
    <row r="474" spans="1:12">
      <c r="A474" s="748" t="s">
        <v>3745</v>
      </c>
      <c r="B474" s="748" t="s">
        <v>3746</v>
      </c>
      <c r="C474" s="748" t="s">
        <v>1995</v>
      </c>
      <c r="D474" s="748" t="s">
        <v>3747</v>
      </c>
      <c r="E474" s="748" t="s">
        <v>3748</v>
      </c>
      <c r="F474" s="748" t="s">
        <v>3754</v>
      </c>
      <c r="G474" s="748" t="s">
        <v>3745</v>
      </c>
      <c r="H474" s="748" t="s">
        <v>3746</v>
      </c>
      <c r="I474" s="748" t="s">
        <v>1995</v>
      </c>
      <c r="J474" s="748" t="s">
        <v>3747</v>
      </c>
      <c r="K474" s="748" t="s">
        <v>3748</v>
      </c>
      <c r="L474" s="748" t="s">
        <v>3754</v>
      </c>
    </row>
    <row r="475" spans="1:12" ht="3.6" customHeight="1"/>
    <row r="476" spans="1:12">
      <c r="A476" s="748" t="s">
        <v>3749</v>
      </c>
      <c r="E476" s="748">
        <f>IF($C$5&gt;1500000,$D$5,$C$5)</f>
        <v>0</v>
      </c>
      <c r="G476" s="748" t="s">
        <v>3749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2011-043 Calypso, Palmetto, Fulton County</v>
      </c>
    </row>
    <row r="961" spans="1:5" ht="15.6" customHeight="1">
      <c r="A961" s="748" t="s">
        <v>278</v>
      </c>
    </row>
    <row r="963" spans="1:5" ht="13.15" customHeight="1">
      <c r="A963" s="748" t="s">
        <v>3386</v>
      </c>
      <c r="D963" s="748">
        <f>'Part III C-HUD Insured Loan'!D5</f>
        <v>0</v>
      </c>
      <c r="E963" s="748" t="s">
        <v>1553</v>
      </c>
    </row>
    <row r="965" spans="1:5">
      <c r="A965" s="748" t="s">
        <v>3736</v>
      </c>
      <c r="C965" s="748" t="s">
        <v>3737</v>
      </c>
      <c r="D965" s="748">
        <f>'Part III C-HUD Insured Loan'!D7</f>
        <v>0</v>
      </c>
    </row>
    <row r="966" spans="1:5">
      <c r="C966" s="748" t="s">
        <v>3738</v>
      </c>
      <c r="D966" s="748">
        <f>'Part III C-HUD Insured Loan'!D8</f>
        <v>0</v>
      </c>
    </row>
    <row r="967" spans="1:5">
      <c r="C967" s="748" t="s">
        <v>3739</v>
      </c>
      <c r="D967" s="748">
        <f>'Part III C-HUD Insured Loan'!D9</f>
        <v>0</v>
      </c>
    </row>
    <row r="968" spans="1:5">
      <c r="C968" s="748" t="s">
        <v>3752</v>
      </c>
      <c r="D968" s="748">
        <f>D965+D966+D967</f>
        <v>0</v>
      </c>
    </row>
    <row r="970" spans="1:5">
      <c r="A970" s="748" t="s">
        <v>2742</v>
      </c>
      <c r="D970" s="748">
        <f>'Part III C-HUD Insured Loan'!D12</f>
        <v>0</v>
      </c>
      <c r="E970" s="748" t="s">
        <v>3231</v>
      </c>
    </row>
    <row r="972" spans="1:5">
      <c r="A972" s="748" t="s">
        <v>3741</v>
      </c>
      <c r="D972" s="748">
        <f>'Part III C-HUD Insured Loan'!D14</f>
        <v>0</v>
      </c>
      <c r="E972" s="748" t="s">
        <v>3742</v>
      </c>
    </row>
    <row r="974" spans="1:5">
      <c r="A974" s="748" t="s">
        <v>3743</v>
      </c>
      <c r="D974" s="748">
        <f>'Part III C-HUD Insured Loan'!D16</f>
        <v>0</v>
      </c>
      <c r="E974" s="748" t="s">
        <v>3742</v>
      </c>
    </row>
    <row r="976" spans="1:5">
      <c r="A976" s="748" t="s">
        <v>1526</v>
      </c>
      <c r="D976" s="748" t="e">
        <f>PMT(D968/12,D974*12,-D963,0,0)*12</f>
        <v>#DIV/0!</v>
      </c>
      <c r="E976" s="748" t="s">
        <v>2246</v>
      </c>
    </row>
    <row r="978" spans="1:6">
      <c r="A978" s="748" t="s">
        <v>2247</v>
      </c>
      <c r="D978" s="748" t="e">
        <f>D976/12</f>
        <v>#DIV/0!</v>
      </c>
      <c r="E978" s="748" t="s">
        <v>2246</v>
      </c>
    </row>
    <row r="982" spans="1:6" ht="18" customHeight="1">
      <c r="A982" s="748" t="s">
        <v>2743</v>
      </c>
    </row>
    <row r="984" spans="1:6">
      <c r="C984" s="748" t="s">
        <v>3385</v>
      </c>
      <c r="F984" s="748" t="s">
        <v>3385</v>
      </c>
    </row>
    <row r="985" spans="1:6">
      <c r="A985" s="748" t="s">
        <v>3754</v>
      </c>
      <c r="B985" s="748" t="s">
        <v>1647</v>
      </c>
      <c r="D985" s="748" t="s">
        <v>3754</v>
      </c>
      <c r="E985" s="748" t="s">
        <v>1647</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2011-043 Calypso, Palmetto, Fulton County</v>
      </c>
    </row>
    <row r="1009" spans="1:6">
      <c r="A1009" s="748" t="s">
        <v>3744</v>
      </c>
    </row>
    <row r="1010" spans="1:6" ht="5.45" customHeight="1"/>
    <row r="1011" spans="1:6">
      <c r="A1011" s="748" t="s">
        <v>3745</v>
      </c>
      <c r="B1011" s="748" t="s">
        <v>3746</v>
      </c>
      <c r="C1011" s="748" t="s">
        <v>1995</v>
      </c>
      <c r="D1011" s="748" t="s">
        <v>3747</v>
      </c>
      <c r="E1011" s="748" t="s">
        <v>3748</v>
      </c>
      <c r="F1011" s="748" t="s">
        <v>3754</v>
      </c>
    </row>
    <row r="1012" spans="1:6" ht="3.6" customHeight="1"/>
    <row r="1013" spans="1:6">
      <c r="A1013" s="748" t="s">
        <v>3749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2011-043 Calypso, ,  County</v>
      </c>
    </row>
    <row r="1498" spans="1:19" ht="4.9000000000000004" customHeight="1"/>
    <row r="1499" spans="1:19" ht="15" customHeight="1">
      <c r="A1499" s="748" t="s">
        <v>358</v>
      </c>
    </row>
    <row r="1500" spans="1:19" ht="1.9" customHeight="1"/>
    <row r="1501" spans="1:19" ht="21" customHeight="1">
      <c r="A1501" s="748" t="s">
        <v>951</v>
      </c>
      <c r="B1501" s="748" t="s">
        <v>1495</v>
      </c>
      <c r="J1501" s="748" t="s">
        <v>359</v>
      </c>
      <c r="M1501" s="748" t="s">
        <v>721</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3079</v>
      </c>
      <c r="G1504" s="748">
        <f>'Part IV-Uses of Funds'!G8</f>
        <v>8000</v>
      </c>
      <c r="J1504" s="748">
        <f>'Part IV-Uses of Funds'!J8</f>
        <v>8000</v>
      </c>
      <c r="M1504" s="748">
        <f>'Part IV-Uses of Funds'!M8</f>
        <v>0</v>
      </c>
      <c r="P1504" s="748">
        <f>'Part IV-Uses of Funds'!P8</f>
        <v>0</v>
      </c>
      <c r="S1504" s="748">
        <f>'Part IV-Uses of Funds'!S8</f>
        <v>0</v>
      </c>
    </row>
    <row r="1505" spans="1:21" ht="12.6" customHeight="1">
      <c r="B1505" s="748" t="s">
        <v>672</v>
      </c>
      <c r="G1505" s="748">
        <f>'Part IV-Uses of Funds'!G9</f>
        <v>10000</v>
      </c>
      <c r="J1505" s="748">
        <f>'Part IV-Uses of Funds'!J9</f>
        <v>10000</v>
      </c>
      <c r="M1505" s="748">
        <f>'Part IV-Uses of Funds'!M9</f>
        <v>0</v>
      </c>
      <c r="P1505" s="748">
        <f>'Part IV-Uses of Funds'!P9</f>
        <v>0</v>
      </c>
      <c r="S1505" s="748">
        <f>'Part IV-Uses of Funds'!S9</f>
        <v>0</v>
      </c>
    </row>
    <row r="1506" spans="1:21" ht="12.6" customHeight="1">
      <c r="B1506" s="748" t="s">
        <v>718</v>
      </c>
      <c r="G1506" s="748">
        <f>'Part IV-Uses of Funds'!G10</f>
        <v>9500</v>
      </c>
      <c r="J1506" s="748">
        <f>'Part IV-Uses of Funds'!J10</f>
        <v>9500</v>
      </c>
      <c r="M1506" s="748">
        <f>'Part IV-Uses of Funds'!M10</f>
        <v>0</v>
      </c>
      <c r="P1506" s="748">
        <f>'Part IV-Uses of Funds'!P10</f>
        <v>0</v>
      </c>
      <c r="S1506" s="748">
        <f>'Part IV-Uses of Funds'!S10</f>
        <v>0</v>
      </c>
    </row>
    <row r="1507" spans="1:21" ht="12.6" customHeight="1">
      <c r="B1507" s="748" t="s">
        <v>719</v>
      </c>
      <c r="G1507" s="748">
        <f>'Part IV-Uses of Funds'!G11</f>
        <v>7000</v>
      </c>
      <c r="J1507" s="748">
        <f>'Part IV-Uses of Funds'!J11</f>
        <v>7000</v>
      </c>
      <c r="M1507" s="748">
        <f>'Part IV-Uses of Funds'!M11</f>
        <v>0</v>
      </c>
      <c r="P1507" s="748">
        <f>'Part IV-Uses of Funds'!P11</f>
        <v>0</v>
      </c>
      <c r="S1507" s="748">
        <f>'Part IV-Uses of Funds'!S11</f>
        <v>0</v>
      </c>
    </row>
    <row r="1508" spans="1:21" ht="12.6" customHeight="1">
      <c r="B1508" s="748" t="s">
        <v>3780</v>
      </c>
      <c r="G1508" s="748">
        <f>'Part IV-Uses of Funds'!G12</f>
        <v>22500</v>
      </c>
      <c r="J1508" s="748">
        <f>'Part IV-Uses of Funds'!J12</f>
        <v>22500</v>
      </c>
      <c r="M1508" s="748">
        <f>'Part IV-Uses of Funds'!M12</f>
        <v>0</v>
      </c>
      <c r="P1508" s="748">
        <f>'Part IV-Uses of Funds'!P12</f>
        <v>0</v>
      </c>
      <c r="S1508" s="748">
        <f>'Part IV-Uses of Funds'!S12</f>
        <v>0</v>
      </c>
    </row>
    <row r="1509" spans="1:21" ht="12.6" customHeight="1">
      <c r="B1509" s="748" t="s">
        <v>248</v>
      </c>
      <c r="G1509" s="748">
        <f>'Part IV-Uses of Funds'!G13</f>
        <v>25950</v>
      </c>
      <c r="J1509" s="748">
        <f>'Part IV-Uses of Funds'!J13</f>
        <v>25950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1231</v>
      </c>
      <c r="C1510" s="748">
        <f>'Part IV-Uses of Funds'!C14</f>
        <v>0</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1231</v>
      </c>
      <c r="C1511" s="748">
        <f>'Part IV-Uses of Funds'!C15</f>
        <v>0</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1231</v>
      </c>
      <c r="C1512" s="748">
        <f>'Part IV-Uses of Funds'!C16</f>
        <v>0</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82950</v>
      </c>
      <c r="J1513" s="748">
        <f>SUM(J1504:K1512)</f>
        <v>82950</v>
      </c>
      <c r="M1513" s="748">
        <f>SUM(M1504:N1512)</f>
        <v>0</v>
      </c>
      <c r="P1513" s="748">
        <f>SUM(P1504:Q1512)</f>
        <v>0</v>
      </c>
      <c r="S1513" s="748">
        <f>SUM(S1504:T1512)</f>
        <v>0</v>
      </c>
    </row>
    <row r="1514" spans="1:21" ht="13.15" customHeight="1">
      <c r="B1514" s="748" t="s">
        <v>3306</v>
      </c>
      <c r="O1514" s="748" t="str">
        <f>B1514</f>
        <v>ACQUISITION</v>
      </c>
    </row>
    <row r="1515" spans="1:21" ht="12.6" customHeight="1">
      <c r="B1515" s="748" t="s">
        <v>3307</v>
      </c>
      <c r="G1515" s="748">
        <f>'Part IV-Uses of Funds'!G19</f>
        <v>775000</v>
      </c>
      <c r="S1515" s="748">
        <f>'Part IV-Uses of Funds'!S19</f>
        <v>775000</v>
      </c>
    </row>
    <row r="1516" spans="1:21" ht="12.6" customHeight="1">
      <c r="B1516" s="748" t="s">
        <v>1751</v>
      </c>
      <c r="G1516" s="748">
        <f>'Part IV-Uses of Funds'!G20</f>
        <v>0</v>
      </c>
      <c r="S1516" s="748">
        <f>'Part IV-Uses of Funds'!S20</f>
        <v>0</v>
      </c>
    </row>
    <row r="1517" spans="1:21" ht="12.6" customHeight="1">
      <c r="B1517" s="748" t="s">
        <v>673</v>
      </c>
      <c r="G1517" s="748">
        <f>'Part IV-Uses of Funds'!G21</f>
        <v>0</v>
      </c>
      <c r="M1517" s="748">
        <f>'Part IV-Uses of Funds'!M21</f>
        <v>0</v>
      </c>
      <c r="S1517" s="748">
        <f>'Part IV-Uses of Funds'!S21</f>
        <v>0</v>
      </c>
    </row>
    <row r="1518" spans="1:21" ht="12.6" customHeight="1">
      <c r="B1518" s="748" t="s">
        <v>638</v>
      </c>
      <c r="G1518" s="748">
        <f>'Part IV-Uses of Funds'!G22</f>
        <v>0</v>
      </c>
      <c r="M1518" s="748">
        <f>'Part IV-Uses of Funds'!M22</f>
        <v>0</v>
      </c>
      <c r="S1518" s="748">
        <f>'Part IV-Uses of Funds'!S22</f>
        <v>0</v>
      </c>
    </row>
    <row r="1519" spans="1:21" ht="12.6" customHeight="1">
      <c r="F1519" s="748" t="s">
        <v>249</v>
      </c>
      <c r="G1519" s="748">
        <f>SUM(G1515:H1518)</f>
        <v>775000</v>
      </c>
      <c r="M1519" s="748">
        <f>SUM(M1517:N1518)</f>
        <v>0</v>
      </c>
      <c r="S1519" s="748">
        <f>SUM(S1515:T1518)</f>
        <v>775000</v>
      </c>
    </row>
    <row r="1520" spans="1:21" ht="13.15" customHeight="1">
      <c r="B1520" s="748" t="s">
        <v>1752</v>
      </c>
      <c r="O1520" s="748" t="str">
        <f>B1520</f>
        <v>LAND IMPROVEMENTS</v>
      </c>
    </row>
    <row r="1521" spans="2:19" ht="12.6" customHeight="1">
      <c r="B1521" s="748" t="s">
        <v>1753</v>
      </c>
      <c r="G1521" s="748">
        <f>'Part IV-Uses of Funds'!G25</f>
        <v>1319478</v>
      </c>
      <c r="J1521" s="748">
        <f>'Part IV-Uses of Funds'!J25</f>
        <v>1319478</v>
      </c>
      <c r="M1521" s="748">
        <f>'Part IV-Uses of Funds'!M25</f>
        <v>0</v>
      </c>
      <c r="P1521" s="748">
        <f>'Part IV-Uses of Funds'!P25</f>
        <v>0</v>
      </c>
      <c r="S1521" s="748">
        <f>'Part IV-Uses of Funds'!S25</f>
        <v>0</v>
      </c>
    </row>
    <row r="1522" spans="2:19" ht="12.6" customHeight="1">
      <c r="B1522" s="748" t="s">
        <v>1754</v>
      </c>
      <c r="G1522" s="748">
        <f>'Part IV-Uses of Funds'!G26</f>
        <v>0</v>
      </c>
      <c r="J1522" s="748">
        <f>'Part IV-Uses of Funds'!J26</f>
        <v>0</v>
      </c>
      <c r="S1522" s="748">
        <f>'Part IV-Uses of Funds'!S26</f>
        <v>0</v>
      </c>
    </row>
    <row r="1523" spans="2:19" ht="12.6" customHeight="1">
      <c r="F1523" s="748" t="s">
        <v>249</v>
      </c>
      <c r="G1523" s="748">
        <f>SUM(G1521:H1522)</f>
        <v>1319478</v>
      </c>
      <c r="J1523" s="748">
        <f>SUM(J1521:K1522)</f>
        <v>1319478</v>
      </c>
      <c r="M1523" s="748">
        <f>M1521</f>
        <v>0</v>
      </c>
      <c r="P1523" s="748">
        <f>P1521</f>
        <v>0</v>
      </c>
      <c r="S1523" s="748">
        <f>SUM(S1521:T1522)</f>
        <v>0</v>
      </c>
    </row>
    <row r="1524" spans="2:19" ht="13.15" customHeight="1">
      <c r="B1524" s="748" t="s">
        <v>1755</v>
      </c>
      <c r="O1524" s="748" t="str">
        <f>B1524</f>
        <v>STRUCTURES</v>
      </c>
    </row>
    <row r="1525" spans="2:19" ht="12.6" customHeight="1">
      <c r="B1525" s="748" t="s">
        <v>1756</v>
      </c>
      <c r="G1525" s="748">
        <f>'Part IV-Uses of Funds'!G29</f>
        <v>5055041</v>
      </c>
      <c r="J1525" s="748">
        <f>'Part IV-Uses of Funds'!J29</f>
        <v>5055041</v>
      </c>
      <c r="M1525" s="748">
        <f>'Part IV-Uses of Funds'!M29</f>
        <v>0</v>
      </c>
      <c r="P1525" s="748">
        <f>'Part IV-Uses of Funds'!P29</f>
        <v>0</v>
      </c>
      <c r="S1525" s="748">
        <f>'Part IV-Uses of Funds'!S29</f>
        <v>0</v>
      </c>
    </row>
    <row r="1526" spans="2:19" ht="12.6" customHeight="1">
      <c r="B1526" s="748" t="s">
        <v>1757</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1758</v>
      </c>
      <c r="G1527" s="748">
        <f>'Part IV-Uses of Funds'!G31</f>
        <v>183383</v>
      </c>
      <c r="J1527" s="748">
        <f>'Part IV-Uses of Funds'!J31</f>
        <v>183383</v>
      </c>
      <c r="M1527" s="748">
        <f>'Part IV-Uses of Funds'!M31</f>
        <v>0</v>
      </c>
      <c r="P1527" s="748">
        <f>'Part IV-Uses of Funds'!P31</f>
        <v>0</v>
      </c>
      <c r="S1527" s="748">
        <f>'Part IV-Uses of Funds'!S31</f>
        <v>0</v>
      </c>
    </row>
    <row r="1528" spans="2:19" ht="12.6" customHeight="1">
      <c r="F1528" s="748" t="s">
        <v>249</v>
      </c>
      <c r="G1528" s="748">
        <f>SUM(G1525:H1527)</f>
        <v>5238424</v>
      </c>
      <c r="J1528" s="748">
        <f>SUM(J1525:K1527)</f>
        <v>5238424</v>
      </c>
      <c r="M1528" s="748">
        <f>SUM(M1525:N1527)</f>
        <v>0</v>
      </c>
      <c r="P1528" s="748">
        <f>SUM(P1525:Q1527)</f>
        <v>0</v>
      </c>
      <c r="S1528" s="748">
        <f>SUM(S1525:T1527)</f>
        <v>0</v>
      </c>
    </row>
    <row r="1529" spans="2:19" ht="13.15" customHeight="1">
      <c r="B1529" s="748" t="s">
        <v>3493</v>
      </c>
      <c r="E1529" s="748">
        <f>E1530+E1531</f>
        <v>0.14000000000000001</v>
      </c>
      <c r="O1529" s="748" t="str">
        <f>B1529</f>
        <v>CONTRACTOR SERVICES</v>
      </c>
    </row>
    <row r="1530" spans="2:19" ht="12.6" customHeight="1">
      <c r="B1530" s="748" t="s">
        <v>3494</v>
      </c>
      <c r="E1530" s="748">
        <f>'DCA Underwriting Assumptions'!$R$38</f>
        <v>0.06</v>
      </c>
      <c r="F1530" s="748">
        <f>E1530*($G$27+$G$32)</f>
        <v>0</v>
      </c>
      <c r="G1530" s="748">
        <f>'Part IV-Uses of Funds'!G34</f>
        <v>393474</v>
      </c>
      <c r="J1530" s="748">
        <f>'Part IV-Uses of Funds'!J34</f>
        <v>393474</v>
      </c>
      <c r="M1530" s="748">
        <f>'Part IV-Uses of Funds'!M34</f>
        <v>0</v>
      </c>
      <c r="P1530" s="748">
        <f>'Part IV-Uses of Funds'!P34</f>
        <v>0</v>
      </c>
      <c r="S1530" s="748">
        <f>'Part IV-Uses of Funds'!S34</f>
        <v>0</v>
      </c>
    </row>
    <row r="1531" spans="2:19" ht="12.6" customHeight="1">
      <c r="B1531" s="748" t="s">
        <v>3130</v>
      </c>
      <c r="E1531" s="748">
        <f>'DCA Underwriting Assumptions'!$R$39+'DCA Underwriting Assumptions'!$R$40</f>
        <v>0.08</v>
      </c>
      <c r="F1531" s="748">
        <f>E1531*($G$27+$G$32)</f>
        <v>0</v>
      </c>
      <c r="G1531" s="748">
        <f>'Part IV-Uses of Funds'!G35</f>
        <v>520695</v>
      </c>
      <c r="J1531" s="748">
        <f>'Part IV-Uses of Funds'!J35</f>
        <v>520695</v>
      </c>
      <c r="M1531" s="748">
        <f>'Part IV-Uses of Funds'!M35</f>
        <v>0</v>
      </c>
      <c r="P1531" s="748">
        <f>'Part IV-Uses of Funds'!P35</f>
        <v>0</v>
      </c>
      <c r="S1531" s="748">
        <f>'Part IV-Uses of Funds'!S35</f>
        <v>0</v>
      </c>
    </row>
    <row r="1532" spans="2:19" ht="12.6" customHeight="1">
      <c r="B1532" s="748" t="s">
        <v>3131</v>
      </c>
      <c r="F1532" s="748" t="s">
        <v>249</v>
      </c>
      <c r="G1532" s="748">
        <f>SUM(G1530:H1531)</f>
        <v>914169</v>
      </c>
      <c r="J1532" s="748">
        <f>SUM(J1530:K1531)</f>
        <v>914169</v>
      </c>
      <c r="M1532" s="748">
        <f>SUM(M1530:N1531)</f>
        <v>0</v>
      </c>
      <c r="P1532" s="748">
        <f>SUM(P1530:Q1531)</f>
        <v>0</v>
      </c>
      <c r="S1532" s="748">
        <f>SUM(S1530:T1531)</f>
        <v>0</v>
      </c>
    </row>
    <row r="1533" spans="2:19" ht="6" customHeight="1"/>
    <row r="1534" spans="2:19" ht="12.6" customHeight="1">
      <c r="B1534" s="748" t="s">
        <v>1761</v>
      </c>
      <c r="D1534" s="748">
        <f>B1535/'Part VI-Revenues &amp; Expenses'!$M$63</f>
        <v>120517.27419354839</v>
      </c>
      <c r="F1534" s="748" t="s">
        <v>2111</v>
      </c>
    </row>
    <row r="1535" spans="2:19" ht="12.6" customHeight="1">
      <c r="B1535" s="748">
        <f>G1523+G1528+G1532</f>
        <v>7472071</v>
      </c>
      <c r="D1535" s="748">
        <f>B1535/'Part VI-Revenues &amp; Expenses'!$M$98</f>
        <v>90.636475012130035</v>
      </c>
      <c r="F1535" s="748" t="s">
        <v>1338</v>
      </c>
    </row>
    <row r="1536" spans="2:19" ht="6" customHeight="1"/>
    <row r="1537" spans="1:21" ht="13.15" customHeight="1">
      <c r="B1537" s="748" t="s">
        <v>1759</v>
      </c>
      <c r="O1537" s="748" t="str">
        <f>B1537</f>
        <v>CONSTRUCTION CONTINGENCY</v>
      </c>
    </row>
    <row r="1538" spans="1:21" ht="12.6" customHeight="1">
      <c r="B1538" s="748" t="s">
        <v>3038</v>
      </c>
      <c r="F1538" s="748" t="e">
        <f>G1538/$B$39</f>
        <v>#DIV/0!</v>
      </c>
      <c r="G1538" s="748">
        <f>'Part IV-Uses of Funds'!G42</f>
        <v>373600</v>
      </c>
      <c r="J1538" s="748">
        <f>'Part IV-Uses of Funds'!J42</f>
        <v>373600</v>
      </c>
      <c r="M1538" s="748">
        <f>'Part IV-Uses of Funds'!M42</f>
        <v>0</v>
      </c>
      <c r="P1538" s="748">
        <f>'Part IV-Uses of Funds'!P42</f>
        <v>0</v>
      </c>
      <c r="S1538" s="748">
        <f>'Part IV-Uses of Funds'!S42</f>
        <v>0</v>
      </c>
    </row>
    <row r="1539" spans="1:21" ht="6" customHeight="1"/>
    <row r="1540" spans="1:21" ht="3" customHeight="1"/>
    <row r="1541" spans="1:21" ht="21" customHeight="1">
      <c r="A1541" s="748" t="s">
        <v>951</v>
      </c>
      <c r="B1541" s="748" t="s">
        <v>1495</v>
      </c>
      <c r="J1541" s="748" t="s">
        <v>359</v>
      </c>
      <c r="M1541" s="748" t="s">
        <v>721</v>
      </c>
      <c r="P1541" s="748" t="s">
        <v>360</v>
      </c>
      <c r="S1541" s="748" t="s">
        <v>361</v>
      </c>
    </row>
    <row r="1542" spans="1:21" ht="21" customHeight="1">
      <c r="G1542" s="748" t="s">
        <v>115</v>
      </c>
    </row>
    <row r="1543" spans="1:21" ht="13.15" customHeight="1">
      <c r="B1543" s="748" t="s">
        <v>1092</v>
      </c>
      <c r="O1543" s="748" t="str">
        <f>B1543</f>
        <v>CONSTRUCTION PERIOD FINANCING</v>
      </c>
    </row>
    <row r="1544" spans="1:21" ht="13.15" customHeight="1">
      <c r="B1544" s="748" t="s">
        <v>3496</v>
      </c>
      <c r="G1544" s="748">
        <f>'Part IV-Uses of Funds'!G48</f>
        <v>45268</v>
      </c>
      <c r="J1544" s="748">
        <f>'Part IV-Uses of Funds'!J48</f>
        <v>45268</v>
      </c>
      <c r="M1544" s="748">
        <f>'Part IV-Uses of Funds'!M48</f>
        <v>0</v>
      </c>
      <c r="P1544" s="748">
        <f>'Part IV-Uses of Funds'!P48</f>
        <v>0</v>
      </c>
      <c r="S1544" s="748">
        <f>'Part IV-Uses of Funds'!S48</f>
        <v>0</v>
      </c>
    </row>
    <row r="1545" spans="1:21" ht="13.15" customHeight="1">
      <c r="B1545" s="748" t="s">
        <v>3497</v>
      </c>
      <c r="G1545" s="748">
        <f>'Part IV-Uses of Funds'!G49</f>
        <v>120000</v>
      </c>
      <c r="J1545" s="748">
        <f>'Part IV-Uses of Funds'!J49</f>
        <v>96000</v>
      </c>
      <c r="M1545" s="748">
        <f>'Part IV-Uses of Funds'!M49</f>
        <v>0</v>
      </c>
      <c r="P1545" s="748">
        <f>'Part IV-Uses of Funds'!P49</f>
        <v>0</v>
      </c>
      <c r="S1545" s="748">
        <f>'Part IV-Uses of Funds'!S49</f>
        <v>24000</v>
      </c>
    </row>
    <row r="1546" spans="1:21" ht="13.15" customHeight="1">
      <c r="B1546" s="748" t="s">
        <v>3498</v>
      </c>
      <c r="G1546" s="748">
        <f>'Part IV-Uses of Funds'!G50</f>
        <v>30000</v>
      </c>
      <c r="J1546" s="748">
        <f>'Part IV-Uses of Funds'!J50</f>
        <v>30000</v>
      </c>
      <c r="M1546" s="748">
        <f>'Part IV-Uses of Funds'!M50</f>
        <v>0</v>
      </c>
      <c r="P1546" s="748">
        <f>'Part IV-Uses of Funds'!P50</f>
        <v>0</v>
      </c>
      <c r="S1546" s="748">
        <f>'Part IV-Uses of Funds'!S50</f>
        <v>0</v>
      </c>
    </row>
    <row r="1547" spans="1:21" ht="13.15" customHeight="1">
      <c r="B1547" s="748" t="s">
        <v>1093</v>
      </c>
      <c r="G1547" s="748">
        <f>'Part IV-Uses of Funds'!G51</f>
        <v>14340</v>
      </c>
      <c r="J1547" s="748">
        <f>'Part IV-Uses of Funds'!J51</f>
        <v>14340</v>
      </c>
      <c r="M1547" s="748">
        <f>'Part IV-Uses of Funds'!M51</f>
        <v>0</v>
      </c>
      <c r="P1547" s="748">
        <f>'Part IV-Uses of Funds'!P51</f>
        <v>0</v>
      </c>
      <c r="S1547" s="748">
        <f>'Part IV-Uses of Funds'!S51</f>
        <v>0</v>
      </c>
    </row>
    <row r="1548" spans="1:21" ht="13.15" customHeight="1">
      <c r="B1548" s="748" t="s">
        <v>3499</v>
      </c>
      <c r="G1548" s="748">
        <f>'Part IV-Uses of Funds'!G52</f>
        <v>62497</v>
      </c>
      <c r="J1548" s="748">
        <f>'Part IV-Uses of Funds'!J52</f>
        <v>62497</v>
      </c>
      <c r="M1548" s="748">
        <f>'Part IV-Uses of Funds'!M52</f>
        <v>0</v>
      </c>
      <c r="P1548" s="748">
        <f>'Part IV-Uses of Funds'!P52</f>
        <v>0</v>
      </c>
      <c r="S1548" s="748">
        <f>'Part IV-Uses of Funds'!S52</f>
        <v>0</v>
      </c>
    </row>
    <row r="1549" spans="1:21" ht="13.15" customHeight="1">
      <c r="B1549" s="748" t="s">
        <v>372</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1796</v>
      </c>
      <c r="G1550" s="748">
        <f>'Part IV-Uses of Funds'!G54</f>
        <v>50996</v>
      </c>
      <c r="J1550" s="748">
        <f>'Part IV-Uses of Funds'!J54</f>
        <v>50996</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1231</v>
      </c>
      <c r="C1551" s="748">
        <f>'Part IV-Uses of Funds'!C55</f>
        <v>0</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323101</v>
      </c>
      <c r="J1552" s="748">
        <f>SUM(J1544:K1551)</f>
        <v>299101</v>
      </c>
      <c r="M1552" s="748">
        <f>SUM(M1544:N1551)</f>
        <v>0</v>
      </c>
      <c r="P1552" s="748">
        <f>SUM(P1544:Q1551)</f>
        <v>0</v>
      </c>
      <c r="S1552" s="748">
        <f>SUM(S1544:T1551)</f>
        <v>24000</v>
      </c>
    </row>
    <row r="1553" spans="1:21" ht="13.15" customHeight="1">
      <c r="B1553" s="748" t="s">
        <v>705</v>
      </c>
      <c r="O1553" s="748" t="str">
        <f>B1553</f>
        <v>PROFESSIONAL SERVICES</v>
      </c>
    </row>
    <row r="1554" spans="1:21" ht="13.15" customHeight="1">
      <c r="B1554" s="748" t="s">
        <v>706</v>
      </c>
      <c r="G1554" s="748">
        <f>'Part IV-Uses of Funds'!G58</f>
        <v>98520</v>
      </c>
      <c r="J1554" s="748">
        <f>'Part IV-Uses of Funds'!J58</f>
        <v>98520</v>
      </c>
      <c r="M1554" s="748">
        <f>'Part IV-Uses of Funds'!M58</f>
        <v>0</v>
      </c>
      <c r="P1554" s="748">
        <f>'Part IV-Uses of Funds'!P58</f>
        <v>0</v>
      </c>
      <c r="S1554" s="748">
        <f>'Part IV-Uses of Funds'!S58</f>
        <v>0</v>
      </c>
    </row>
    <row r="1555" spans="1:21" ht="13.15" customHeight="1">
      <c r="B1555" s="748" t="s">
        <v>707</v>
      </c>
      <c r="G1555" s="748">
        <f>'Part IV-Uses of Funds'!G59</f>
        <v>12000</v>
      </c>
      <c r="J1555" s="748">
        <f>'Part IV-Uses of Funds'!J59</f>
        <v>12000</v>
      </c>
      <c r="M1555" s="748">
        <f>'Part IV-Uses of Funds'!M59</f>
        <v>0</v>
      </c>
      <c r="P1555" s="748">
        <f>'Part IV-Uses of Funds'!P59</f>
        <v>0</v>
      </c>
      <c r="S1555" s="748">
        <f>'Part IV-Uses of Funds'!S59</f>
        <v>0</v>
      </c>
    </row>
    <row r="1556" spans="1:21" ht="13.15" customHeight="1">
      <c r="B1556" s="748" t="s">
        <v>1762</v>
      </c>
      <c r="G1556" s="748">
        <f>'Part IV-Uses of Funds'!G60</f>
        <v>20000</v>
      </c>
      <c r="J1556" s="748">
        <f>'Part IV-Uses of Funds'!J60</f>
        <v>20000</v>
      </c>
      <c r="M1556" s="748">
        <f>'Part IV-Uses of Funds'!M60</f>
        <v>0</v>
      </c>
      <c r="P1556" s="748">
        <f>'Part IV-Uses of Funds'!P60</f>
        <v>0</v>
      </c>
      <c r="S1556" s="748">
        <f>'Part IV-Uses of Funds'!S60</f>
        <v>0</v>
      </c>
    </row>
    <row r="1557" spans="1:21" ht="13.15" customHeight="1">
      <c r="B1557" s="748" t="s">
        <v>1763</v>
      </c>
      <c r="G1557" s="748">
        <f>'Part IV-Uses of Funds'!G61</f>
        <v>9650</v>
      </c>
      <c r="J1557" s="748">
        <f>'Part IV-Uses of Funds'!J61</f>
        <v>9650</v>
      </c>
      <c r="M1557" s="748">
        <f>'Part IV-Uses of Funds'!M61</f>
        <v>0</v>
      </c>
      <c r="P1557" s="748">
        <f>'Part IV-Uses of Funds'!P61</f>
        <v>0</v>
      </c>
      <c r="S1557" s="748">
        <f>'Part IV-Uses of Funds'!S61</f>
        <v>0</v>
      </c>
    </row>
    <row r="1558" spans="1:21" ht="13.15" customHeight="1">
      <c r="B1558" s="748" t="s">
        <v>1764</v>
      </c>
      <c r="G1558" s="748">
        <f>'Part IV-Uses of Funds'!G62</f>
        <v>3900</v>
      </c>
      <c r="J1558" s="748">
        <f>'Part IV-Uses of Funds'!J62</f>
        <v>3900</v>
      </c>
      <c r="M1558" s="748">
        <f>'Part IV-Uses of Funds'!M62</f>
        <v>0</v>
      </c>
      <c r="P1558" s="748">
        <f>'Part IV-Uses of Funds'!P62</f>
        <v>0</v>
      </c>
      <c r="S1558" s="748">
        <f>'Part IV-Uses of Funds'!S62</f>
        <v>0</v>
      </c>
    </row>
    <row r="1559" spans="1:21" ht="13.15" customHeight="1">
      <c r="B1559" s="748" t="s">
        <v>1765</v>
      </c>
      <c r="G1559" s="748">
        <f>'Part IV-Uses of Funds'!G63</f>
        <v>58500</v>
      </c>
      <c r="J1559" s="748">
        <f>'Part IV-Uses of Funds'!J63</f>
        <v>58500</v>
      </c>
      <c r="M1559" s="748">
        <f>'Part IV-Uses of Funds'!M63</f>
        <v>0</v>
      </c>
      <c r="P1559" s="748">
        <f>'Part IV-Uses of Funds'!P63</f>
        <v>0</v>
      </c>
      <c r="S1559" s="748">
        <f>'Part IV-Uses of Funds'!S63</f>
        <v>0</v>
      </c>
    </row>
    <row r="1560" spans="1:21" ht="13.15" customHeight="1">
      <c r="B1560" s="748" t="s">
        <v>708</v>
      </c>
      <c r="G1560" s="748">
        <f>'Part IV-Uses of Funds'!G64</f>
        <v>42000</v>
      </c>
      <c r="J1560" s="748">
        <f>'Part IV-Uses of Funds'!J64</f>
        <v>42000</v>
      </c>
      <c r="M1560" s="748">
        <f>'Part IV-Uses of Funds'!M64</f>
        <v>0</v>
      </c>
      <c r="P1560" s="748">
        <f>'Part IV-Uses of Funds'!P64</f>
        <v>0</v>
      </c>
      <c r="S1560" s="748">
        <f>'Part IV-Uses of Funds'!S64</f>
        <v>0</v>
      </c>
    </row>
    <row r="1561" spans="1:21" ht="13.15" customHeight="1">
      <c r="B1561" s="748" t="s">
        <v>709</v>
      </c>
      <c r="G1561" s="748">
        <f>'Part IV-Uses of Funds'!G65</f>
        <v>75000</v>
      </c>
      <c r="J1561" s="748">
        <f>'Part IV-Uses of Funds'!J65</f>
        <v>75000</v>
      </c>
      <c r="M1561" s="748">
        <f>'Part IV-Uses of Funds'!M65</f>
        <v>0</v>
      </c>
      <c r="P1561" s="748">
        <f>'Part IV-Uses of Funds'!P65</f>
        <v>0</v>
      </c>
      <c r="S1561" s="748">
        <f>'Part IV-Uses of Funds'!S65</f>
        <v>0</v>
      </c>
    </row>
    <row r="1562" spans="1:21" ht="13.15" customHeight="1">
      <c r="B1562" s="748" t="s">
        <v>3141</v>
      </c>
      <c r="G1562" s="748">
        <f>'Part IV-Uses of Funds'!G66</f>
        <v>28500</v>
      </c>
      <c r="J1562" s="748">
        <f>'Part IV-Uses of Funds'!J66</f>
        <v>28500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1231</v>
      </c>
      <c r="C1563" s="748" t="str">
        <f>'Part IV-Uses of Funds'!C67</f>
        <v>Lender Inspections</v>
      </c>
      <c r="G1563" s="748">
        <f>'Part IV-Uses of Funds'!G67</f>
        <v>18000</v>
      </c>
      <c r="J1563" s="748">
        <f>'Part IV-Uses of Funds'!J67</f>
        <v>18000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366070</v>
      </c>
      <c r="J1564" s="748">
        <f>SUM(J1554:K1563)</f>
        <v>366070</v>
      </c>
      <c r="M1564" s="748">
        <f>SUM(M1554:N1563)</f>
        <v>0</v>
      </c>
      <c r="P1564" s="748">
        <f>SUM(P1554:Q1563)</f>
        <v>0</v>
      </c>
      <c r="S1564" s="748">
        <f>SUM(S1554:T1563)</f>
        <v>0</v>
      </c>
    </row>
    <row r="1565" spans="1:21" ht="13.15" customHeight="1">
      <c r="B1565" s="748" t="s">
        <v>1954</v>
      </c>
      <c r="O1565" s="748" t="str">
        <f>B1565</f>
        <v>LOCAL GOVERNMENT FEES</v>
      </c>
    </row>
    <row r="1566" spans="1:21" ht="13.15" customHeight="1">
      <c r="B1566" s="748" t="s">
        <v>1955</v>
      </c>
      <c r="G1566" s="748">
        <f>'Part IV-Uses of Funds'!G70</f>
        <v>29159</v>
      </c>
      <c r="J1566" s="748">
        <f>'Part IV-Uses of Funds'!J70</f>
        <v>29159</v>
      </c>
      <c r="M1566" s="748">
        <f>'Part IV-Uses of Funds'!M70</f>
        <v>0</v>
      </c>
      <c r="P1566" s="748">
        <f>'Part IV-Uses of Funds'!P70</f>
        <v>0</v>
      </c>
      <c r="S1566" s="748">
        <f>'Part IV-Uses of Funds'!S70</f>
        <v>0</v>
      </c>
    </row>
    <row r="1567" spans="1:21" ht="13.15" customHeight="1">
      <c r="B1567" s="748" t="s">
        <v>1956</v>
      </c>
      <c r="G1567" s="748">
        <f>'Part IV-Uses of Funds'!G71</f>
        <v>30550</v>
      </c>
      <c r="J1567" s="748">
        <f>'Part IV-Uses of Funds'!J71</f>
        <v>30550</v>
      </c>
      <c r="M1567" s="748">
        <f>'Part IV-Uses of Funds'!M71</f>
        <v>0</v>
      </c>
      <c r="P1567" s="748">
        <f>'Part IV-Uses of Funds'!P71</f>
        <v>0</v>
      </c>
      <c r="S1567" s="748">
        <f>'Part IV-Uses of Funds'!S71</f>
        <v>0</v>
      </c>
    </row>
    <row r="1568" spans="1:21" ht="13.15" customHeight="1">
      <c r="B1568" s="748" t="s">
        <v>1957</v>
      </c>
      <c r="D1568" s="748" t="s">
        <v>2112</v>
      </c>
      <c r="E1568" s="748" t="str">
        <f>'Part IV-Uses of Funds'!E72</f>
        <v>No</v>
      </c>
      <c r="G1568" s="748">
        <f>'Part IV-Uses of Funds'!G72</f>
        <v>164300</v>
      </c>
      <c r="J1568" s="748">
        <f>'Part IV-Uses of Funds'!J72</f>
        <v>164300</v>
      </c>
      <c r="M1568" s="748">
        <f>'Part IV-Uses of Funds'!M72</f>
        <v>0</v>
      </c>
      <c r="P1568" s="748">
        <f>'Part IV-Uses of Funds'!P72</f>
        <v>0</v>
      </c>
      <c r="S1568" s="748">
        <f>'Part IV-Uses of Funds'!S72</f>
        <v>0</v>
      </c>
    </row>
    <row r="1569" spans="1:21" ht="13.15" customHeight="1">
      <c r="B1569" s="748" t="s">
        <v>1958</v>
      </c>
      <c r="D1569" s="748" t="s">
        <v>2112</v>
      </c>
      <c r="E1569" s="748" t="str">
        <f>'Part IV-Uses of Funds'!E73</f>
        <v>No</v>
      </c>
      <c r="G1569" s="748">
        <f>'Part IV-Uses of Funds'!G73</f>
        <v>356250</v>
      </c>
      <c r="J1569" s="748">
        <f>'Part IV-Uses of Funds'!J73</f>
        <v>356250</v>
      </c>
      <c r="M1569" s="748">
        <f>'Part IV-Uses of Funds'!M73</f>
        <v>0</v>
      </c>
      <c r="P1569" s="748">
        <f>'Part IV-Uses of Funds'!P73</f>
        <v>0</v>
      </c>
      <c r="S1569" s="748">
        <f>'Part IV-Uses of Funds'!S73</f>
        <v>0</v>
      </c>
    </row>
    <row r="1570" spans="1:21" ht="13.15" customHeight="1">
      <c r="F1570" s="748" t="s">
        <v>249</v>
      </c>
      <c r="G1570" s="748">
        <f>SUM(G1566:H1569)</f>
        <v>580259</v>
      </c>
      <c r="J1570" s="748">
        <f>SUM(J1566:K1569)</f>
        <v>580259</v>
      </c>
      <c r="M1570" s="748">
        <f>SUM(M1566:N1569)</f>
        <v>0</v>
      </c>
      <c r="P1570" s="748">
        <f>SUM(P1566:Q1569)</f>
        <v>0</v>
      </c>
      <c r="S1570" s="748">
        <f>SUM(S1566:T1569)</f>
        <v>0</v>
      </c>
    </row>
    <row r="1571" spans="1:21" ht="13.15" customHeight="1">
      <c r="B1571" s="748" t="s">
        <v>1094</v>
      </c>
      <c r="O1571" s="748" t="str">
        <f>B1571</f>
        <v>PERMANENT FINANCING FEES</v>
      </c>
    </row>
    <row r="1572" spans="1:21" ht="13.15" customHeight="1">
      <c r="B1572" s="748" t="s">
        <v>1959</v>
      </c>
      <c r="G1572" s="748">
        <f>'Part IV-Uses of Funds'!G76</f>
        <v>31485</v>
      </c>
      <c r="S1572" s="748">
        <f>'Part IV-Uses of Funds'!S76</f>
        <v>0</v>
      </c>
    </row>
    <row r="1573" spans="1:21" ht="13.15" customHeight="1">
      <c r="B1573" s="748" t="s">
        <v>1960</v>
      </c>
      <c r="G1573" s="748">
        <f>'Part IV-Uses of Funds'!G77</f>
        <v>15000</v>
      </c>
      <c r="S1573" s="748">
        <f>'Part IV-Uses of Funds'!S77</f>
        <v>0</v>
      </c>
    </row>
    <row r="1574" spans="1:21" ht="13.15" customHeight="1">
      <c r="B1574" s="748" t="s">
        <v>1961</v>
      </c>
      <c r="G1574" s="748">
        <f>'Part IV-Uses of Funds'!G78</f>
        <v>25000</v>
      </c>
      <c r="J1574" s="748">
        <f>'Part IV-Uses of Funds'!J78</f>
        <v>25000</v>
      </c>
      <c r="M1574" s="748">
        <f>'Part IV-Uses of Funds'!M78</f>
        <v>0</v>
      </c>
      <c r="P1574" s="748">
        <f>'Part IV-Uses of Funds'!P78</f>
        <v>0</v>
      </c>
      <c r="S1574" s="748">
        <f>'Part IV-Uses of Funds'!S78</f>
        <v>0</v>
      </c>
    </row>
    <row r="1575" spans="1:21" ht="13.15" customHeight="1">
      <c r="B1575" s="748" t="s">
        <v>1962</v>
      </c>
      <c r="G1575" s="748">
        <f>'Part IV-Uses of Funds'!G79</f>
        <v>10000</v>
      </c>
      <c r="J1575" s="748">
        <f>'Part IV-Uses of Funds'!J79</f>
        <v>10000</v>
      </c>
      <c r="M1575" s="748">
        <f>'Part IV-Uses of Funds'!M79</f>
        <v>0</v>
      </c>
      <c r="P1575" s="748">
        <f>'Part IV-Uses of Funds'!P79</f>
        <v>0</v>
      </c>
      <c r="S1575" s="748">
        <f>'Part IV-Uses of Funds'!S79</f>
        <v>0</v>
      </c>
    </row>
    <row r="1576" spans="1:21" ht="13.15" customHeight="1">
      <c r="B1576" s="748" t="s">
        <v>1963</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3439</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1231</v>
      </c>
      <c r="C1578" s="748" t="str">
        <f>'Part IV-Uses of Funds'!C82</f>
        <v>Permanent Lender's Due Diligence Fee</v>
      </c>
      <c r="G1578" s="748">
        <f>'Part IV-Uses of Funds'!G82</f>
        <v>10000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91485</v>
      </c>
      <c r="J1579" s="748">
        <f>SUM(J1574:K1578)</f>
        <v>35000</v>
      </c>
      <c r="M1579" s="748">
        <f>SUM(M1574:N1578)</f>
        <v>0</v>
      </c>
      <c r="P1579" s="748">
        <f>SUM(P1574:Q1578)</f>
        <v>0</v>
      </c>
      <c r="S1579" s="748">
        <f>SUM(S1572:T1578)</f>
        <v>0</v>
      </c>
    </row>
    <row r="1580" spans="1:21" ht="3.6" customHeight="1"/>
    <row r="1581" spans="1:21" ht="6" customHeight="1"/>
    <row r="1582" spans="1:21" ht="18" customHeight="1">
      <c r="A1582" s="748" t="s">
        <v>951</v>
      </c>
      <c r="B1582" s="748" t="s">
        <v>1495</v>
      </c>
      <c r="J1582" s="748" t="s">
        <v>359</v>
      </c>
      <c r="M1582" s="748" t="s">
        <v>721</v>
      </c>
      <c r="P1582" s="748" t="s">
        <v>360</v>
      </c>
      <c r="S1582" s="748" t="s">
        <v>361</v>
      </c>
    </row>
    <row r="1583" spans="1:21" ht="18" customHeight="1">
      <c r="G1583" s="748" t="s">
        <v>115</v>
      </c>
    </row>
    <row r="1584" spans="1:21" ht="13.15" customHeight="1">
      <c r="B1584" s="748" t="s">
        <v>1095</v>
      </c>
      <c r="O1584" s="748" t="str">
        <f>B1584</f>
        <v>DCA-RELATED COSTS</v>
      </c>
    </row>
    <row r="1585" spans="1:21" ht="12.6" customHeight="1">
      <c r="B1585" s="748" t="s">
        <v>2289</v>
      </c>
      <c r="G1585" s="748">
        <f>'Part IV-Uses of Funds'!G89</f>
        <v>0</v>
      </c>
      <c r="S1585" s="748">
        <f>'Part IV-Uses of Funds'!S89</f>
        <v>0</v>
      </c>
    </row>
    <row r="1586" spans="1:21" ht="12.6" customHeight="1">
      <c r="B1586" s="748" t="s">
        <v>1859</v>
      </c>
      <c r="G1586" s="748">
        <f>'Part IV-Uses of Funds'!G90</f>
        <v>4000</v>
      </c>
      <c r="S1586" s="748">
        <f>'Part IV-Uses of Funds'!S90</f>
        <v>4000</v>
      </c>
    </row>
    <row r="1587" spans="1:21" ht="12.6" customHeight="1">
      <c r="B1587" s="748" t="s">
        <v>2748</v>
      </c>
      <c r="G1587" s="748">
        <f>'Part IV-Uses of Funds'!G91</f>
        <v>0</v>
      </c>
      <c r="S1587" s="748">
        <f>'Part IV-Uses of Funds'!S91</f>
        <v>0</v>
      </c>
    </row>
    <row r="1588" spans="1:21" ht="12.6" customHeight="1">
      <c r="B1588" s="748" t="s">
        <v>812</v>
      </c>
      <c r="E1588" s="748">
        <f>'DCA Underwriting Assumptions'!$Q$41*$J$165</f>
        <v>0</v>
      </c>
      <c r="G1588" s="748">
        <f>'Part IV-Uses of Funds'!G92</f>
        <v>66500</v>
      </c>
      <c r="S1588" s="748">
        <f>'Part IV-Uses of Funds'!S92</f>
        <v>66500</v>
      </c>
    </row>
    <row r="1589" spans="1:21" ht="12.6" customHeight="1">
      <c r="B1589" s="748" t="s">
        <v>1245</v>
      </c>
      <c r="E1589" s="748">
        <f>'Part VI-Revenues &amp; Expenses'!$M$63*'DCA Underwriting Assumptions'!$Q$44</f>
        <v>43400</v>
      </c>
      <c r="G1589" s="748">
        <f>'Part IV-Uses of Funds'!G93</f>
        <v>43400</v>
      </c>
      <c r="S1589" s="748">
        <f>'Part IV-Uses of Funds'!S93</f>
        <v>43400</v>
      </c>
    </row>
    <row r="1590" spans="1:21" ht="12.6" customHeight="1">
      <c r="B1590" s="748" t="s">
        <v>716</v>
      </c>
      <c r="G1590" s="748">
        <f>'Part IV-Uses of Funds'!G94</f>
        <v>0</v>
      </c>
      <c r="S1590" s="748">
        <f>'Part IV-Uses of Funds'!S94</f>
        <v>0</v>
      </c>
    </row>
    <row r="1591" spans="1:21" ht="12.6" customHeight="1">
      <c r="B1591" s="748" t="s">
        <v>3553</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1231</v>
      </c>
      <c r="C1592" s="748">
        <f>'Part IV-Uses of Funds'!C96</f>
        <v>0</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1231</v>
      </c>
      <c r="C1593" s="748">
        <f>'Part IV-Uses of Funds'!C97</f>
        <v>0</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116900</v>
      </c>
      <c r="S1594" s="748">
        <f>SUM(S1585:T1593)</f>
        <v>116900</v>
      </c>
    </row>
    <row r="1595" spans="1:21" ht="13.15" customHeight="1">
      <c r="B1595" s="748" t="s">
        <v>3440</v>
      </c>
      <c r="O1595" s="748" t="str">
        <f>B1595</f>
        <v>EQUITY COSTS</v>
      </c>
    </row>
    <row r="1596" spans="1:21" ht="12.6" customHeight="1">
      <c r="B1596" s="748" t="s">
        <v>371</v>
      </c>
      <c r="G1596" s="748">
        <f>'Part IV-Uses of Funds'!G100</f>
        <v>25000</v>
      </c>
      <c r="S1596" s="748">
        <f>'Part IV-Uses of Funds'!S100</f>
        <v>25000</v>
      </c>
    </row>
    <row r="1597" spans="1:21" ht="12.6" customHeight="1">
      <c r="B1597" s="748" t="s">
        <v>373</v>
      </c>
      <c r="G1597" s="748">
        <f>'Part IV-Uses of Funds'!G101</f>
        <v>14916</v>
      </c>
      <c r="S1597" s="748">
        <f>'Part IV-Uses of Funds'!S101</f>
        <v>14916</v>
      </c>
    </row>
    <row r="1598" spans="1:21" ht="12.6" customHeight="1">
      <c r="B1598" s="748" t="s">
        <v>3615</v>
      </c>
      <c r="G1598" s="748">
        <f>'Part IV-Uses of Funds'!G102</f>
        <v>0</v>
      </c>
      <c r="S1598" s="748">
        <f>'Part IV-Uses of Funds'!S102</f>
        <v>0</v>
      </c>
    </row>
    <row r="1599" spans="1:21" ht="12.6" customHeight="1">
      <c r="A1599" s="748" t="str">
        <f>IF(AND(G1599&gt;0,OR(C1599="",C1599="&lt;Enter detailed description here; use Comments section if needed&gt;")),"X","")</f>
        <v/>
      </c>
      <c r="B1599" s="748" t="s">
        <v>1231</v>
      </c>
      <c r="C1599" s="748">
        <f>'Part IV-Uses of Funds'!C103</f>
        <v>0</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39916</v>
      </c>
      <c r="S1600" s="748">
        <f>SUM(S1596:T1599)</f>
        <v>39916</v>
      </c>
    </row>
    <row r="1601" spans="1:21" ht="13.15" customHeight="1">
      <c r="B1601" s="748" t="s">
        <v>374</v>
      </c>
      <c r="O1601" s="748" t="str">
        <f>B1601</f>
        <v>DEVELOPER'S FEE</v>
      </c>
    </row>
    <row r="1602" spans="1:21" ht="12.6" customHeight="1">
      <c r="B1602" s="748" t="s">
        <v>2915</v>
      </c>
      <c r="F1602" s="748" t="e">
        <f>G1602/$G$109</f>
        <v>#DIV/0!</v>
      </c>
      <c r="G1602" s="748">
        <f>'Part IV-Uses of Funds'!G106</f>
        <v>300000</v>
      </c>
      <c r="J1602" s="748">
        <f>'Part IV-Uses of Funds'!J106</f>
        <v>300000</v>
      </c>
      <c r="M1602" s="748">
        <f>'Part IV-Uses of Funds'!M106</f>
        <v>0</v>
      </c>
      <c r="P1602" s="748">
        <f>'Part IV-Uses of Funds'!P106</f>
        <v>0</v>
      </c>
      <c r="S1602" s="748">
        <f>'Part IV-Uses of Funds'!S106</f>
        <v>0</v>
      </c>
    </row>
    <row r="1603" spans="1:21" ht="12.6" customHeight="1">
      <c r="B1603" s="748" t="s">
        <v>2916</v>
      </c>
      <c r="F1603" s="748" t="e">
        <f>G1603/$G$109</f>
        <v>#DIV/0!</v>
      </c>
      <c r="G1603" s="748">
        <f>'Part IV-Uses of Funds'!G107</f>
        <v>40000</v>
      </c>
      <c r="J1603" s="748">
        <f>'Part IV-Uses of Funds'!J107</f>
        <v>40000</v>
      </c>
      <c r="M1603" s="748">
        <f>'Part IV-Uses of Funds'!M107</f>
        <v>0</v>
      </c>
      <c r="P1603" s="748">
        <f>'Part IV-Uses of Funds'!P107</f>
        <v>0</v>
      </c>
      <c r="S1603" s="748">
        <f>'Part IV-Uses of Funds'!S107</f>
        <v>0</v>
      </c>
    </row>
    <row r="1604" spans="1:21" ht="12.6" customHeight="1">
      <c r="B1604" s="748" t="s">
        <v>2908</v>
      </c>
      <c r="F1604" s="748" t="e">
        <f>G1604/$G$109</f>
        <v>#DIV/0!</v>
      </c>
      <c r="G1604" s="748">
        <f>'Part IV-Uses of Funds'!G108</f>
        <v>1100000</v>
      </c>
      <c r="J1604" s="748">
        <f>'Part IV-Uses of Funds'!J108</f>
        <v>1100000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1440000</v>
      </c>
      <c r="J1605" s="748">
        <f>SUM(J1602:K1604)</f>
        <v>1440000</v>
      </c>
      <c r="M1605" s="748">
        <f>SUM(M1602:N1604)</f>
        <v>0</v>
      </c>
      <c r="P1605" s="748">
        <f>SUM(P1602:Q1604)</f>
        <v>0</v>
      </c>
      <c r="S1605" s="748">
        <f>SUM(S1602:T1604)</f>
        <v>0</v>
      </c>
    </row>
    <row r="1606" spans="1:21" ht="13.15" customHeight="1">
      <c r="B1606" s="748" t="s">
        <v>2011</v>
      </c>
      <c r="O1606" s="748" t="str">
        <f>B1606</f>
        <v>START-UP AND RESERVES</v>
      </c>
    </row>
    <row r="1607" spans="1:21" ht="12.6" customHeight="1">
      <c r="B1607" s="748" t="s">
        <v>324</v>
      </c>
      <c r="G1607" s="748">
        <f>'Part IV-Uses of Funds'!G111</f>
        <v>30000</v>
      </c>
      <c r="S1607" s="748">
        <f>'Part IV-Uses of Funds'!S111</f>
        <v>30000</v>
      </c>
    </row>
    <row r="1608" spans="1:21" ht="12.6" customHeight="1">
      <c r="B1608" s="748" t="s">
        <v>2288</v>
      </c>
      <c r="G1608" s="748">
        <f>'Part IV-Uses of Funds'!G112</f>
        <v>72622</v>
      </c>
      <c r="S1608" s="748">
        <f>'Part IV-Uses of Funds'!S112</f>
        <v>72622</v>
      </c>
    </row>
    <row r="1609" spans="1:21" ht="12.6" customHeight="1">
      <c r="B1609" s="748" t="s">
        <v>1029</v>
      </c>
      <c r="G1609" s="748">
        <f>'Part IV-Uses of Funds'!G113</f>
        <v>232835</v>
      </c>
      <c r="S1609" s="748">
        <f>'Part IV-Uses of Funds'!S113</f>
        <v>232835</v>
      </c>
    </row>
    <row r="1610" spans="1:21" ht="12.6" customHeight="1">
      <c r="B1610" s="748" t="s">
        <v>1923</v>
      </c>
      <c r="G1610" s="748">
        <f>'Part IV-Uses of Funds'!G114</f>
        <v>0</v>
      </c>
      <c r="S1610" s="748">
        <f>'Part IV-Uses of Funds'!S114</f>
        <v>0</v>
      </c>
    </row>
    <row r="1611" spans="1:21" ht="12.6" customHeight="1">
      <c r="B1611" s="748" t="s">
        <v>1924</v>
      </c>
      <c r="E1611" s="748" t="s">
        <v>1472</v>
      </c>
      <c r="F1611" s="748">
        <f>G1611/'Part VI-Revenues &amp; Expenses'!$M$63</f>
        <v>511.58064516129031</v>
      </c>
      <c r="G1611" s="748">
        <f>'Part IV-Uses of Funds'!G115</f>
        <v>31718</v>
      </c>
      <c r="J1611" s="748">
        <f>'Part IV-Uses of Funds'!J115</f>
        <v>31718</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1231</v>
      </c>
      <c r="C1612" s="748">
        <f>'Part IV-Uses of Funds'!C116</f>
        <v>0</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367175</v>
      </c>
      <c r="J1613" s="748">
        <f>SUM(J1611:K1612)</f>
        <v>31718</v>
      </c>
      <c r="M1613" s="748">
        <f>SUM(M1611:N1612)</f>
        <v>0</v>
      </c>
      <c r="P1613" s="748">
        <f>SUM(P1611:Q1612)</f>
        <v>0</v>
      </c>
      <c r="S1613" s="748">
        <f>SUM(S1607:T1612)</f>
        <v>335457</v>
      </c>
    </row>
    <row r="1614" spans="1:21" ht="13.15" customHeight="1">
      <c r="B1614" s="748" t="s">
        <v>944</v>
      </c>
      <c r="O1614" s="748" t="str">
        <f>B1614</f>
        <v>OTHER COSTS</v>
      </c>
    </row>
    <row r="1615" spans="1:21" ht="12.6" customHeight="1">
      <c r="B1615" s="748" t="s">
        <v>945</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1231</v>
      </c>
      <c r="C1616" s="748">
        <f>'Part IV-Uses of Funds'!C120</f>
        <v>0</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375</v>
      </c>
      <c r="G1619" s="748">
        <f>G1513+G1519+G1523+G1528+G1532+G1538+G1552+G1564+G1570+G1579+G1594+G1600+G1605+G1613+G1617</f>
        <v>12028527</v>
      </c>
      <c r="J1619" s="748">
        <f>J1513+J1519+J1523+J1528+J1532+J1538+J1552+J1564+J1570+J1579+J1594+J1600+J1605+J1613+J1617</f>
        <v>10680769</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1291273</v>
      </c>
    </row>
    <row r="1620" spans="1:19" ht="3" customHeight="1"/>
    <row r="1621" spans="1:19" ht="13.9" customHeight="1">
      <c r="B1621" s="748" t="s">
        <v>3896</v>
      </c>
      <c r="D1621" s="748">
        <f>IF(AND($T$155 = "Yes", 'Part IX A-Scoring Criteria'!$O$176 &gt; 0),'DCA Underwriting Assumptions'!$R$13, IF(AND('Part IV-Uses of Funds'!$T$156="Yes", 'Part IX A-Scoring Criteria'!$O$74&gt;0),'DCA Underwriting Assumptions'!$R$12, 'DCA Underwriting Assumptions'!$R$11))</f>
        <v>12663622</v>
      </c>
      <c r="F1621" s="748" t="s">
        <v>1039</v>
      </c>
      <c r="G1621" s="748">
        <f>G1619/'Part VI-Revenues &amp; Expenses'!$M$63</f>
        <v>194008.5</v>
      </c>
      <c r="J1621" s="748" t="s">
        <v>1040</v>
      </c>
      <c r="M1621" s="748">
        <f>G1619/'Part VI-Revenues &amp; Expenses'!$M$98</f>
        <v>145.90644104803494</v>
      </c>
    </row>
    <row r="1622" spans="1:19" ht="3" customHeight="1"/>
    <row r="1623" spans="1:19" ht="3.6" customHeight="1"/>
    <row r="1624" spans="1:19" ht="25.9" customHeight="1">
      <c r="A1624" s="748" t="s">
        <v>1230</v>
      </c>
      <c r="B1624" s="748" t="s">
        <v>2146</v>
      </c>
      <c r="J1624" s="748" t="s">
        <v>359</v>
      </c>
      <c r="M1624" s="748" t="s">
        <v>114</v>
      </c>
      <c r="P1624" s="748" t="s">
        <v>360</v>
      </c>
    </row>
    <row r="1625" spans="1:19" ht="15" customHeight="1">
      <c r="B1625" s="748" t="s">
        <v>3136</v>
      </c>
    </row>
    <row r="1626" spans="1:19" ht="6" customHeight="1"/>
    <row r="1627" spans="1:19" ht="13.9" customHeight="1">
      <c r="B1627" s="748" t="s">
        <v>185</v>
      </c>
      <c r="J1627" s="748">
        <f>'Part IV-Uses of Funds'!J131</f>
        <v>0</v>
      </c>
      <c r="P1627" s="748">
        <f>'Part IV-Uses of Funds'!P131</f>
        <v>0</v>
      </c>
    </row>
    <row r="1628" spans="1:19" ht="13.9" customHeight="1">
      <c r="B1628" s="748" t="s">
        <v>3256</v>
      </c>
      <c r="J1628" s="748">
        <f>'Part IV-Uses of Funds'!J132</f>
        <v>0</v>
      </c>
      <c r="P1628" s="748">
        <f>'Part IV-Uses of Funds'!P132</f>
        <v>0</v>
      </c>
    </row>
    <row r="1629" spans="1:19" ht="13.9" customHeight="1">
      <c r="B1629" s="748" t="s">
        <v>2918</v>
      </c>
      <c r="J1629" s="748">
        <f>'Part IV-Uses of Funds'!J133</f>
        <v>0</v>
      </c>
      <c r="P1629" s="748">
        <f>'Part IV-Uses of Funds'!P133</f>
        <v>0</v>
      </c>
    </row>
    <row r="1630" spans="1:19" ht="13.9" customHeight="1">
      <c r="B1630" s="748" t="s">
        <v>2919</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2364</v>
      </c>
      <c r="C1632" s="748" t="str">
        <f>'Part IV-Uses of Funds'!C136</f>
        <v>&lt;Enter detailed description here; use Comments section if needed&gt;</v>
      </c>
      <c r="J1632" s="748">
        <f>'Part IV-Uses of Funds'!J136</f>
        <v>0</v>
      </c>
      <c r="P1632" s="748">
        <f>'Part IV-Uses of Funds'!P136</f>
        <v>0</v>
      </c>
    </row>
    <row r="1633" spans="1:19" ht="13.9" customHeight="1">
      <c r="B1633" s="748" t="s">
        <v>2920</v>
      </c>
      <c r="J1633" s="748">
        <f>SUM(J1627:K1632)</f>
        <v>0</v>
      </c>
      <c r="P1633" s="748">
        <f>SUM(P1627:Q1632)</f>
        <v>0</v>
      </c>
    </row>
    <row r="1634" spans="1:19" ht="3" customHeight="1"/>
    <row r="1635" spans="1:19" ht="15" customHeight="1">
      <c r="B1635" s="748" t="s">
        <v>3488</v>
      </c>
    </row>
    <row r="1636" spans="1:19" ht="13.9" customHeight="1">
      <c r="B1636" s="748" t="s">
        <v>2822</v>
      </c>
      <c r="J1636" s="748">
        <f>J1619</f>
        <v>10680769</v>
      </c>
      <c r="M1636" s="748">
        <f>M1619</f>
        <v>0</v>
      </c>
      <c r="P1636" s="748">
        <f>P1619</f>
        <v>0</v>
      </c>
    </row>
    <row r="1637" spans="1:19" ht="13.9" customHeight="1">
      <c r="B1637" s="748" t="s">
        <v>3344</v>
      </c>
      <c r="J1637" s="748">
        <f>J1633</f>
        <v>0</v>
      </c>
      <c r="P1637" s="748">
        <f>P1633</f>
        <v>0</v>
      </c>
    </row>
    <row r="1638" spans="1:19" ht="13.9" customHeight="1">
      <c r="B1638" s="748" t="s">
        <v>3345</v>
      </c>
      <c r="J1638" s="748">
        <f>J1636-J1637</f>
        <v>10680769</v>
      </c>
      <c r="M1638" s="748">
        <f>M1636</f>
        <v>0</v>
      </c>
      <c r="P1638" s="748">
        <f>P1636-P1637</f>
        <v>0</v>
      </c>
    </row>
    <row r="1639" spans="1:19" ht="13.9" customHeight="1">
      <c r="B1639" s="748" t="s">
        <v>2229</v>
      </c>
      <c r="G1639" s="748" t="s">
        <v>2735</v>
      </c>
      <c r="H1639" s="748" t="str">
        <f>'Part IV-Uses of Funds'!H143</f>
        <v>&lt;&lt;Select&gt;&gt;</v>
      </c>
      <c r="J1639" s="748">
        <f>'Part IV-Uses of Funds'!J143</f>
        <v>1</v>
      </c>
      <c r="P1639" s="748">
        <f>'Part IV-Uses of Funds'!P143</f>
        <v>0</v>
      </c>
    </row>
    <row r="1640" spans="1:19" ht="13.9" customHeight="1">
      <c r="B1640" s="748" t="s">
        <v>3150</v>
      </c>
      <c r="J1640" s="748">
        <f>J1638*J1639</f>
        <v>10680769</v>
      </c>
      <c r="M1640" s="748">
        <f>+M1638</f>
        <v>0</v>
      </c>
      <c r="P1640" s="748">
        <f>P1638*P1639</f>
        <v>0</v>
      </c>
    </row>
    <row r="1641" spans="1:19" ht="13.9" customHeight="1">
      <c r="B1641" s="748" t="s">
        <v>3840</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3137</v>
      </c>
      <c r="J1642" s="748">
        <f>J1640*J1641</f>
        <v>10680769</v>
      </c>
      <c r="M1642" s="748">
        <f>M1640*M1641</f>
        <v>0</v>
      </c>
      <c r="P1642" s="748">
        <f>P1640*P1641</f>
        <v>0</v>
      </c>
    </row>
    <row r="1643" spans="1:19" ht="13.9" customHeight="1">
      <c r="B1643" s="748" t="s">
        <v>3138</v>
      </c>
      <c r="J1643" s="748">
        <f>'Part IV-Uses of Funds'!J147</f>
        <v>0.09</v>
      </c>
      <c r="M1643" s="748">
        <f>'Part IV-Uses of Funds'!M147</f>
        <v>0</v>
      </c>
      <c r="P1643" s="748">
        <f>'Part IV-Uses of Funds'!P147</f>
        <v>0</v>
      </c>
    </row>
    <row r="1644" spans="1:19" ht="13.9" customHeight="1">
      <c r="B1644" s="748" t="s">
        <v>3841</v>
      </c>
      <c r="J1644" s="748">
        <f>J1642*J1643</f>
        <v>961269.21</v>
      </c>
      <c r="M1644" s="748">
        <f>M1642*M1643</f>
        <v>0</v>
      </c>
      <c r="P1644" s="748">
        <f>P1642*P1643</f>
        <v>0</v>
      </c>
    </row>
    <row r="1645" spans="1:19" ht="13.9" customHeight="1">
      <c r="B1645" s="748" t="s">
        <v>2144</v>
      </c>
      <c r="J1645" s="748">
        <f>J1644+M1644+P1644</f>
        <v>961269.21</v>
      </c>
    </row>
    <row r="1646" spans="1:19" ht="6" customHeight="1"/>
    <row r="1647" spans="1:19" ht="15" customHeight="1">
      <c r="A1647" s="748" t="s">
        <v>1232</v>
      </c>
      <c r="B1647" s="748" t="s">
        <v>2147</v>
      </c>
      <c r="J1647" s="748" t="s">
        <v>345</v>
      </c>
      <c r="M1647" s="748" t="str">
        <f>IF(J1649&gt;D1621,"TDC exceeds PUCL!","")</f>
        <v/>
      </c>
      <c r="S1647" s="748" t="s">
        <v>2651</v>
      </c>
    </row>
    <row r="1648" spans="1:19" ht="15" customHeight="1">
      <c r="B1648" s="748" t="s">
        <v>231</v>
      </c>
      <c r="J1648" s="748">
        <f>MIN(G1619,D1621)</f>
        <v>12028527</v>
      </c>
      <c r="M1648" s="748" t="s">
        <v>3645</v>
      </c>
    </row>
    <row r="1649" spans="1:20" ht="13.9" customHeight="1">
      <c r="B1649" s="748" t="s">
        <v>3604</v>
      </c>
      <c r="J1649" s="748">
        <f>'Part IV-Uses of Funds'!J153</f>
        <v>12028527</v>
      </c>
    </row>
    <row r="1650" spans="1:20" ht="13.9" customHeight="1">
      <c r="B1650" s="748" t="s">
        <v>341</v>
      </c>
      <c r="J1650" s="749">
        <f>'Part III A-Sources of Funds'!$H$49-'Part III A-Sources of Funds'!$H$37-'Part III A-Sources of Funds'!$H$40-'Part III A-Sources of Funds'!$H$41</f>
        <v>2148527</v>
      </c>
      <c r="T1650" s="748" t="s">
        <v>344</v>
      </c>
    </row>
    <row r="1651" spans="1:20" ht="13.9" customHeight="1">
      <c r="B1651" s="748" t="s">
        <v>3357</v>
      </c>
      <c r="J1651" s="748">
        <f>+J1649-J1650</f>
        <v>9880000</v>
      </c>
      <c r="M1651" s="748" t="s">
        <v>342</v>
      </c>
      <c r="O1651" s="748" t="s">
        <v>2653</v>
      </c>
      <c r="S1651" s="748" t="s">
        <v>2652</v>
      </c>
      <c r="T1651" s="748">
        <f>'Part IV-Uses of Funds'!T155</f>
        <v>0</v>
      </c>
    </row>
    <row r="1652" spans="1:20" ht="13.9" customHeight="1">
      <c r="B1652" s="748" t="s">
        <v>1987</v>
      </c>
      <c r="J1652" s="748" t="str">
        <f>"/ 10"</f>
        <v>/ 10</v>
      </c>
      <c r="M1652" s="748">
        <f>'Part IV-Uses of Funds'!M156</f>
        <v>0</v>
      </c>
      <c r="O1652" s="748">
        <f>'Part IV-Uses of Funds'!O156</f>
        <v>0</v>
      </c>
      <c r="S1652" s="748" t="s">
        <v>343</v>
      </c>
      <c r="T1652" s="748">
        <f>'Part IV-Uses of Funds'!T156</f>
        <v>0</v>
      </c>
    </row>
    <row r="1653" spans="1:20" ht="13.9" customHeight="1">
      <c r="B1653" s="748" t="s">
        <v>1988</v>
      </c>
      <c r="J1653" s="748">
        <f>J1651/10</f>
        <v>988000</v>
      </c>
      <c r="N1653" s="748" t="s">
        <v>1989</v>
      </c>
      <c r="Q1653" s="748" t="s">
        <v>2831</v>
      </c>
    </row>
    <row r="1654" spans="1:20" ht="13.9" customHeight="1">
      <c r="B1654" s="748" t="s">
        <v>4072</v>
      </c>
      <c r="J1654" s="748">
        <f>N1654+Q1654</f>
        <v>1.04</v>
      </c>
      <c r="M1654" s="748" t="s">
        <v>1990</v>
      </c>
      <c r="N1654" s="748">
        <f>'Part IV-Uses of Funds'!N158</f>
        <v>0.77</v>
      </c>
      <c r="P1654" s="748" t="s">
        <v>946</v>
      </c>
      <c r="Q1654" s="748">
        <f>'Part IV-Uses of Funds'!Q158</f>
        <v>0.27</v>
      </c>
    </row>
    <row r="1655" spans="1:20" ht="13.9" customHeight="1">
      <c r="B1655" s="748" t="s">
        <v>2145</v>
      </c>
      <c r="J1655" s="748">
        <f>IF(J1654=0,"",J1653/J1654)</f>
        <v>950000</v>
      </c>
    </row>
    <row r="1656" spans="1:20" ht="9" customHeight="1"/>
    <row r="1657" spans="1:20" ht="16.149999999999999" customHeight="1">
      <c r="B1657" s="748" t="s">
        <v>3605</v>
      </c>
      <c r="J1657" s="748">
        <f>+MIN(J1645,J1655,'DCA Underwriting Assumptions'!$R$6)</f>
        <v>950000</v>
      </c>
    </row>
    <row r="1658" spans="1:20" ht="9.6" customHeight="1"/>
    <row r="1659" spans="1:20" ht="16.149999999999999" customHeight="1">
      <c r="B1659" s="748" t="s">
        <v>3606</v>
      </c>
      <c r="J1659" s="748">
        <f>'Part IV-Uses of Funds'!J163</f>
        <v>949999.99</v>
      </c>
      <c r="M1659" s="748" t="str">
        <f>IF(J1659&gt;J1657,"ALLOCATION CANNOT EXCEED MAXIMUM - REVISE ALLOCATION!","")</f>
        <v/>
      </c>
    </row>
    <row r="1660" spans="1:20" ht="9.6" customHeight="1"/>
    <row r="1661" spans="1:20" ht="16.149999999999999" customHeight="1">
      <c r="A1661" s="748" t="s">
        <v>2824</v>
      </c>
      <c r="B1661" s="748" t="s">
        <v>3607</v>
      </c>
      <c r="J1661" s="748">
        <f>+MIN(J1657,J1659)</f>
        <v>949999.99</v>
      </c>
    </row>
    <row r="1662" spans="1:20" ht="3" customHeight="1"/>
    <row r="1663" spans="1:20" ht="6" customHeight="1"/>
    <row r="1664" spans="1:20" ht="12" customHeight="1">
      <c r="A1664" s="748" t="s">
        <v>2826</v>
      </c>
      <c r="B1664" s="748" t="s">
        <v>880</v>
      </c>
      <c r="K1664" s="748" t="s">
        <v>823</v>
      </c>
      <c r="L1664" s="748" t="s">
        <v>89</v>
      </c>
    </row>
    <row r="1665" spans="1:12" ht="107.45" customHeight="1">
      <c r="A1665" s="748" t="str">
        <f>'Part IV-Uses of Funds'!A169</f>
        <v>Please see back-up in Tab 8 for Plan Review, Building Permit, Impact and Water/Sewer Tap fees.</v>
      </c>
      <c r="K1665" s="748">
        <f>'Part IV-Uses of Funds'!K169</f>
        <v>0</v>
      </c>
    </row>
    <row r="1666" spans="1:12" ht="107.45" customHeight="1">
      <c r="A1666" s="748" t="str">
        <f>'Part IV-Uses of Funds'!A170</f>
        <v>The Operating Deficit Reserve is calculated on 6 months of Debt Service and Operating Expenses.  The Lease-up Reserve is calculated on 3 months of Operating Expenses.  This conforms to DCA's underwriting criteria for both of these reserves.</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2011-043 Calypso, ,  County</v>
      </c>
    </row>
    <row r="1675" spans="1:12">
      <c r="F1675" s="748" t="s">
        <v>807</v>
      </c>
      <c r="I1675" s="748" t="str">
        <f>VLOOKUP('Part I-Project Information'!$J$25,'Part I-Project Information'!$C$183:$D$342,2)</f>
        <v>Middle</v>
      </c>
    </row>
    <row r="1677" spans="1:12">
      <c r="A1677" s="748" t="s">
        <v>951</v>
      </c>
      <c r="B1677" s="748" t="s">
        <v>3352</v>
      </c>
      <c r="F1677" s="748" t="s">
        <v>3806</v>
      </c>
      <c r="I1677" s="748" t="str">
        <f>'Part V-Utility Allowances'!I5</f>
        <v>Fulton County Housing Authority</v>
      </c>
    </row>
    <row r="1678" spans="1:12">
      <c r="F1678" s="748" t="s">
        <v>973</v>
      </c>
      <c r="I1678" s="748">
        <f>'Part V-Utility Allowances'!I6</f>
        <v>40452</v>
      </c>
      <c r="K1678" s="748" t="s">
        <v>834</v>
      </c>
      <c r="L1678" s="748" t="str">
        <f>'Part V-Utility Allowances'!L6</f>
        <v>Townhome</v>
      </c>
    </row>
    <row r="1680" spans="1:12">
      <c r="F1680" s="748" t="s">
        <v>943</v>
      </c>
      <c r="I1680" s="748" t="s">
        <v>258</v>
      </c>
    </row>
    <row r="1681" spans="1:13">
      <c r="B1681" s="748" t="s">
        <v>1381</v>
      </c>
      <c r="D1681" s="748" t="s">
        <v>2362</v>
      </c>
      <c r="F1681" s="748" t="s">
        <v>979</v>
      </c>
      <c r="G1681" s="748" t="s">
        <v>2904</v>
      </c>
      <c r="I1681" s="748">
        <v>0</v>
      </c>
      <c r="J1681" s="748">
        <v>1</v>
      </c>
      <c r="K1681" s="748">
        <v>2</v>
      </c>
      <c r="L1681" s="748">
        <v>3</v>
      </c>
      <c r="M1681" s="748">
        <v>4</v>
      </c>
    </row>
    <row r="1682" spans="1:13">
      <c r="B1682" s="748" t="s">
        <v>2906</v>
      </c>
      <c r="D1682" s="748" t="str">
        <f>'Part V-Utility Allowances'!D10</f>
        <v>Electric Heat Pump</v>
      </c>
      <c r="F1682" s="748" t="str">
        <f>'Part V-Utility Allowances'!F10</f>
        <v>X</v>
      </c>
      <c r="G1682" s="748">
        <f>'Part V-Utility Allowances'!G10</f>
        <v>0</v>
      </c>
      <c r="I1682" s="748">
        <f>'Part V-Utility Allowances'!I10</f>
        <v>0</v>
      </c>
      <c r="J1682" s="748">
        <f>'Part V-Utility Allowances'!J10</f>
        <v>0</v>
      </c>
      <c r="K1682" s="748">
        <f>'Part V-Utility Allowances'!K10</f>
        <v>0</v>
      </c>
      <c r="L1682" s="748">
        <f>'Part V-Utility Allowances'!L10</f>
        <v>12</v>
      </c>
      <c r="M1682" s="748">
        <f>'Part V-Utility Allowances'!M10</f>
        <v>14</v>
      </c>
    </row>
    <row r="1683" spans="1:13">
      <c r="B1683" s="748" t="s">
        <v>687</v>
      </c>
      <c r="D1683" s="748" t="s">
        <v>2358</v>
      </c>
      <c r="F1683" s="748" t="str">
        <f>'Part V-Utility Allowances'!F11</f>
        <v>X</v>
      </c>
      <c r="G1683" s="748">
        <f>'Part V-Utility Allowances'!G11</f>
        <v>0</v>
      </c>
      <c r="I1683" s="748">
        <f>'Part V-Utility Allowances'!I11</f>
        <v>0</v>
      </c>
      <c r="J1683" s="748">
        <f>'Part V-Utility Allowances'!J11</f>
        <v>0</v>
      </c>
      <c r="K1683" s="748">
        <f>'Part V-Utility Allowances'!K11</f>
        <v>0</v>
      </c>
      <c r="L1683" s="748">
        <f>'Part V-Utility Allowances'!L11</f>
        <v>17</v>
      </c>
      <c r="M1683" s="748">
        <f>'Part V-Utility Allowances'!M11</f>
        <v>22</v>
      </c>
    </row>
    <row r="1684" spans="1:13">
      <c r="B1684" s="748" t="s">
        <v>2359</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0</v>
      </c>
      <c r="L1684" s="748">
        <f>'Part V-Utility Allowances'!L12</f>
        <v>11</v>
      </c>
      <c r="M1684" s="748">
        <f>'Part V-Utility Allowances'!M12</f>
        <v>13</v>
      </c>
    </row>
    <row r="1685" spans="1:13">
      <c r="B1685" s="748" t="s">
        <v>2360</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0</v>
      </c>
      <c r="L1685" s="748">
        <f>'Part V-Utility Allowances'!L13</f>
        <v>25</v>
      </c>
      <c r="M1685" s="748">
        <f>'Part V-Utility Allowances'!M13</f>
        <v>30</v>
      </c>
    </row>
    <row r="1686" spans="1:13">
      <c r="B1686" s="748" t="s">
        <v>2361</v>
      </c>
      <c r="D1686" s="748" t="s">
        <v>2358</v>
      </c>
      <c r="F1686" s="748" t="str">
        <f>'Part V-Utility Allowances'!F14</f>
        <v>X</v>
      </c>
      <c r="G1686" s="748">
        <f>'Part V-Utility Allowances'!G14</f>
        <v>0</v>
      </c>
      <c r="I1686" s="748">
        <f>'Part V-Utility Allowances'!I14</f>
        <v>0</v>
      </c>
      <c r="J1686" s="748">
        <f>'Part V-Utility Allowances'!J14</f>
        <v>0</v>
      </c>
      <c r="K1686" s="748">
        <f>'Part V-Utility Allowances'!K14</f>
        <v>0</v>
      </c>
      <c r="L1686" s="748">
        <f>'Part V-Utility Allowances'!L14</f>
        <v>46</v>
      </c>
      <c r="M1686" s="748">
        <f>'Part V-Utility Allowances'!M14</f>
        <v>54</v>
      </c>
    </row>
    <row r="1687" spans="1:13">
      <c r="B1687" s="748" t="s">
        <v>2073</v>
      </c>
      <c r="D1687" s="748" t="s">
        <v>3351</v>
      </c>
      <c r="E1687" s="748" t="str">
        <f>'Part V-Utility Allowances'!E15</f>
        <v>Yes</v>
      </c>
      <c r="F1687" s="748" t="str">
        <f>'Part V-Utility Allowances'!F15</f>
        <v>X</v>
      </c>
      <c r="G1687" s="748">
        <f>'Part V-Utility Allowances'!G15</f>
        <v>0</v>
      </c>
      <c r="I1687" s="748">
        <f>'Part V-Utility Allowances'!I15</f>
        <v>0</v>
      </c>
      <c r="J1687" s="748">
        <f>'Part V-Utility Allowances'!J15</f>
        <v>0</v>
      </c>
      <c r="K1687" s="748">
        <f>'Part V-Utility Allowances'!K15</f>
        <v>0</v>
      </c>
      <c r="L1687" s="748">
        <f>'Part V-Utility Allowances'!L15</f>
        <v>81</v>
      </c>
      <c r="M1687" s="748">
        <f>'Part V-Utility Allowances'!M15</f>
        <v>98</v>
      </c>
    </row>
    <row r="1688" spans="1:13">
      <c r="B1688" s="748" t="s">
        <v>2905</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1641</v>
      </c>
      <c r="I1689" s="748">
        <f>SUM(I1682:I1688)</f>
        <v>0</v>
      </c>
      <c r="J1689" s="748">
        <f>SUM(J1682:J1688)</f>
        <v>0</v>
      </c>
      <c r="K1689" s="748">
        <f>SUM(K1682:K1688)</f>
        <v>0</v>
      </c>
      <c r="L1689" s="748">
        <f>SUM(L1682:L1688)</f>
        <v>192</v>
      </c>
      <c r="M1689" s="748">
        <f>SUM(M1682:M1688)</f>
        <v>231</v>
      </c>
    </row>
    <row r="1691" spans="1:13">
      <c r="A1691" s="748" t="s">
        <v>1230</v>
      </c>
      <c r="B1691" s="748" t="s">
        <v>3353</v>
      </c>
      <c r="F1691" s="748" t="s">
        <v>3806</v>
      </c>
      <c r="I1691" s="748">
        <f>'Part V-Utility Allowances'!I19</f>
        <v>0</v>
      </c>
    </row>
    <row r="1692" spans="1:13">
      <c r="F1692" s="748" t="s">
        <v>973</v>
      </c>
      <c r="I1692" s="748">
        <f>'Part V-Utility Allowances'!I20</f>
        <v>0</v>
      </c>
      <c r="K1692" s="748" t="s">
        <v>834</v>
      </c>
      <c r="L1692" s="748">
        <f>'Part V-Utility Allowances'!L20</f>
        <v>0</v>
      </c>
    </row>
    <row r="1694" spans="1:13">
      <c r="F1694" s="748" t="s">
        <v>943</v>
      </c>
      <c r="I1694" s="748" t="s">
        <v>258</v>
      </c>
    </row>
    <row r="1695" spans="1:13">
      <c r="B1695" s="748" t="s">
        <v>1381</v>
      </c>
      <c r="D1695" s="748" t="s">
        <v>2362</v>
      </c>
      <c r="F1695" s="748" t="s">
        <v>979</v>
      </c>
      <c r="G1695" s="748" t="s">
        <v>2904</v>
      </c>
      <c r="I1695" s="748">
        <v>0</v>
      </c>
      <c r="J1695" s="748">
        <v>1</v>
      </c>
      <c r="K1695" s="748">
        <v>2</v>
      </c>
      <c r="L1695" s="748">
        <v>3</v>
      </c>
      <c r="M1695" s="748">
        <v>4</v>
      </c>
    </row>
    <row r="1696" spans="1:13">
      <c r="B1696" s="748" t="s">
        <v>2906</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687</v>
      </c>
      <c r="D1697" s="748" t="s">
        <v>2358</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2359</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2360</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2361</v>
      </c>
      <c r="D1700" s="748" t="s">
        <v>2358</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2073</v>
      </c>
      <c r="D1701" s="748" t="s">
        <v>3351</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2905</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1641</v>
      </c>
      <c r="I1703" s="748">
        <f>SUM(I1696:I1702)</f>
        <v>0</v>
      </c>
      <c r="J1703" s="748">
        <f>SUM(J1696:J1702)</f>
        <v>0</v>
      </c>
      <c r="K1703" s="748">
        <f>SUM(K1696:K1702)</f>
        <v>0</v>
      </c>
      <c r="L1703" s="748">
        <f>SUM(L1696:L1702)</f>
        <v>0</v>
      </c>
      <c r="M1703" s="748">
        <f>SUM(M1696:M1702)</f>
        <v>0</v>
      </c>
    </row>
    <row r="1705" spans="2:13">
      <c r="B1705" s="748" t="s">
        <v>2841</v>
      </c>
    </row>
    <row r="1707" spans="2:13">
      <c r="B1707" s="748" t="s">
        <v>880</v>
      </c>
    </row>
    <row r="1708" spans="2:13">
      <c r="B1708" s="748" t="str">
        <f>'Part V-Utility Allowances'!B36</f>
        <v>We confirmed through the Housing Authority of Fulton County that HAFC has jurisdiction in the City of Palmetto.</v>
      </c>
    </row>
    <row r="1709" spans="2:13">
      <c r="B1709" s="748">
        <f>'Part V-Utility Allowances'!B37</f>
        <v>0</v>
      </c>
    </row>
    <row r="1711" spans="2:13">
      <c r="B1711" s="748" t="s">
        <v>2898</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2011-043 Calypso, ,  County</v>
      </c>
    </row>
    <row r="1717" spans="1:219" ht="12" customHeight="1"/>
    <row r="1718" spans="1:219" ht="12.6" customHeight="1">
      <c r="A1718" s="748" t="s">
        <v>951</v>
      </c>
      <c r="B1718" s="748" t="s">
        <v>3572</v>
      </c>
      <c r="D1718" s="748" t="s">
        <v>328</v>
      </c>
      <c r="N1718" s="748" t="s">
        <v>887</v>
      </c>
      <c r="O1718" s="748" t="str">
        <f>'Part I-Project Information'!$J$26</f>
        <v>Atlanta-Sandy Springs-Marietta</v>
      </c>
      <c r="EY1718" s="748" t="s">
        <v>717</v>
      </c>
      <c r="EZ1718" s="748" t="s">
        <v>3687</v>
      </c>
      <c r="FA1718" s="748" t="s">
        <v>3688</v>
      </c>
      <c r="FB1718" s="748" t="s">
        <v>3689</v>
      </c>
      <c r="FC1718" s="748" t="s">
        <v>3690</v>
      </c>
      <c r="FI1718" s="748" t="s">
        <v>717</v>
      </c>
      <c r="FJ1718" s="748" t="s">
        <v>3687</v>
      </c>
      <c r="FK1718" s="748" t="s">
        <v>3688</v>
      </c>
      <c r="FL1718" s="748" t="s">
        <v>3689</v>
      </c>
      <c r="FM1718" s="748" t="s">
        <v>3690</v>
      </c>
      <c r="FN1718" s="748" t="s">
        <v>717</v>
      </c>
      <c r="FO1718" s="748" t="s">
        <v>3687</v>
      </c>
      <c r="FP1718" s="748" t="s">
        <v>3688</v>
      </c>
      <c r="FQ1718" s="748" t="s">
        <v>3689</v>
      </c>
      <c r="FR1718" s="748" t="s">
        <v>3690</v>
      </c>
      <c r="FS1718" s="748" t="s">
        <v>717</v>
      </c>
      <c r="FT1718" s="748" t="s">
        <v>3687</v>
      </c>
      <c r="FU1718" s="748" t="s">
        <v>3688</v>
      </c>
      <c r="FV1718" s="748" t="s">
        <v>3689</v>
      </c>
      <c r="FW1718" s="748" t="s">
        <v>3690</v>
      </c>
      <c r="FX1718" s="748" t="s">
        <v>717</v>
      </c>
      <c r="FY1718" s="748" t="s">
        <v>3687</v>
      </c>
      <c r="FZ1718" s="748" t="s">
        <v>3688</v>
      </c>
      <c r="GA1718" s="748" t="s">
        <v>3689</v>
      </c>
      <c r="GB1718" s="748" t="s">
        <v>3690</v>
      </c>
      <c r="GC1718" s="748" t="s">
        <v>717</v>
      </c>
      <c r="GD1718" s="748" t="s">
        <v>3687</v>
      </c>
      <c r="GE1718" s="748" t="s">
        <v>3688</v>
      </c>
      <c r="GF1718" s="748" t="s">
        <v>3689</v>
      </c>
      <c r="GG1718" s="748" t="s">
        <v>3690</v>
      </c>
      <c r="GH1718" s="748" t="s">
        <v>717</v>
      </c>
      <c r="GI1718" s="748" t="s">
        <v>3687</v>
      </c>
      <c r="GJ1718" s="748" t="s">
        <v>3688</v>
      </c>
      <c r="GK1718" s="748" t="s">
        <v>3689</v>
      </c>
      <c r="GL1718" s="748" t="s">
        <v>3690</v>
      </c>
    </row>
    <row r="1719" spans="1:219" ht="12.6" customHeight="1">
      <c r="T1719" s="748" t="s">
        <v>1514</v>
      </c>
      <c r="U1719" s="748" t="s">
        <v>1248</v>
      </c>
      <c r="V1719" s="748" t="s">
        <v>1249</v>
      </c>
      <c r="W1719" s="748" t="s">
        <v>1250</v>
      </c>
      <c r="X1719" s="748" t="s">
        <v>1251</v>
      </c>
      <c r="Y1719" s="748" t="s">
        <v>1515</v>
      </c>
      <c r="Z1719" s="748" t="s">
        <v>3453</v>
      </c>
      <c r="AA1719" s="748" t="s">
        <v>3454</v>
      </c>
      <c r="AB1719" s="748" t="s">
        <v>3455</v>
      </c>
      <c r="AC1719" s="748" t="s">
        <v>3456</v>
      </c>
      <c r="AD1719" s="748" t="s">
        <v>1516</v>
      </c>
      <c r="AE1719" s="748" t="s">
        <v>3457</v>
      </c>
      <c r="AF1719" s="748" t="s">
        <v>3458</v>
      </c>
      <c r="AG1719" s="748" t="s">
        <v>3459</v>
      </c>
      <c r="AH1719" s="748" t="s">
        <v>3460</v>
      </c>
      <c r="AI1719" s="748" t="s">
        <v>152</v>
      </c>
      <c r="AJ1719" s="748" t="s">
        <v>3461</v>
      </c>
      <c r="AK1719" s="748" t="s">
        <v>3462</v>
      </c>
      <c r="AL1719" s="748" t="s">
        <v>3463</v>
      </c>
      <c r="AM1719" s="748" t="s">
        <v>1791</v>
      </c>
      <c r="AN1719" s="748" t="s">
        <v>854</v>
      </c>
      <c r="AO1719" s="748" t="s">
        <v>855</v>
      </c>
      <c r="AP1719" s="748" t="s">
        <v>892</v>
      </c>
      <c r="AQ1719" s="748" t="s">
        <v>893</v>
      </c>
      <c r="AR1719" s="748" t="s">
        <v>894</v>
      </c>
      <c r="AS1719" s="748" t="s">
        <v>895</v>
      </c>
      <c r="AT1719" s="748" t="s">
        <v>896</v>
      </c>
      <c r="AU1719" s="748" t="s">
        <v>897</v>
      </c>
      <c r="AV1719" s="748" t="s">
        <v>898</v>
      </c>
      <c r="AW1719" s="748" t="s">
        <v>899</v>
      </c>
      <c r="AX1719" s="748" t="s">
        <v>900</v>
      </c>
      <c r="AY1719" s="748" t="s">
        <v>901</v>
      </c>
      <c r="AZ1719" s="748" t="s">
        <v>1527</v>
      </c>
      <c r="BA1719" s="748" t="s">
        <v>1528</v>
      </c>
      <c r="BB1719" s="748" t="s">
        <v>1529</v>
      </c>
      <c r="BC1719" s="748" t="s">
        <v>737</v>
      </c>
      <c r="BD1719" s="748" t="s">
        <v>738</v>
      </c>
      <c r="BE1719" s="748" t="s">
        <v>739</v>
      </c>
      <c r="BF1719" s="748" t="s">
        <v>740</v>
      </c>
      <c r="BG1719" s="748" t="s">
        <v>741</v>
      </c>
      <c r="BH1719" s="748" t="s">
        <v>1473</v>
      </c>
      <c r="BI1719" s="748" t="s">
        <v>1474</v>
      </c>
      <c r="BJ1719" s="748" t="s">
        <v>1475</v>
      </c>
      <c r="BK1719" s="748" t="s">
        <v>1476</v>
      </c>
      <c r="BL1719" s="748" t="s">
        <v>1477</v>
      </c>
      <c r="BM1719" s="748" t="s">
        <v>1478</v>
      </c>
      <c r="BN1719" s="748" t="s">
        <v>1479</v>
      </c>
      <c r="BO1719" s="748" t="s">
        <v>1480</v>
      </c>
      <c r="BP1719" s="748" t="s">
        <v>1481</v>
      </c>
      <c r="BQ1719" s="748" t="s">
        <v>1482</v>
      </c>
      <c r="BR1719" s="748" t="s">
        <v>3677</v>
      </c>
      <c r="BS1719" s="748" t="s">
        <v>3678</v>
      </c>
      <c r="BT1719" s="748" t="s">
        <v>3679</v>
      </c>
      <c r="BU1719" s="748" t="s">
        <v>3680</v>
      </c>
      <c r="BV1719" s="748" t="s">
        <v>3681</v>
      </c>
      <c r="BW1719" s="748" t="s">
        <v>132</v>
      </c>
      <c r="BX1719" s="748" t="s">
        <v>1794</v>
      </c>
      <c r="BY1719" s="748" t="s">
        <v>1795</v>
      </c>
      <c r="BZ1719" s="748" t="s">
        <v>1875</v>
      </c>
      <c r="CA1719" s="748" t="s">
        <v>1876</v>
      </c>
      <c r="CB1719" s="748" t="s">
        <v>155</v>
      </c>
      <c r="CC1719" s="748" t="s">
        <v>1877</v>
      </c>
      <c r="CD1719" s="748" t="s">
        <v>1878</v>
      </c>
      <c r="CE1719" s="748" t="s">
        <v>1879</v>
      </c>
      <c r="CF1719" s="748" t="s">
        <v>1880</v>
      </c>
      <c r="CG1719" s="748" t="s">
        <v>154</v>
      </c>
      <c r="CH1719" s="748" t="s">
        <v>1506</v>
      </c>
      <c r="CI1719" s="748" t="s">
        <v>1507</v>
      </c>
      <c r="CJ1719" s="748" t="s">
        <v>1508</v>
      </c>
      <c r="CK1719" s="748" t="s">
        <v>1509</v>
      </c>
      <c r="CL1719" s="748" t="s">
        <v>153</v>
      </c>
      <c r="CM1719" s="748" t="s">
        <v>1510</v>
      </c>
      <c r="CN1719" s="748" t="s">
        <v>1511</v>
      </c>
      <c r="CO1719" s="748" t="s">
        <v>1512</v>
      </c>
      <c r="CP1719" s="748" t="s">
        <v>1513</v>
      </c>
      <c r="CQ1719" s="748" t="s">
        <v>1392</v>
      </c>
      <c r="CR1719" s="748" t="s">
        <v>1393</v>
      </c>
      <c r="CS1719" s="748" t="s">
        <v>1394</v>
      </c>
      <c r="CT1719" s="748" t="s">
        <v>1395</v>
      </c>
      <c r="CU1719" s="748" t="s">
        <v>1396</v>
      </c>
      <c r="CV1719" s="748" t="s">
        <v>1557</v>
      </c>
      <c r="CW1719" s="748" t="s">
        <v>1558</v>
      </c>
      <c r="CX1719" s="748" t="s">
        <v>1559</v>
      </c>
      <c r="CY1719" s="748" t="s">
        <v>1560</v>
      </c>
      <c r="CZ1719" s="748" t="s">
        <v>3676</v>
      </c>
      <c r="DA1719" s="748" t="s">
        <v>2156</v>
      </c>
      <c r="DB1719" s="748" t="s">
        <v>2157</v>
      </c>
      <c r="DC1719" s="748" t="s">
        <v>2158</v>
      </c>
      <c r="DD1719" s="748" t="s">
        <v>2159</v>
      </c>
      <c r="DE1719" s="748" t="s">
        <v>2160</v>
      </c>
      <c r="DF1719" s="748" t="s">
        <v>646</v>
      </c>
      <c r="DG1719" s="748" t="s">
        <v>647</v>
      </c>
      <c r="DH1719" s="748" t="s">
        <v>648</v>
      </c>
      <c r="DI1719" s="748" t="s">
        <v>649</v>
      </c>
      <c r="DJ1719" s="748" t="s">
        <v>650</v>
      </c>
      <c r="DK1719" s="748" t="s">
        <v>19</v>
      </c>
      <c r="DL1719" s="748" t="s">
        <v>20</v>
      </c>
      <c r="DM1719" s="748" t="s">
        <v>21</v>
      </c>
      <c r="DN1719" s="748" t="s">
        <v>22</v>
      </c>
      <c r="DO1719" s="748" t="s">
        <v>23</v>
      </c>
      <c r="DP1719" s="748" t="s">
        <v>285</v>
      </c>
      <c r="DQ1719" s="748" t="s">
        <v>286</v>
      </c>
      <c r="DR1719" s="748" t="s">
        <v>287</v>
      </c>
      <c r="DS1719" s="748" t="s">
        <v>2849</v>
      </c>
      <c r="DT1719" s="748" t="s">
        <v>2850</v>
      </c>
      <c r="DU1719" s="748" t="s">
        <v>2851</v>
      </c>
      <c r="DV1719" s="748" t="s">
        <v>910</v>
      </c>
      <c r="DW1719" s="748" t="s">
        <v>911</v>
      </c>
      <c r="DX1719" s="748" t="s">
        <v>912</v>
      </c>
      <c r="DY1719" s="748" t="s">
        <v>913</v>
      </c>
      <c r="DZ1719" s="748" t="s">
        <v>24</v>
      </c>
      <c r="EA1719" s="748" t="s">
        <v>25</v>
      </c>
      <c r="EB1719" s="748" t="s">
        <v>26</v>
      </c>
      <c r="EC1719" s="748" t="s">
        <v>27</v>
      </c>
      <c r="ED1719" s="748" t="s">
        <v>28</v>
      </c>
      <c r="EE1719" s="748" t="s">
        <v>734</v>
      </c>
      <c r="EF1719" s="748" t="s">
        <v>642</v>
      </c>
      <c r="EG1719" s="748" t="s">
        <v>643</v>
      </c>
      <c r="EH1719" s="748" t="s">
        <v>644</v>
      </c>
      <c r="EI1719" s="748" t="s">
        <v>645</v>
      </c>
      <c r="EJ1719" s="748" t="s">
        <v>3322</v>
      </c>
      <c r="EK1719" s="748" t="s">
        <v>3323</v>
      </c>
      <c r="EL1719" s="748" t="s">
        <v>3324</v>
      </c>
      <c r="EM1719" s="748" t="s">
        <v>2214</v>
      </c>
      <c r="EN1719" s="748" t="s">
        <v>2215</v>
      </c>
      <c r="EO1719" s="748" t="s">
        <v>29</v>
      </c>
      <c r="EP1719" s="748" t="s">
        <v>30</v>
      </c>
      <c r="EQ1719" s="748" t="s">
        <v>31</v>
      </c>
      <c r="ER1719" s="748" t="s">
        <v>32</v>
      </c>
      <c r="ES1719" s="748" t="s">
        <v>33</v>
      </c>
      <c r="GM1719" s="748" t="s">
        <v>2529</v>
      </c>
      <c r="GN1719" s="748" t="s">
        <v>3812</v>
      </c>
      <c r="GO1719" s="748" t="s">
        <v>3813</v>
      </c>
      <c r="GP1719" s="748" t="s">
        <v>491</v>
      </c>
      <c r="GQ1719" s="748" t="s">
        <v>492</v>
      </c>
      <c r="GR1719" s="748" t="s">
        <v>493</v>
      </c>
      <c r="GS1719" s="748" t="s">
        <v>494</v>
      </c>
      <c r="GT1719" s="748" t="s">
        <v>495</v>
      </c>
      <c r="GU1719" s="748" t="s">
        <v>496</v>
      </c>
      <c r="GV1719" s="748" t="s">
        <v>497</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2899</v>
      </c>
      <c r="G1720" s="748">
        <f>'Part VI-Revenues &amp; Expenses'!G5</f>
        <v>0</v>
      </c>
      <c r="P1720" s="748" t="s">
        <v>1659</v>
      </c>
    </row>
    <row r="1721" spans="1:219" ht="13.15" customHeight="1">
      <c r="B1721" s="748" t="s">
        <v>2840</v>
      </c>
      <c r="G1721" s="748">
        <f>'Part VI-Revenues &amp; Expenses'!G6</f>
        <v>0</v>
      </c>
      <c r="J1721" s="748" t="s">
        <v>3646</v>
      </c>
      <c r="P1721" s="748">
        <f>VLOOKUP('Part I-Project Information'!$J$26,'DCA Underwriting Assumptions'!$C$77:$D$187,2)</f>
        <v>68300</v>
      </c>
    </row>
    <row r="1722" spans="1:219" ht="13.9" customHeight="1">
      <c r="A1722" s="748" t="str">
        <f>IF(A1763&gt;0,"Finish!","")</f>
        <v/>
      </c>
      <c r="J1722" s="748" t="s">
        <v>3647</v>
      </c>
    </row>
    <row r="1723" spans="1:219" ht="13.9" customHeight="1">
      <c r="B1723" s="748" t="s">
        <v>2213</v>
      </c>
      <c r="C1723" s="748" t="s">
        <v>228</v>
      </c>
      <c r="D1723" s="748" t="s">
        <v>840</v>
      </c>
      <c r="E1723" s="748" t="s">
        <v>2211</v>
      </c>
      <c r="F1723" s="748" t="s">
        <v>2211</v>
      </c>
      <c r="G1723" s="748" t="s">
        <v>3618</v>
      </c>
      <c r="H1723" s="748" t="s">
        <v>3616</v>
      </c>
      <c r="I1723" s="748" t="s">
        <v>1381</v>
      </c>
      <c r="J1723" s="748" t="s">
        <v>4073</v>
      </c>
      <c r="K1723" s="748" t="s">
        <v>186</v>
      </c>
      <c r="M1723" s="748" t="s">
        <v>3573</v>
      </c>
      <c r="N1723" s="748" t="s">
        <v>826</v>
      </c>
      <c r="O1723" s="748" t="s">
        <v>488</v>
      </c>
      <c r="P1723" s="748" t="s">
        <v>1666</v>
      </c>
      <c r="ET1723" s="748" t="s">
        <v>2188</v>
      </c>
      <c r="EU1723" s="748" t="s">
        <v>3687</v>
      </c>
      <c r="EV1723" s="748" t="s">
        <v>3688</v>
      </c>
      <c r="EW1723" s="748" t="s">
        <v>3689</v>
      </c>
      <c r="EX1723" s="748" t="s">
        <v>3690</v>
      </c>
      <c r="EY1723" s="748" t="s">
        <v>3777</v>
      </c>
      <c r="EZ1723" s="748" t="s">
        <v>3777</v>
      </c>
      <c r="FA1723" s="748" t="s">
        <v>3777</v>
      </c>
      <c r="FB1723" s="748" t="s">
        <v>3777</v>
      </c>
      <c r="FC1723" s="748" t="s">
        <v>3777</v>
      </c>
      <c r="FD1723" s="748" t="s">
        <v>717</v>
      </c>
      <c r="FE1723" s="748" t="s">
        <v>3687</v>
      </c>
      <c r="FF1723" s="748" t="s">
        <v>3688</v>
      </c>
      <c r="FG1723" s="748" t="s">
        <v>3689</v>
      </c>
      <c r="FH1723" s="748" t="s">
        <v>3690</v>
      </c>
      <c r="FI1723" s="748" t="s">
        <v>3779</v>
      </c>
      <c r="FJ1723" s="748" t="s">
        <v>3779</v>
      </c>
      <c r="FK1723" s="748" t="s">
        <v>3779</v>
      </c>
      <c r="FL1723" s="748" t="s">
        <v>3779</v>
      </c>
      <c r="FM1723" s="748" t="s">
        <v>3779</v>
      </c>
      <c r="FN1723" s="748" t="s">
        <v>460</v>
      </c>
      <c r="FO1723" s="748" t="s">
        <v>460</v>
      </c>
      <c r="FP1723" s="748" t="s">
        <v>460</v>
      </c>
      <c r="FQ1723" s="748" t="s">
        <v>460</v>
      </c>
      <c r="FR1723" s="748" t="s">
        <v>460</v>
      </c>
      <c r="FS1723" s="748" t="s">
        <v>461</v>
      </c>
      <c r="FT1723" s="748" t="s">
        <v>461</v>
      </c>
      <c r="FU1723" s="748" t="s">
        <v>461</v>
      </c>
      <c r="FV1723" s="748" t="s">
        <v>461</v>
      </c>
      <c r="FW1723" s="748" t="s">
        <v>461</v>
      </c>
      <c r="FX1723" s="748" t="s">
        <v>462</v>
      </c>
      <c r="FY1723" s="748" t="s">
        <v>462</v>
      </c>
      <c r="FZ1723" s="748" t="s">
        <v>462</v>
      </c>
      <c r="GA1723" s="748" t="s">
        <v>462</v>
      </c>
      <c r="GB1723" s="748" t="s">
        <v>462</v>
      </c>
      <c r="GC1723" s="748" t="s">
        <v>463</v>
      </c>
      <c r="GD1723" s="748" t="s">
        <v>463</v>
      </c>
      <c r="GE1723" s="748" t="s">
        <v>463</v>
      </c>
      <c r="GF1723" s="748" t="s">
        <v>463</v>
      </c>
      <c r="GG1723" s="748" t="s">
        <v>463</v>
      </c>
      <c r="GH1723" s="748" t="s">
        <v>2187</v>
      </c>
      <c r="GI1723" s="748" t="s">
        <v>2187</v>
      </c>
      <c r="GJ1723" s="748" t="s">
        <v>2187</v>
      </c>
      <c r="GK1723" s="748" t="s">
        <v>2187</v>
      </c>
      <c r="GL1723" s="748" t="s">
        <v>2187</v>
      </c>
    </row>
    <row r="1724" spans="1:219" ht="13.9" customHeight="1">
      <c r="B1724" s="748" t="s">
        <v>1997</v>
      </c>
      <c r="C1724" s="748" t="s">
        <v>227</v>
      </c>
      <c r="D1724" s="748" t="s">
        <v>229</v>
      </c>
      <c r="E1724" s="748" t="s">
        <v>2212</v>
      </c>
      <c r="F1724" s="748" t="s">
        <v>1964</v>
      </c>
      <c r="G1724" s="748" t="s">
        <v>1965</v>
      </c>
      <c r="H1724" s="748" t="s">
        <v>3617</v>
      </c>
      <c r="I1724" s="748" t="s">
        <v>1382</v>
      </c>
      <c r="J1724" s="748" t="s">
        <v>451</v>
      </c>
      <c r="K1724" s="748" t="s">
        <v>2282</v>
      </c>
      <c r="L1724" s="748" t="s">
        <v>833</v>
      </c>
      <c r="M1724" s="748" t="s">
        <v>2211</v>
      </c>
      <c r="N1724" s="748" t="s">
        <v>1997</v>
      </c>
      <c r="O1724" s="748" t="s">
        <v>489</v>
      </c>
      <c r="P1724" s="748" t="s">
        <v>1664</v>
      </c>
      <c r="Q1724" s="748" t="s">
        <v>1665</v>
      </c>
      <c r="S1724" s="748" t="s">
        <v>657</v>
      </c>
      <c r="EU1724" s="748" t="s">
        <v>3776</v>
      </c>
      <c r="EV1724" s="748" t="s">
        <v>3776</v>
      </c>
      <c r="EW1724" s="748" t="s">
        <v>3776</v>
      </c>
      <c r="EX1724" s="748" t="s">
        <v>3776</v>
      </c>
      <c r="FD1724" s="748" t="s">
        <v>3778</v>
      </c>
      <c r="FE1724" s="748" t="s">
        <v>3778</v>
      </c>
      <c r="FF1724" s="748" t="s">
        <v>3778</v>
      </c>
      <c r="FG1724" s="748" t="s">
        <v>3778</v>
      </c>
      <c r="FH1724" s="748" t="s">
        <v>3778</v>
      </c>
    </row>
    <row r="1725" spans="1:219" ht="13.15" customHeight="1">
      <c r="A1725" s="748" t="str">
        <f>IF(AND(E1725&gt;0,OR(B1725="",C1725="",D1725="",F1725="",G1725="", H1725="",M1725="",N1725="",O1725="")),1,"")</f>
        <v/>
      </c>
      <c r="B1725" s="748" t="str">
        <f>'Part VI-Revenues &amp; Expenses'!B10</f>
        <v>50% AMI</v>
      </c>
      <c r="C1725" s="748">
        <f>'Part VI-Revenues &amp; Expenses'!C10</f>
        <v>3</v>
      </c>
      <c r="D1725" s="748">
        <f>'Part VI-Revenues &amp; Expenses'!D10</f>
        <v>2</v>
      </c>
      <c r="E1725" s="748">
        <f>'Part VI-Revenues &amp; Expenses'!E10</f>
        <v>7</v>
      </c>
      <c r="F1725" s="748">
        <f>'Part VI-Revenues &amp; Expenses'!F10</f>
        <v>1300</v>
      </c>
      <c r="G1725" s="748">
        <f>'Part VI-Revenues &amp; Expenses'!G10</f>
        <v>933</v>
      </c>
      <c r="H1725" s="748">
        <f>'Part VI-Revenues &amp; Expenses'!H10</f>
        <v>782</v>
      </c>
      <c r="I1725" s="748">
        <f>'Part VI-Revenues &amp; Expenses'!I10</f>
        <v>192</v>
      </c>
      <c r="J1725" s="748">
        <f>'Part VI-Revenues &amp; Expenses'!J10</f>
        <v>0</v>
      </c>
      <c r="K1725" s="748">
        <f>MAX(0,H1725-I1725)</f>
        <v>590</v>
      </c>
      <c r="L1725" s="748">
        <f t="shared" ref="L1725:L1762" si="99">MAX(0,E1725*K1725)</f>
        <v>4130</v>
      </c>
      <c r="M1725" s="748" t="str">
        <f>'Part VI-Revenues &amp; Expenses'!M10</f>
        <v>No</v>
      </c>
      <c r="N1725" s="748" t="str">
        <f>'Part VI-Revenues &amp; Expenses'!N10</f>
        <v>Townhome</v>
      </c>
      <c r="O1725" s="748" t="str">
        <f>'Part VI-Revenues &amp; Expenses'!O10</f>
        <v>New Construction</v>
      </c>
      <c r="P1725" s="748">
        <f>'Part VI-Revenues &amp; Expenses'!P10</f>
        <v>31280</v>
      </c>
      <c r="Q1725" s="748">
        <f>'Part VI-Revenues &amp; Expenses'!Q10</f>
        <v>0.44036490595787814</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t="str">
        <f t="shared" ref="AA1725:AA1762" si="107">IF(AND(C1725=2,B1725="50% AMI",NOT(M1725="Common")),E1725,"")</f>
        <v/>
      </c>
      <c r="AB1725" s="748">
        <f t="shared" ref="AB1725:AB1762" si="108">IF(AND(C1725=3,B1725="50% AMI",NOT(M1725="Common")),E1725,"")</f>
        <v>7</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t="str">
        <f t="shared" ref="CD1725:CD1762" si="132">IF(OR(AND(C1725=2,B1725="50% AMI",NOT(M1725="Common")),AND(C1725=2,B1725="HOME 50% AMI",NOT(M1725="Common"))),E1725*F1725,"")</f>
        <v/>
      </c>
      <c r="CE1725" s="748">
        <f t="shared" ref="CE1725:CE1762" si="133">IF(OR(AND(C1725=3,B1725="50% AMI",NOT(M1725="Common")),AND(C1725=3,B1725="HOME 50% AMI",NOT(M1725="Common"))),E1725*F1725,"")</f>
        <v>9100</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f t="shared" ref="DD1725:DD1762" si="158">IF(AND($C1725=3, $O1725="New Construction",NOT($B1725="Unrestricted"),NOT($B1725="NSP 120% AMI"),NOT($B1725="N/A-CS"),NOT($M1725="Common")),$E1725,"")</f>
        <v>7</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t="str">
        <f t="shared" ref="EU1725:EU1762" si="201">IF(AND($C1725=1, NOT(OR($N1725="SF Detached",$N1725="Mfd Home",$N1725="Duplex",$N1725="Townhome"))),$E1725,"")</f>
        <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f t="shared" ref="FQ1725:FQ1762" si="223">IF(AND($C1725=3, $N1725="Townhome"),$E1725,"")</f>
        <v>7</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4</v>
      </c>
      <c r="D1726" s="748">
        <f>'Part VI-Revenues &amp; Expenses'!D11</f>
        <v>2.5</v>
      </c>
      <c r="E1726" s="748">
        <f>'Part VI-Revenues &amp; Expenses'!E11</f>
        <v>3</v>
      </c>
      <c r="F1726" s="748">
        <f>'Part VI-Revenues &amp; Expenses'!F11</f>
        <v>1415</v>
      </c>
      <c r="G1726" s="748">
        <f>'Part VI-Revenues &amp; Expenses'!G11</f>
        <v>1041</v>
      </c>
      <c r="H1726" s="748">
        <f>'Part VI-Revenues &amp; Expenses'!H11</f>
        <v>911</v>
      </c>
      <c r="I1726" s="748">
        <f>'Part VI-Revenues &amp; Expenses'!I11</f>
        <v>231</v>
      </c>
      <c r="J1726" s="748">
        <f>'Part VI-Revenues &amp; Expenses'!J11</f>
        <v>0</v>
      </c>
      <c r="K1726" s="748">
        <f t="shared" ref="K1726:K1742" si="271">MAX(0,H1726-I1726)</f>
        <v>680</v>
      </c>
      <c r="L1726" s="748">
        <f t="shared" si="99"/>
        <v>2040</v>
      </c>
      <c r="M1726" s="748" t="str">
        <f>'Part VI-Revenues &amp; Expenses'!M11</f>
        <v>No</v>
      </c>
      <c r="N1726" s="748" t="str">
        <f>'Part VI-Revenues &amp; Expenses'!N11</f>
        <v>Townhome</v>
      </c>
      <c r="O1726" s="748" t="str">
        <f>'Part VI-Revenues &amp; Expenses'!O11</f>
        <v>New Construction</v>
      </c>
      <c r="P1726" s="748">
        <f>'Part VI-Revenues &amp; Expenses'!P11</f>
        <v>36440</v>
      </c>
      <c r="Q1726" s="748">
        <f>'Part VI-Revenues &amp; Expenses'!Q11</f>
        <v>0.45993840561417682</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f t="shared" si="109"/>
        <v>3</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f t="shared" si="134"/>
        <v>4245</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f t="shared" si="159"/>
        <v>3</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f t="shared" si="224"/>
        <v>3</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3</v>
      </c>
      <c r="D1727" s="748">
        <f>'Part VI-Revenues &amp; Expenses'!D12</f>
        <v>2</v>
      </c>
      <c r="E1727" s="748">
        <f>'Part VI-Revenues &amp; Expenses'!E12</f>
        <v>39</v>
      </c>
      <c r="F1727" s="748">
        <f>'Part VI-Revenues &amp; Expenses'!F12</f>
        <v>1300</v>
      </c>
      <c r="G1727" s="748">
        <f>'Part VI-Revenues &amp; Expenses'!G12</f>
        <v>1120</v>
      </c>
      <c r="H1727" s="748">
        <f>'Part VI-Revenues &amp; Expenses'!H12</f>
        <v>892</v>
      </c>
      <c r="I1727" s="748">
        <f>'Part VI-Revenues &amp; Expenses'!I12</f>
        <v>192</v>
      </c>
      <c r="J1727" s="748">
        <f>'Part VI-Revenues &amp; Expenses'!J12</f>
        <v>0</v>
      </c>
      <c r="K1727" s="748">
        <f t="shared" si="271"/>
        <v>700</v>
      </c>
      <c r="L1727" s="748">
        <f t="shared" si="99"/>
        <v>27300</v>
      </c>
      <c r="M1727" s="748" t="str">
        <f>'Part VI-Revenues &amp; Expenses'!M12</f>
        <v>No</v>
      </c>
      <c r="N1727" s="748" t="str">
        <f>'Part VI-Revenues &amp; Expenses'!N12</f>
        <v>Townhome</v>
      </c>
      <c r="O1727" s="748" t="str">
        <f>'Part VI-Revenues &amp; Expenses'!O12</f>
        <v>New Construction</v>
      </c>
      <c r="P1727" s="748">
        <f>'Part VI-Revenues &amp; Expenses'!P12</f>
        <v>35680</v>
      </c>
      <c r="Q1727" s="748">
        <f>'Part VI-Revenues &amp; Expenses'!Q12</f>
        <v>0.50230881856064868</v>
      </c>
      <c r="R1727" s="748">
        <f>'Part VI-Revenues &amp; Expenses'!R12</f>
        <v>0</v>
      </c>
      <c r="T1727" s="748" t="str">
        <f t="shared" si="100"/>
        <v/>
      </c>
      <c r="U1727" s="748" t="str">
        <f t="shared" si="101"/>
        <v/>
      </c>
      <c r="V1727" s="748" t="str">
        <f t="shared" si="102"/>
        <v/>
      </c>
      <c r="W1727" s="748">
        <f t="shared" si="103"/>
        <v>39</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f t="shared" si="128"/>
        <v>50700</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f t="shared" si="158"/>
        <v>39</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f t="shared" si="223"/>
        <v>39</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4</v>
      </c>
      <c r="D1728" s="748">
        <f>'Part VI-Revenues &amp; Expenses'!D13</f>
        <v>2.5</v>
      </c>
      <c r="E1728" s="748">
        <f>'Part VI-Revenues &amp; Expenses'!E13</f>
        <v>13</v>
      </c>
      <c r="F1728" s="748">
        <f>'Part VI-Revenues &amp; Expenses'!F13</f>
        <v>1415</v>
      </c>
      <c r="G1728" s="748">
        <f>'Part VI-Revenues &amp; Expenses'!G13</f>
        <v>1249</v>
      </c>
      <c r="H1728" s="748">
        <f>'Part VI-Revenues &amp; Expenses'!H13</f>
        <v>1111</v>
      </c>
      <c r="I1728" s="748">
        <f>'Part VI-Revenues &amp; Expenses'!I13</f>
        <v>231</v>
      </c>
      <c r="J1728" s="748">
        <f>'Part VI-Revenues &amp; Expenses'!J13</f>
        <v>0</v>
      </c>
      <c r="K1728" s="748">
        <f t="shared" si="271"/>
        <v>880</v>
      </c>
      <c r="L1728" s="748">
        <f t="shared" si="99"/>
        <v>11440</v>
      </c>
      <c r="M1728" s="748" t="str">
        <f>'Part VI-Revenues &amp; Expenses'!M13</f>
        <v>No</v>
      </c>
      <c r="N1728" s="748" t="str">
        <f>'Part VI-Revenues &amp; Expenses'!N13</f>
        <v>Townhome</v>
      </c>
      <c r="O1728" s="748" t="str">
        <f>'Part VI-Revenues &amp; Expenses'!O13</f>
        <v>New Construction</v>
      </c>
      <c r="P1728" s="748">
        <f>'Part VI-Revenues &amp; Expenses'!P13</f>
        <v>44440</v>
      </c>
      <c r="Q1728" s="748">
        <f>'Part VI-Revenues &amp; Expenses'!Q13</f>
        <v>0.56091280860301918</v>
      </c>
      <c r="R1728" s="748">
        <f>'Part VI-Revenues &amp; Expenses'!R13</f>
        <v>0</v>
      </c>
      <c r="T1728" s="748" t="str">
        <f t="shared" si="100"/>
        <v/>
      </c>
      <c r="U1728" s="748" t="str">
        <f t="shared" si="101"/>
        <v/>
      </c>
      <c r="V1728" s="748" t="str">
        <f t="shared" si="102"/>
        <v/>
      </c>
      <c r="W1728" s="748" t="str">
        <f t="shared" si="103"/>
        <v/>
      </c>
      <c r="X1728" s="748">
        <f t="shared" si="104"/>
        <v>13</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f t="shared" si="129"/>
        <v>18395</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f t="shared" si="159"/>
        <v>13</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f t="shared" si="224"/>
        <v>13</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1635</v>
      </c>
      <c r="E1763" s="748">
        <f>SUM(E1725:E1762)</f>
        <v>62</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82440</v>
      </c>
      <c r="K1763" s="748" t="s">
        <v>2003</v>
      </c>
      <c r="L1763" s="748">
        <f>SUM(L1725:L1762)</f>
        <v>44910</v>
      </c>
      <c r="T1763" s="748">
        <f t="shared" ref="T1763:CE1763" si="304">SUM(T1725:T1762)</f>
        <v>0</v>
      </c>
      <c r="U1763" s="748">
        <f t="shared" si="304"/>
        <v>0</v>
      </c>
      <c r="V1763" s="748">
        <f t="shared" si="304"/>
        <v>0</v>
      </c>
      <c r="W1763" s="748">
        <f t="shared" si="304"/>
        <v>39</v>
      </c>
      <c r="X1763" s="748">
        <f t="shared" si="304"/>
        <v>13</v>
      </c>
      <c r="Y1763" s="748">
        <f t="shared" si="304"/>
        <v>0</v>
      </c>
      <c r="Z1763" s="748">
        <f t="shared" si="304"/>
        <v>0</v>
      </c>
      <c r="AA1763" s="748">
        <f t="shared" si="304"/>
        <v>0</v>
      </c>
      <c r="AB1763" s="748">
        <f t="shared" si="304"/>
        <v>7</v>
      </c>
      <c r="AC1763" s="748">
        <f t="shared" si="304"/>
        <v>3</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0</v>
      </c>
      <c r="BY1763" s="748">
        <f t="shared" si="304"/>
        <v>0</v>
      </c>
      <c r="BZ1763" s="748">
        <f t="shared" si="304"/>
        <v>50700</v>
      </c>
      <c r="CA1763" s="748">
        <f t="shared" si="304"/>
        <v>18395</v>
      </c>
      <c r="CB1763" s="748">
        <f t="shared" si="304"/>
        <v>0</v>
      </c>
      <c r="CC1763" s="748">
        <f t="shared" si="304"/>
        <v>0</v>
      </c>
      <c r="CD1763" s="748">
        <f t="shared" si="304"/>
        <v>0</v>
      </c>
      <c r="CE1763" s="748">
        <f t="shared" si="304"/>
        <v>9100</v>
      </c>
      <c r="CF1763" s="748">
        <f t="shared" ref="CF1763:EN1763" si="305">SUM(CF1725:CF1762)</f>
        <v>4245</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46</v>
      </c>
      <c r="DE1763" s="748">
        <f t="shared" si="305"/>
        <v>16</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0</v>
      </c>
      <c r="EV1763" s="748">
        <f t="shared" si="306"/>
        <v>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46</v>
      </c>
      <c r="FR1763" s="748">
        <f t="shared" si="306"/>
        <v>16</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1397</v>
      </c>
      <c r="L1764" s="748">
        <f>L1763*12</f>
        <v>538920</v>
      </c>
    </row>
    <row r="1765" spans="1:219" ht="6" customHeight="1"/>
    <row r="1766" spans="1:219" ht="14.45" customHeight="1">
      <c r="A1766" s="748" t="s">
        <v>4074</v>
      </c>
    </row>
    <row r="1767" spans="1:219" ht="14.45" customHeight="1"/>
    <row r="1768" spans="1:219" ht="2.4500000000000002" customHeight="1"/>
    <row r="1769" spans="1:219" ht="14.45" customHeight="1">
      <c r="A1769" s="748" t="s">
        <v>1230</v>
      </c>
      <c r="B1769" s="748" t="s">
        <v>828</v>
      </c>
      <c r="Q1769" s="748" t="str">
        <f>IF(SUM(Q1772:Q1813)&gt;0,"ERROR Between Rent Schedule &amp; Unit Summary:", "")</f>
        <v/>
      </c>
      <c r="R1769" s="748" t="s">
        <v>1230</v>
      </c>
      <c r="S1769" s="748" t="s">
        <v>828</v>
      </c>
    </row>
    <row r="1770" spans="1:219" ht="3" customHeight="1"/>
    <row r="1771" spans="1:219" ht="14.45" customHeight="1">
      <c r="B1771" s="748" t="s">
        <v>1777</v>
      </c>
      <c r="H1771" s="748" t="s">
        <v>866</v>
      </c>
      <c r="I1771" s="748" t="s">
        <v>829</v>
      </c>
      <c r="J1771" s="748" t="s">
        <v>830</v>
      </c>
      <c r="K1771" s="748" t="s">
        <v>831</v>
      </c>
      <c r="L1771" s="748" t="s">
        <v>832</v>
      </c>
      <c r="M1771" s="748" t="s">
        <v>833</v>
      </c>
      <c r="S1771" s="748" t="s">
        <v>1777</v>
      </c>
      <c r="Y1771" s="748" t="s">
        <v>866</v>
      </c>
      <c r="Z1771" s="748" t="s">
        <v>829</v>
      </c>
      <c r="AA1771" s="748" t="s">
        <v>830</v>
      </c>
      <c r="AB1771" s="748" t="s">
        <v>831</v>
      </c>
      <c r="AC1771" s="748" t="s">
        <v>832</v>
      </c>
      <c r="AD1771" s="748" t="s">
        <v>833</v>
      </c>
    </row>
    <row r="1772" spans="1:219" ht="15" customHeight="1">
      <c r="C1772" s="748" t="s">
        <v>1779</v>
      </c>
      <c r="G1772" s="748" t="s">
        <v>1792</v>
      </c>
      <c r="H1772" s="748">
        <f>T1763</f>
        <v>0</v>
      </c>
      <c r="I1772" s="748">
        <f>U1763</f>
        <v>0</v>
      </c>
      <c r="J1772" s="748">
        <f>V1763</f>
        <v>0</v>
      </c>
      <c r="K1772" s="748">
        <f>W1763</f>
        <v>39</v>
      </c>
      <c r="L1772" s="748">
        <f>X1763</f>
        <v>13</v>
      </c>
      <c r="M1772" s="748">
        <f t="shared" ref="M1772:M1778" si="308">SUM(H1772:L1772)</f>
        <v>52</v>
      </c>
      <c r="N1772" s="748" t="s">
        <v>1484</v>
      </c>
      <c r="Q1772" s="748">
        <f t="shared" ref="Q1772:Q1778" si="309">ABS(M1772-AD1772)</f>
        <v>0</v>
      </c>
      <c r="T1772" s="748" t="s">
        <v>1779</v>
      </c>
      <c r="X1772" s="748" t="s">
        <v>1792</v>
      </c>
      <c r="Y1772" s="748">
        <f>T1763</f>
        <v>0</v>
      </c>
      <c r="Z1772" s="748">
        <f>U1763</f>
        <v>0</v>
      </c>
      <c r="AA1772" s="748">
        <f>V1763</f>
        <v>0</v>
      </c>
      <c r="AB1772" s="748">
        <f>W1763</f>
        <v>39</v>
      </c>
      <c r="AC1772" s="748">
        <f>X1763</f>
        <v>13</v>
      </c>
      <c r="AD1772" s="748">
        <f t="shared" ref="AD1772:AD1778" si="310">SUM(Y1772:AC1772)</f>
        <v>52</v>
      </c>
      <c r="AE1772" s="748" t="s">
        <v>1556</v>
      </c>
    </row>
    <row r="1773" spans="1:219" ht="15" customHeight="1">
      <c r="A1773" s="748" t="s">
        <v>653</v>
      </c>
      <c r="G1773" s="748" t="s">
        <v>133</v>
      </c>
      <c r="H1773" s="748">
        <f>Y1763</f>
        <v>0</v>
      </c>
      <c r="I1773" s="748">
        <f>Z1763</f>
        <v>0</v>
      </c>
      <c r="J1773" s="748">
        <f>AA1763</f>
        <v>0</v>
      </c>
      <c r="K1773" s="748">
        <f>AB1763</f>
        <v>7</v>
      </c>
      <c r="L1773" s="748">
        <f>AC1763</f>
        <v>3</v>
      </c>
      <c r="M1773" s="748">
        <f t="shared" si="308"/>
        <v>10</v>
      </c>
      <c r="Q1773" s="748">
        <f t="shared" si="309"/>
        <v>0</v>
      </c>
      <c r="X1773" s="748" t="s">
        <v>133</v>
      </c>
      <c r="Y1773" s="748">
        <f>Y1763</f>
        <v>0</v>
      </c>
      <c r="Z1773" s="748">
        <f>Z1763</f>
        <v>0</v>
      </c>
      <c r="AA1773" s="748">
        <f>AA1763</f>
        <v>0</v>
      </c>
      <c r="AB1773" s="748">
        <f>AB1763</f>
        <v>7</v>
      </c>
      <c r="AC1773" s="748">
        <f>AC1763</f>
        <v>3</v>
      </c>
      <c r="AD1773" s="748">
        <f t="shared" si="310"/>
        <v>10</v>
      </c>
    </row>
    <row r="1774" spans="1:219" ht="15" customHeight="1">
      <c r="G1774" s="748" t="s">
        <v>833</v>
      </c>
      <c r="H1774" s="748">
        <f>SUM(H1772:H1773)</f>
        <v>0</v>
      </c>
      <c r="I1774" s="748">
        <f>SUM(I1772:I1773)</f>
        <v>0</v>
      </c>
      <c r="J1774" s="748">
        <f>SUM(J1772:J1773)</f>
        <v>0</v>
      </c>
      <c r="K1774" s="748">
        <f>SUM(K1772:K1773)</f>
        <v>46</v>
      </c>
      <c r="L1774" s="748">
        <f>SUM(L1772:L1773)</f>
        <v>16</v>
      </c>
      <c r="M1774" s="748">
        <f t="shared" si="308"/>
        <v>62</v>
      </c>
      <c r="Q1774" s="748">
        <f t="shared" si="309"/>
        <v>0</v>
      </c>
      <c r="X1774" s="748" t="s">
        <v>833</v>
      </c>
      <c r="Y1774" s="748">
        <f>SUM(Y1772:Y1773)</f>
        <v>0</v>
      </c>
      <c r="Z1774" s="748">
        <f>SUM(Z1772:Z1773)</f>
        <v>0</v>
      </c>
      <c r="AA1774" s="748">
        <f>SUM(AA1772:AA1773)</f>
        <v>0</v>
      </c>
      <c r="AB1774" s="748">
        <f>SUM(AB1772:AB1773)</f>
        <v>46</v>
      </c>
      <c r="AC1774" s="748">
        <f>SUM(AC1772:AC1773)</f>
        <v>16</v>
      </c>
      <c r="AD1774" s="748">
        <f t="shared" si="310"/>
        <v>62</v>
      </c>
    </row>
    <row r="1775" spans="1:219" ht="15" customHeight="1">
      <c r="C1775" s="748" t="s">
        <v>397</v>
      </c>
      <c r="H1775" s="748">
        <f>AI1763</f>
        <v>0</v>
      </c>
      <c r="I1775" s="748">
        <f>AJ1763</f>
        <v>0</v>
      </c>
      <c r="J1775" s="748">
        <f>AK1763</f>
        <v>0</v>
      </c>
      <c r="K1775" s="748">
        <f>AL1763</f>
        <v>0</v>
      </c>
      <c r="L1775" s="748">
        <f>AM1763</f>
        <v>0</v>
      </c>
      <c r="M1775" s="748">
        <f t="shared" si="308"/>
        <v>0</v>
      </c>
      <c r="Q1775" s="748">
        <f t="shared" si="309"/>
        <v>0</v>
      </c>
      <c r="T1775" s="748" t="s">
        <v>397</v>
      </c>
      <c r="Y1775" s="748">
        <f>AI1763</f>
        <v>0</v>
      </c>
      <c r="Z1775" s="748">
        <f>AJ1763</f>
        <v>0</v>
      </c>
      <c r="AA1775" s="748">
        <f>AK1763</f>
        <v>0</v>
      </c>
      <c r="AB1775" s="748">
        <f>AL1763</f>
        <v>0</v>
      </c>
      <c r="AC1775" s="748">
        <f>AM1763</f>
        <v>0</v>
      </c>
      <c r="AD1775" s="748">
        <f t="shared" si="310"/>
        <v>0</v>
      </c>
    </row>
    <row r="1776" spans="1:219" ht="15" customHeight="1">
      <c r="C1776" s="748" t="s">
        <v>1780</v>
      </c>
      <c r="H1776" s="748">
        <f>SUM(H1774:H1775)</f>
        <v>0</v>
      </c>
      <c r="I1776" s="748">
        <f>SUM(I1774:I1775)</f>
        <v>0</v>
      </c>
      <c r="J1776" s="748">
        <f>SUM(J1774:J1775)</f>
        <v>0</v>
      </c>
      <c r="K1776" s="748">
        <f>SUM(K1774:K1775)</f>
        <v>46</v>
      </c>
      <c r="L1776" s="748">
        <f>SUM(L1774:L1775)</f>
        <v>16</v>
      </c>
      <c r="M1776" s="748">
        <f t="shared" si="308"/>
        <v>62</v>
      </c>
      <c r="Q1776" s="748">
        <f t="shared" si="309"/>
        <v>0</v>
      </c>
      <c r="T1776" s="748" t="s">
        <v>1780</v>
      </c>
      <c r="Y1776" s="748">
        <f>SUM(Y1774:Y1775)</f>
        <v>0</v>
      </c>
      <c r="Z1776" s="748">
        <f>SUM(Z1774:Z1775)</f>
        <v>0</v>
      </c>
      <c r="AA1776" s="748">
        <f>SUM(AA1774:AA1775)</f>
        <v>0</v>
      </c>
      <c r="AB1776" s="748">
        <f>SUM(AB1774:AB1775)</f>
        <v>46</v>
      </c>
      <c r="AC1776" s="748">
        <f>SUM(AC1774:AC1775)</f>
        <v>16</v>
      </c>
      <c r="AD1776" s="748">
        <f t="shared" si="310"/>
        <v>62</v>
      </c>
    </row>
    <row r="1777" spans="3:31" ht="15" customHeight="1">
      <c r="C1777" s="748" t="s">
        <v>3798</v>
      </c>
      <c r="H1777" s="748">
        <f>BR1763</f>
        <v>0</v>
      </c>
      <c r="I1777" s="748">
        <f>BS1763</f>
        <v>0</v>
      </c>
      <c r="J1777" s="748">
        <f>BT1763</f>
        <v>0</v>
      </c>
      <c r="K1777" s="748">
        <f>BU1763</f>
        <v>0</v>
      </c>
      <c r="L1777" s="748">
        <f>BV1763</f>
        <v>0</v>
      </c>
      <c r="M1777" s="748">
        <f t="shared" si="308"/>
        <v>0</v>
      </c>
      <c r="N1777" s="748" t="s">
        <v>3329</v>
      </c>
      <c r="Q1777" s="748">
        <f t="shared" si="309"/>
        <v>0</v>
      </c>
      <c r="T1777" s="748" t="s">
        <v>3798</v>
      </c>
      <c r="Y1777" s="748">
        <f>BR1763</f>
        <v>0</v>
      </c>
      <c r="Z1777" s="748">
        <f>BS1763</f>
        <v>0</v>
      </c>
      <c r="AA1777" s="748">
        <f>BT1763</f>
        <v>0</v>
      </c>
      <c r="AB1777" s="748">
        <f>BU1763</f>
        <v>0</v>
      </c>
      <c r="AC1777" s="748">
        <f>BV1763</f>
        <v>0</v>
      </c>
      <c r="AD1777" s="748">
        <f t="shared" si="310"/>
        <v>0</v>
      </c>
      <c r="AE1777" s="748" t="s">
        <v>841</v>
      </c>
    </row>
    <row r="1778" spans="3:31" ht="15" customHeight="1">
      <c r="C1778" s="748" t="s">
        <v>833</v>
      </c>
      <c r="H1778" s="748">
        <f>SUM(H1776:H1777)</f>
        <v>0</v>
      </c>
      <c r="I1778" s="748">
        <f>SUM(I1776:I1777)</f>
        <v>0</v>
      </c>
      <c r="J1778" s="748">
        <f>SUM(J1776:J1777)</f>
        <v>0</v>
      </c>
      <c r="K1778" s="748">
        <f>SUM(K1776:K1777)</f>
        <v>46</v>
      </c>
      <c r="L1778" s="748">
        <f>SUM(L1776:L1777)</f>
        <v>16</v>
      </c>
      <c r="M1778" s="748">
        <f t="shared" si="308"/>
        <v>62</v>
      </c>
      <c r="Q1778" s="748">
        <f t="shared" si="309"/>
        <v>0</v>
      </c>
      <c r="T1778" s="748" t="s">
        <v>833</v>
      </c>
      <c r="Y1778" s="748">
        <f>SUM(Y1776:Y1777)</f>
        <v>0</v>
      </c>
      <c r="Z1778" s="748">
        <f>SUM(Z1776:Z1777)</f>
        <v>0</v>
      </c>
      <c r="AA1778" s="748">
        <f>SUM(AA1776:AA1777)</f>
        <v>0</v>
      </c>
      <c r="AB1778" s="748">
        <f>SUM(AB1776:AB1777)</f>
        <v>46</v>
      </c>
      <c r="AC1778" s="748">
        <f>SUM(AC1776:AC1777)</f>
        <v>16</v>
      </c>
      <c r="AD1778" s="748">
        <f t="shared" si="310"/>
        <v>62</v>
      </c>
    </row>
    <row r="1779" spans="3:31" ht="14.45" customHeight="1"/>
    <row r="1780" spans="3:31" ht="15" customHeight="1">
      <c r="C1780" s="748" t="s">
        <v>1530</v>
      </c>
      <c r="G1780" s="748" t="s">
        <v>1792</v>
      </c>
      <c r="H1780" s="748">
        <f>AX1763</f>
        <v>0</v>
      </c>
      <c r="I1780" s="748">
        <f>AY1763</f>
        <v>0</v>
      </c>
      <c r="J1780" s="748">
        <f>AZ1763</f>
        <v>0</v>
      </c>
      <c r="K1780" s="748">
        <f>BA1763</f>
        <v>0</v>
      </c>
      <c r="L1780" s="748">
        <f>BB1763</f>
        <v>0</v>
      </c>
      <c r="M1780" s="748">
        <f>SUM(H1780:L1780)</f>
        <v>0</v>
      </c>
      <c r="Q1780" s="748">
        <f>ABS(M1780-AD1780)</f>
        <v>0</v>
      </c>
      <c r="T1780" s="748" t="s">
        <v>1530</v>
      </c>
      <c r="X1780" s="748" t="s">
        <v>1792</v>
      </c>
      <c r="Y1780" s="748">
        <f>AX1763</f>
        <v>0</v>
      </c>
      <c r="Z1780" s="748">
        <f>AY1763</f>
        <v>0</v>
      </c>
      <c r="AA1780" s="748">
        <f>AZ1763</f>
        <v>0</v>
      </c>
      <c r="AB1780" s="748">
        <f>BA1763</f>
        <v>0</v>
      </c>
      <c r="AC1780" s="748">
        <f>BB1763</f>
        <v>0</v>
      </c>
      <c r="AD1780" s="748">
        <f>SUM(Y1780:AC1780)</f>
        <v>0</v>
      </c>
    </row>
    <row r="1781" spans="3:31" ht="15" customHeight="1">
      <c r="C1781" s="748" t="s">
        <v>3799</v>
      </c>
      <c r="G1781" s="748" t="s">
        <v>133</v>
      </c>
      <c r="H1781" s="748">
        <f>AS1763</f>
        <v>0</v>
      </c>
      <c r="I1781" s="748">
        <f>AT1763</f>
        <v>0</v>
      </c>
      <c r="J1781" s="748">
        <f>AU1763</f>
        <v>0</v>
      </c>
      <c r="K1781" s="748">
        <f>AV1763</f>
        <v>0</v>
      </c>
      <c r="L1781" s="748">
        <f>AW1763</f>
        <v>0</v>
      </c>
      <c r="M1781" s="748">
        <f>SUM(H1781:L1781)</f>
        <v>0</v>
      </c>
      <c r="Q1781" s="748">
        <f>ABS(M1781-AD1781)</f>
        <v>0</v>
      </c>
      <c r="T1781" s="748" t="s">
        <v>3799</v>
      </c>
      <c r="X1781" s="748" t="s">
        <v>133</v>
      </c>
      <c r="Y1781" s="748">
        <f>AS1763</f>
        <v>0</v>
      </c>
      <c r="Z1781" s="748">
        <f>AT1763</f>
        <v>0</v>
      </c>
      <c r="AA1781" s="748">
        <f>AU1763</f>
        <v>0</v>
      </c>
      <c r="AB1781" s="748">
        <f>AV1763</f>
        <v>0</v>
      </c>
      <c r="AC1781" s="748">
        <f>AW1763</f>
        <v>0</v>
      </c>
      <c r="AD1781" s="748">
        <f>SUM(Y1781:AC1781)</f>
        <v>0</v>
      </c>
    </row>
    <row r="1782" spans="3:31" ht="15" customHeight="1">
      <c r="G1782" s="748" t="s">
        <v>833</v>
      </c>
      <c r="H1782" s="748">
        <f>SUM(H1780:H1781)</f>
        <v>0</v>
      </c>
      <c r="I1782" s="748">
        <f>SUM(I1780:I1781)</f>
        <v>0</v>
      </c>
      <c r="J1782" s="748">
        <f>SUM(J1780:J1781)</f>
        <v>0</v>
      </c>
      <c r="K1782" s="748">
        <f>SUM(K1780:K1781)</f>
        <v>0</v>
      </c>
      <c r="L1782" s="748">
        <f>SUM(L1780:L1781)</f>
        <v>0</v>
      </c>
      <c r="M1782" s="748">
        <f>SUM(H1782:L1782)</f>
        <v>0</v>
      </c>
      <c r="Q1782" s="748">
        <f>ABS(M1782-AD1782)</f>
        <v>0</v>
      </c>
      <c r="X1782" s="748" t="s">
        <v>833</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1483</v>
      </c>
      <c r="G1784" s="748" t="s">
        <v>1792</v>
      </c>
      <c r="H1784" s="748">
        <f>BM1763</f>
        <v>0</v>
      </c>
      <c r="I1784" s="748">
        <f>BN1763</f>
        <v>0</v>
      </c>
      <c r="J1784" s="748">
        <f>BO1763</f>
        <v>0</v>
      </c>
      <c r="K1784" s="748">
        <f>BP1763</f>
        <v>0</v>
      </c>
      <c r="L1784" s="748">
        <f>BQ1763</f>
        <v>0</v>
      </c>
      <c r="M1784" s="748">
        <f>SUM(H1784:L1784)</f>
        <v>0</v>
      </c>
      <c r="Q1784" s="748">
        <f>ABS(M1784-AD1784)</f>
        <v>0</v>
      </c>
      <c r="T1784" s="748" t="s">
        <v>1483</v>
      </c>
      <c r="X1784" s="748" t="s">
        <v>1792</v>
      </c>
      <c r="Y1784" s="748">
        <f>BM1763</f>
        <v>0</v>
      </c>
      <c r="Z1784" s="748">
        <f>BN1763</f>
        <v>0</v>
      </c>
      <c r="AA1784" s="748">
        <f>BO1763</f>
        <v>0</v>
      </c>
      <c r="AB1784" s="748">
        <f>BP1763</f>
        <v>0</v>
      </c>
      <c r="AC1784" s="748">
        <f>BQ1763</f>
        <v>0</v>
      </c>
      <c r="AD1784" s="748">
        <f>SUM(Y1784:AC1784)</f>
        <v>0</v>
      </c>
    </row>
    <row r="1785" spans="3:31" ht="15" customHeight="1">
      <c r="C1785" s="748" t="s">
        <v>3799</v>
      </c>
      <c r="G1785" s="748" t="s">
        <v>133</v>
      </c>
      <c r="H1785" s="748">
        <f>BH1763</f>
        <v>0</v>
      </c>
      <c r="I1785" s="748">
        <f>BI1763</f>
        <v>0</v>
      </c>
      <c r="J1785" s="748">
        <f>BJ1763</f>
        <v>0</v>
      </c>
      <c r="K1785" s="748">
        <f>BK1763</f>
        <v>0</v>
      </c>
      <c r="L1785" s="748">
        <f>BL1763</f>
        <v>0</v>
      </c>
      <c r="M1785" s="748">
        <f>SUM(H1785:L1785)</f>
        <v>0</v>
      </c>
      <c r="Q1785" s="748">
        <f>ABS(M1785-AD1785)</f>
        <v>0</v>
      </c>
      <c r="T1785" s="748" t="s">
        <v>3799</v>
      </c>
      <c r="X1785" s="748" t="s">
        <v>133</v>
      </c>
      <c r="Y1785" s="748">
        <f>BH1763</f>
        <v>0</v>
      </c>
      <c r="Z1785" s="748">
        <f>BI1763</f>
        <v>0</v>
      </c>
      <c r="AA1785" s="748">
        <f>BJ1763</f>
        <v>0</v>
      </c>
      <c r="AB1785" s="748">
        <f>BK1763</f>
        <v>0</v>
      </c>
      <c r="AC1785" s="748">
        <f>BL1763</f>
        <v>0</v>
      </c>
      <c r="AD1785" s="748">
        <f>SUM(Y1785:AC1785)</f>
        <v>0</v>
      </c>
    </row>
    <row r="1786" spans="3:31" ht="15" customHeight="1">
      <c r="G1786" s="748" t="s">
        <v>833</v>
      </c>
      <c r="H1786" s="748">
        <f>SUM(H1784:H1785)</f>
        <v>0</v>
      </c>
      <c r="I1786" s="748">
        <f>SUM(I1784:I1785)</f>
        <v>0</v>
      </c>
      <c r="J1786" s="748">
        <f>SUM(J1784:J1785)</f>
        <v>0</v>
      </c>
      <c r="K1786" s="748">
        <f>SUM(K1784:K1785)</f>
        <v>0</v>
      </c>
      <c r="L1786" s="748">
        <f>SUM(L1784:L1785)</f>
        <v>0</v>
      </c>
      <c r="M1786" s="748">
        <f>SUM(H1786:L1786)</f>
        <v>0</v>
      </c>
      <c r="Q1786" s="748">
        <f>ABS(M1786-AD1786)</f>
        <v>0</v>
      </c>
      <c r="X1786" s="748" t="s">
        <v>833</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3236</v>
      </c>
    </row>
    <row r="1788" spans="3:31" ht="15" customHeight="1">
      <c r="E1788" s="748" t="s">
        <v>3436</v>
      </c>
      <c r="G1788" s="748" t="s">
        <v>2155</v>
      </c>
      <c r="H1788" s="748">
        <f>DA1763</f>
        <v>0</v>
      </c>
      <c r="I1788" s="748">
        <f>DB1763</f>
        <v>0</v>
      </c>
      <c r="J1788" s="748">
        <f>DC1763</f>
        <v>0</v>
      </c>
      <c r="K1788" s="748">
        <f>DD1763</f>
        <v>46</v>
      </c>
      <c r="L1788" s="748">
        <f>DE1763</f>
        <v>16</v>
      </c>
      <c r="M1788" s="748">
        <f t="shared" ref="M1788:M1798" si="311">SUM(H1788:L1788)</f>
        <v>62</v>
      </c>
      <c r="Q1788" s="748">
        <f t="shared" ref="Q1788:Q1796" si="312">ABS(M1788-AD1788)</f>
        <v>0</v>
      </c>
      <c r="V1788" s="748" t="s">
        <v>3436</v>
      </c>
      <c r="X1788" s="748" t="s">
        <v>2155</v>
      </c>
      <c r="Y1788" s="748">
        <f>DA1763</f>
        <v>0</v>
      </c>
      <c r="Z1788" s="748">
        <f>DB1763</f>
        <v>0</v>
      </c>
      <c r="AA1788" s="748">
        <f>DC1763</f>
        <v>0</v>
      </c>
      <c r="AB1788" s="748">
        <f>DD1763</f>
        <v>46</v>
      </c>
      <c r="AC1788" s="748">
        <f>DE1763</f>
        <v>16</v>
      </c>
      <c r="AD1788" s="748">
        <f t="shared" ref="AD1788:AD1796" si="313">SUM(Y1788:AC1788)</f>
        <v>62</v>
      </c>
    </row>
    <row r="1789" spans="3:31" ht="15" customHeight="1">
      <c r="G1789" s="748" t="s">
        <v>397</v>
      </c>
      <c r="H1789" s="748">
        <f>DF1763</f>
        <v>0</v>
      </c>
      <c r="I1789" s="748">
        <f>DG1763</f>
        <v>0</v>
      </c>
      <c r="J1789" s="748">
        <f>DH1763</f>
        <v>0</v>
      </c>
      <c r="K1789" s="748">
        <f>DI1763</f>
        <v>0</v>
      </c>
      <c r="L1789" s="748">
        <f>DJ1763</f>
        <v>0</v>
      </c>
      <c r="M1789" s="748">
        <f t="shared" si="311"/>
        <v>0</v>
      </c>
      <c r="Q1789" s="748">
        <f t="shared" si="312"/>
        <v>0</v>
      </c>
      <c r="X1789" s="748" t="s">
        <v>2154</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46</v>
      </c>
      <c r="L1790" s="748">
        <f>SUM(L1788:L1789)+DO1763</f>
        <v>16</v>
      </c>
      <c r="M1790" s="748">
        <f t="shared" si="311"/>
        <v>62</v>
      </c>
      <c r="Q1790" s="748">
        <f t="shared" si="312"/>
        <v>0</v>
      </c>
      <c r="X1790" s="748" t="s">
        <v>34</v>
      </c>
      <c r="Y1790" s="748">
        <f>SUM(Y1788:Y1789)+DK1763</f>
        <v>0</v>
      </c>
      <c r="Z1790" s="748">
        <f>SUM(Z1788:Z1789)+DL1763</f>
        <v>0</v>
      </c>
      <c r="AA1790" s="748">
        <f>SUM(AA1788:AA1789)+DM1763</f>
        <v>0</v>
      </c>
      <c r="AB1790" s="748">
        <f>SUM(AB1788:AB1789)+DN1763</f>
        <v>46</v>
      </c>
      <c r="AC1790" s="748">
        <f>SUM(AC1788:AC1789)+DO1763</f>
        <v>16</v>
      </c>
      <c r="AD1790" s="748">
        <f t="shared" si="313"/>
        <v>62</v>
      </c>
    </row>
    <row r="1791" spans="3:31" ht="15" customHeight="1">
      <c r="E1791" s="748" t="s">
        <v>3238</v>
      </c>
      <c r="G1791" s="748" t="s">
        <v>2155</v>
      </c>
      <c r="H1791" s="748">
        <f>DP1763</f>
        <v>0</v>
      </c>
      <c r="I1791" s="748">
        <f>DQ1763</f>
        <v>0</v>
      </c>
      <c r="J1791" s="748">
        <f>DR1763</f>
        <v>0</v>
      </c>
      <c r="K1791" s="748">
        <f>DS1763</f>
        <v>0</v>
      </c>
      <c r="L1791" s="748">
        <f>DT1763</f>
        <v>0</v>
      </c>
      <c r="M1791" s="748">
        <f t="shared" si="311"/>
        <v>0</v>
      </c>
      <c r="Q1791" s="748">
        <f t="shared" si="312"/>
        <v>0</v>
      </c>
      <c r="V1791" s="748" t="s">
        <v>3238</v>
      </c>
      <c r="X1791" s="748" t="s">
        <v>2155</v>
      </c>
      <c r="Y1791" s="748">
        <f>DP1763</f>
        <v>0</v>
      </c>
      <c r="Z1791" s="748">
        <f>DQ1763</f>
        <v>0</v>
      </c>
      <c r="AA1791" s="748">
        <f>DR1763</f>
        <v>0</v>
      </c>
      <c r="AB1791" s="748">
        <f>DS1763</f>
        <v>0</v>
      </c>
      <c r="AC1791" s="748">
        <f>DT1763</f>
        <v>0</v>
      </c>
      <c r="AD1791" s="748">
        <f t="shared" si="313"/>
        <v>0</v>
      </c>
    </row>
    <row r="1792" spans="3:31" ht="15" customHeight="1">
      <c r="G1792" s="748" t="s">
        <v>397</v>
      </c>
      <c r="H1792" s="748">
        <f>DU1763</f>
        <v>0</v>
      </c>
      <c r="I1792" s="748">
        <f>DV1763</f>
        <v>0</v>
      </c>
      <c r="J1792" s="748">
        <f>DW1763</f>
        <v>0</v>
      </c>
      <c r="K1792" s="748">
        <f>DX1763</f>
        <v>0</v>
      </c>
      <c r="L1792" s="748">
        <f>DY1763</f>
        <v>0</v>
      </c>
      <c r="M1792" s="748">
        <f t="shared" si="311"/>
        <v>0</v>
      </c>
      <c r="Q1792" s="748">
        <f t="shared" si="312"/>
        <v>0</v>
      </c>
      <c r="X1792" s="748" t="s">
        <v>2154</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2132</v>
      </c>
      <c r="G1794" s="748" t="s">
        <v>2155</v>
      </c>
      <c r="H1794" s="748">
        <f>EE1763</f>
        <v>0</v>
      </c>
      <c r="I1794" s="748">
        <f>EF1763</f>
        <v>0</v>
      </c>
      <c r="J1794" s="748">
        <f>EG1763</f>
        <v>0</v>
      </c>
      <c r="K1794" s="748">
        <f>EH1763</f>
        <v>0</v>
      </c>
      <c r="L1794" s="748">
        <f>EI1763</f>
        <v>0</v>
      </c>
      <c r="M1794" s="748">
        <f t="shared" si="311"/>
        <v>0</v>
      </c>
      <c r="Q1794" s="748">
        <f t="shared" si="312"/>
        <v>0</v>
      </c>
      <c r="V1794" s="748" t="s">
        <v>3142</v>
      </c>
      <c r="X1794" s="748" t="s">
        <v>2155</v>
      </c>
      <c r="Y1794" s="748">
        <f>EE1763</f>
        <v>0</v>
      </c>
      <c r="Z1794" s="748">
        <f>EF1763</f>
        <v>0</v>
      </c>
      <c r="AA1794" s="748">
        <f>EG1763</f>
        <v>0</v>
      </c>
      <c r="AB1794" s="748">
        <f>EH1763</f>
        <v>0</v>
      </c>
      <c r="AC1794" s="748">
        <f>EI1763</f>
        <v>0</v>
      </c>
      <c r="AD1794" s="748">
        <f t="shared" si="313"/>
        <v>0</v>
      </c>
    </row>
    <row r="1795" spans="2:30" ht="15" customHeight="1">
      <c r="G1795" s="748" t="s">
        <v>397</v>
      </c>
      <c r="H1795" s="748">
        <f>EJ1763</f>
        <v>0</v>
      </c>
      <c r="I1795" s="748">
        <f>EK1763</f>
        <v>0</v>
      </c>
      <c r="J1795" s="748">
        <f>EL1763</f>
        <v>0</v>
      </c>
      <c r="K1795" s="748">
        <f>EM1763</f>
        <v>0</v>
      </c>
      <c r="L1795" s="748">
        <f>EN1763</f>
        <v>0</v>
      </c>
      <c r="M1795" s="748">
        <f t="shared" si="311"/>
        <v>0</v>
      </c>
      <c r="Q1795" s="748">
        <f t="shared" si="312"/>
        <v>0</v>
      </c>
      <c r="X1795" s="748" t="s">
        <v>2154</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469</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470</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0</v>
      </c>
      <c r="J1800" s="748">
        <f>EV1763</f>
        <v>0</v>
      </c>
      <c r="K1800" s="748">
        <f>EW1763</f>
        <v>0</v>
      </c>
      <c r="L1800" s="748">
        <f>EX1763</f>
        <v>0</v>
      </c>
      <c r="M1800" s="748">
        <f>SUM(H1800:L1800)</f>
        <v>0</v>
      </c>
      <c r="Q1800" s="748">
        <f>ABS(M1800-AD1800)</f>
        <v>0</v>
      </c>
      <c r="V1800" s="748" t="s">
        <v>46</v>
      </c>
      <c r="Y1800" s="748">
        <f>ET1763</f>
        <v>0</v>
      </c>
      <c r="Z1800" s="748">
        <f>EU1763</f>
        <v>0</v>
      </c>
      <c r="AA1800" s="748">
        <f>EV1763</f>
        <v>0</v>
      </c>
      <c r="AB1800" s="748">
        <f>EW1763</f>
        <v>0</v>
      </c>
      <c r="AC1800" s="748">
        <f>EX1763</f>
        <v>0</v>
      </c>
      <c r="AD1800" s="748">
        <f>SUM(Y1800:AC1800)</f>
        <v>0</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46</v>
      </c>
      <c r="L1802" s="748">
        <f>FR1763</f>
        <v>16</v>
      </c>
      <c r="M1802" s="748">
        <f>SUM(H1802:L1802)</f>
        <v>62</v>
      </c>
      <c r="Q1802" s="748">
        <f>ABS(M1802-AD1802)</f>
        <v>0</v>
      </c>
      <c r="V1802" s="748" t="s">
        <v>48</v>
      </c>
      <c r="Y1802" s="748">
        <f>FN1763</f>
        <v>0</v>
      </c>
      <c r="Z1802" s="748">
        <f>FO1763</f>
        <v>0</v>
      </c>
      <c r="AA1802" s="748">
        <f>FP1763</f>
        <v>0</v>
      </c>
      <c r="AB1802" s="748">
        <f>FQ1763</f>
        <v>46</v>
      </c>
      <c r="AC1802" s="748">
        <f>FR1763</f>
        <v>16</v>
      </c>
      <c r="AD1802" s="748">
        <f>SUM(Y1802:AC1802)</f>
        <v>62</v>
      </c>
    </row>
    <row r="1803" spans="2:30" ht="15" customHeight="1">
      <c r="E1803" s="748" t="s">
        <v>863</v>
      </c>
      <c r="H1803" s="748">
        <f>FI1763</f>
        <v>0</v>
      </c>
      <c r="I1803" s="748">
        <f>FJ1763</f>
        <v>0</v>
      </c>
      <c r="J1803" s="748">
        <f>FK1763</f>
        <v>0</v>
      </c>
      <c r="K1803" s="748">
        <f>FL1763</f>
        <v>0</v>
      </c>
      <c r="L1803" s="748">
        <f>FM1763</f>
        <v>0</v>
      </c>
      <c r="M1803" s="748">
        <f>SUM(H1803:L1803)</f>
        <v>0</v>
      </c>
      <c r="Q1803" s="748">
        <f>ABS(M1803-AD1803)</f>
        <v>0</v>
      </c>
      <c r="V1803" s="748" t="s">
        <v>863</v>
      </c>
      <c r="Y1803" s="748">
        <f>FI1763</f>
        <v>0</v>
      </c>
      <c r="Z1803" s="748">
        <f>FJ1763</f>
        <v>0</v>
      </c>
      <c r="AA1803" s="748">
        <f>FK1763</f>
        <v>0</v>
      </c>
      <c r="AB1803" s="748">
        <f>FL1763</f>
        <v>0</v>
      </c>
      <c r="AC1803" s="748">
        <f>FM1763</f>
        <v>0</v>
      </c>
      <c r="AD1803" s="748">
        <f>SUM(Y1803:AC1803)</f>
        <v>0</v>
      </c>
    </row>
    <row r="1804" spans="2:30" ht="15" customHeight="1">
      <c r="E1804" s="748" t="s">
        <v>864</v>
      </c>
      <c r="H1804" s="748">
        <f>FD1763</f>
        <v>0</v>
      </c>
      <c r="I1804" s="748">
        <f>FE1763</f>
        <v>0</v>
      </c>
      <c r="J1804" s="748">
        <f>FF1763</f>
        <v>0</v>
      </c>
      <c r="K1804" s="748">
        <f>FG1763</f>
        <v>0</v>
      </c>
      <c r="L1804" s="748">
        <f>FH1763</f>
        <v>0</v>
      </c>
      <c r="M1804" s="748">
        <f>SUM(H1804:L1804)</f>
        <v>0</v>
      </c>
      <c r="Q1804" s="748">
        <f>ABS(M1804-AD1804)</f>
        <v>0</v>
      </c>
      <c r="V1804" s="748" t="s">
        <v>864</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3270</v>
      </c>
      <c r="S1806" s="748" t="s">
        <v>1778</v>
      </c>
    </row>
    <row r="1807" spans="2:30" ht="15" customHeight="1">
      <c r="C1807" s="748" t="s">
        <v>3237</v>
      </c>
      <c r="G1807" s="748" t="s">
        <v>1792</v>
      </c>
      <c r="H1807" s="748">
        <f>BW1763</f>
        <v>0</v>
      </c>
      <c r="I1807" s="748">
        <f>BX1763</f>
        <v>0</v>
      </c>
      <c r="J1807" s="748">
        <f>BY1763</f>
        <v>0</v>
      </c>
      <c r="K1807" s="748">
        <f>BZ1763</f>
        <v>50700</v>
      </c>
      <c r="L1807" s="748">
        <f>CA1763</f>
        <v>18395</v>
      </c>
      <c r="M1807" s="748">
        <f t="shared" ref="M1807:M1813" si="314">SUM(H1807:L1807)</f>
        <v>69095</v>
      </c>
      <c r="Q1807" s="748">
        <f t="shared" ref="Q1807:Q1813" si="315">ABS(M1807-AD1807)</f>
        <v>0</v>
      </c>
      <c r="T1807" s="748" t="s">
        <v>3237</v>
      </c>
      <c r="X1807" s="748" t="s">
        <v>1792</v>
      </c>
      <c r="Y1807" s="748">
        <f>BW1763</f>
        <v>0</v>
      </c>
      <c r="Z1807" s="748">
        <f>BX1763</f>
        <v>0</v>
      </c>
      <c r="AA1807" s="748">
        <f>BY1763</f>
        <v>0</v>
      </c>
      <c r="AB1807" s="748">
        <f>BZ1763</f>
        <v>50700</v>
      </c>
      <c r="AC1807" s="748">
        <f>CA1763</f>
        <v>18395</v>
      </c>
      <c r="AD1807" s="748">
        <f t="shared" ref="AD1807:AD1813" si="316">SUM(Y1807:AC1807)</f>
        <v>69095</v>
      </c>
    </row>
    <row r="1808" spans="2:30" ht="15" customHeight="1">
      <c r="G1808" s="748" t="s">
        <v>133</v>
      </c>
      <c r="H1808" s="748">
        <f>CB1763</f>
        <v>0</v>
      </c>
      <c r="I1808" s="748">
        <f>CC1763</f>
        <v>0</v>
      </c>
      <c r="J1808" s="748">
        <f>CD1763</f>
        <v>0</v>
      </c>
      <c r="K1808" s="748">
        <f>CE1763</f>
        <v>9100</v>
      </c>
      <c r="L1808" s="748">
        <f>CF1763</f>
        <v>4245</v>
      </c>
      <c r="M1808" s="748">
        <f t="shared" si="314"/>
        <v>13345</v>
      </c>
      <c r="Q1808" s="748">
        <f t="shared" si="315"/>
        <v>0</v>
      </c>
      <c r="X1808" s="748" t="s">
        <v>133</v>
      </c>
      <c r="Y1808" s="748">
        <f>CB1763</f>
        <v>0</v>
      </c>
      <c r="Z1808" s="748">
        <f>CC1763</f>
        <v>0</v>
      </c>
      <c r="AA1808" s="748">
        <f>CD1763</f>
        <v>0</v>
      </c>
      <c r="AB1808" s="748">
        <f>CE1763</f>
        <v>9100</v>
      </c>
      <c r="AC1808" s="748">
        <f>CF1763</f>
        <v>4245</v>
      </c>
      <c r="AD1808" s="748">
        <f t="shared" si="316"/>
        <v>13345</v>
      </c>
    </row>
    <row r="1809" spans="1:30" ht="15" customHeight="1">
      <c r="G1809" s="748" t="s">
        <v>833</v>
      </c>
      <c r="H1809" s="748">
        <f>SUM(H1807:H1808)</f>
        <v>0</v>
      </c>
      <c r="I1809" s="748">
        <f>SUM(I1807:I1808)</f>
        <v>0</v>
      </c>
      <c r="J1809" s="748">
        <f>SUM(J1807:J1808)</f>
        <v>0</v>
      </c>
      <c r="K1809" s="748">
        <f>SUM(K1807:K1808)</f>
        <v>59800</v>
      </c>
      <c r="L1809" s="748">
        <f>SUM(L1807:L1808)</f>
        <v>22640</v>
      </c>
      <c r="M1809" s="748">
        <f t="shared" si="314"/>
        <v>82440</v>
      </c>
      <c r="Q1809" s="748">
        <f t="shared" si="315"/>
        <v>0</v>
      </c>
      <c r="X1809" s="748" t="s">
        <v>833</v>
      </c>
      <c r="Y1809" s="748">
        <f>SUM(Y1807:Y1808)</f>
        <v>0</v>
      </c>
      <c r="Z1809" s="748">
        <f>SUM(Z1807:Z1808)</f>
        <v>0</v>
      </c>
      <c r="AA1809" s="748">
        <f>SUM(AA1807:AA1808)</f>
        <v>0</v>
      </c>
      <c r="AB1809" s="748">
        <f>SUM(AB1807:AB1808)</f>
        <v>59800</v>
      </c>
      <c r="AC1809" s="748">
        <f>SUM(AC1807:AC1808)</f>
        <v>22640</v>
      </c>
      <c r="AD1809" s="748">
        <f t="shared" si="316"/>
        <v>82440</v>
      </c>
    </row>
    <row r="1810" spans="1:30" ht="15" customHeight="1">
      <c r="C1810" s="748" t="s">
        <v>397</v>
      </c>
      <c r="H1810" s="748">
        <f>CL1763</f>
        <v>0</v>
      </c>
      <c r="I1810" s="748">
        <f>CM1763</f>
        <v>0</v>
      </c>
      <c r="J1810" s="748">
        <f>CN1763</f>
        <v>0</v>
      </c>
      <c r="K1810" s="748">
        <f>CO1763</f>
        <v>0</v>
      </c>
      <c r="L1810" s="748">
        <f>CP1763</f>
        <v>0</v>
      </c>
      <c r="M1810" s="748">
        <f t="shared" si="314"/>
        <v>0</v>
      </c>
      <c r="Q1810" s="748">
        <f t="shared" si="315"/>
        <v>0</v>
      </c>
      <c r="T1810" s="748" t="s">
        <v>397</v>
      </c>
      <c r="Y1810" s="748">
        <f>CL1763</f>
        <v>0</v>
      </c>
      <c r="Z1810" s="748">
        <f>CM1763</f>
        <v>0</v>
      </c>
      <c r="AA1810" s="748">
        <f>CN1763</f>
        <v>0</v>
      </c>
      <c r="AB1810" s="748">
        <f>CO1763</f>
        <v>0</v>
      </c>
      <c r="AC1810" s="748">
        <f>CP1763</f>
        <v>0</v>
      </c>
      <c r="AD1810" s="748">
        <f t="shared" si="316"/>
        <v>0</v>
      </c>
    </row>
    <row r="1811" spans="1:30" ht="15" customHeight="1">
      <c r="C1811" s="748" t="s">
        <v>1780</v>
      </c>
      <c r="H1811" s="748">
        <f>SUM(H1809:H1810)</f>
        <v>0</v>
      </c>
      <c r="I1811" s="748">
        <f>SUM(I1809:I1810)</f>
        <v>0</v>
      </c>
      <c r="J1811" s="748">
        <f>SUM(J1809:J1810)</f>
        <v>0</v>
      </c>
      <c r="K1811" s="748">
        <f>SUM(K1809:K1810)</f>
        <v>59800</v>
      </c>
      <c r="L1811" s="748">
        <f>SUM(L1809:L1810)</f>
        <v>22640</v>
      </c>
      <c r="M1811" s="748">
        <f t="shared" si="314"/>
        <v>82440</v>
      </c>
      <c r="Q1811" s="748">
        <f t="shared" si="315"/>
        <v>0</v>
      </c>
      <c r="T1811" s="748" t="s">
        <v>1780</v>
      </c>
      <c r="Y1811" s="748">
        <f>SUM(Y1809:Y1810)</f>
        <v>0</v>
      </c>
      <c r="Z1811" s="748">
        <f>SUM(Z1809:Z1810)</f>
        <v>0</v>
      </c>
      <c r="AA1811" s="748">
        <f>SUM(AA1809:AA1810)</f>
        <v>0</v>
      </c>
      <c r="AB1811" s="748">
        <f>SUM(AB1809:AB1810)</f>
        <v>59800</v>
      </c>
      <c r="AC1811" s="748">
        <f>SUM(AC1809:AC1810)</f>
        <v>22640</v>
      </c>
      <c r="AD1811" s="748">
        <f t="shared" si="316"/>
        <v>82440</v>
      </c>
    </row>
    <row r="1812" spans="1:30" ht="15" customHeight="1">
      <c r="C1812" s="748" t="s">
        <v>3798</v>
      </c>
      <c r="H1812" s="748">
        <f>CV1763</f>
        <v>0</v>
      </c>
      <c r="I1812" s="748">
        <f>CW1763</f>
        <v>0</v>
      </c>
      <c r="J1812" s="748">
        <f>CX1763</f>
        <v>0</v>
      </c>
      <c r="K1812" s="748">
        <f>CY1763</f>
        <v>0</v>
      </c>
      <c r="L1812" s="748">
        <f>CZ1763</f>
        <v>0</v>
      </c>
      <c r="M1812" s="748">
        <f t="shared" si="314"/>
        <v>0</v>
      </c>
      <c r="Q1812" s="748">
        <f t="shared" si="315"/>
        <v>0</v>
      </c>
      <c r="T1812" s="748" t="s">
        <v>3798</v>
      </c>
      <c r="Y1812" s="748">
        <f>CV1763</f>
        <v>0</v>
      </c>
      <c r="Z1812" s="748">
        <f>CW1763</f>
        <v>0</v>
      </c>
      <c r="AA1812" s="748">
        <f>CX1763</f>
        <v>0</v>
      </c>
      <c r="AB1812" s="748">
        <f>CY1763</f>
        <v>0</v>
      </c>
      <c r="AC1812" s="748">
        <f>CZ1763</f>
        <v>0</v>
      </c>
      <c r="AD1812" s="748">
        <f t="shared" si="316"/>
        <v>0</v>
      </c>
    </row>
    <row r="1813" spans="1:30" ht="15" customHeight="1">
      <c r="C1813" s="748" t="s">
        <v>833</v>
      </c>
      <c r="H1813" s="748">
        <f>SUM(H1811:H1812)</f>
        <v>0</v>
      </c>
      <c r="I1813" s="748">
        <f>SUM(I1811:I1812)</f>
        <v>0</v>
      </c>
      <c r="J1813" s="748">
        <f>SUM(J1811:J1812)</f>
        <v>0</v>
      </c>
      <c r="K1813" s="748">
        <f>SUM(K1811:K1812)</f>
        <v>59800</v>
      </c>
      <c r="L1813" s="748">
        <f>SUM(L1811:L1812)</f>
        <v>22640</v>
      </c>
      <c r="M1813" s="748">
        <f t="shared" si="314"/>
        <v>82440</v>
      </c>
      <c r="Q1813" s="748">
        <f t="shared" si="315"/>
        <v>0</v>
      </c>
      <c r="T1813" s="748" t="s">
        <v>833</v>
      </c>
      <c r="Y1813" s="748">
        <f>SUM(Y1811:Y1812)</f>
        <v>0</v>
      </c>
      <c r="Z1813" s="748">
        <f>SUM(Z1811:Z1812)</f>
        <v>0</v>
      </c>
      <c r="AA1813" s="748">
        <f>SUM(AA1811:AA1812)</f>
        <v>0</v>
      </c>
      <c r="AB1813" s="748">
        <f>SUM(AB1811:AB1812)</f>
        <v>59800</v>
      </c>
      <c r="AC1813" s="748">
        <f>SUM(AC1811:AC1812)</f>
        <v>22640</v>
      </c>
      <c r="AD1813" s="748">
        <f t="shared" si="316"/>
        <v>82440</v>
      </c>
    </row>
    <row r="1814" spans="1:30" ht="4.9000000000000004" customHeight="1"/>
    <row r="1815" spans="1:30" ht="13.9" customHeight="1">
      <c r="A1815" s="748" t="s">
        <v>1232</v>
      </c>
      <c r="B1815" s="748" t="s">
        <v>4075</v>
      </c>
    </row>
    <row r="1816" spans="1:30" ht="9" customHeight="1"/>
    <row r="1817" spans="1:30" ht="12.6" customHeight="1">
      <c r="B1817" s="748" t="s">
        <v>1633</v>
      </c>
      <c r="G1817" s="748">
        <f>0.02*L1764</f>
        <v>10778.4</v>
      </c>
      <c r="I1817" s="748" t="s">
        <v>3753</v>
      </c>
    </row>
    <row r="1818" spans="1:30" ht="15" customHeight="1"/>
    <row r="1819" spans="1:30" ht="13.9" customHeight="1">
      <c r="B1819" s="748" t="s">
        <v>2170</v>
      </c>
    </row>
    <row r="1820" spans="1:30" ht="15" customHeight="1"/>
    <row r="1821" spans="1:30" ht="13.9" customHeight="1">
      <c r="B1821" s="748" t="s">
        <v>3419</v>
      </c>
      <c r="G1821" s="748">
        <v>1</v>
      </c>
      <c r="H1821" s="748">
        <v>2</v>
      </c>
      <c r="I1821" s="748">
        <v>3</v>
      </c>
      <c r="J1821" s="748">
        <v>4</v>
      </c>
      <c r="K1821" s="748">
        <v>5</v>
      </c>
      <c r="L1821" s="748">
        <v>6</v>
      </c>
      <c r="M1821" s="748">
        <v>7</v>
      </c>
      <c r="N1821" s="748">
        <v>8</v>
      </c>
      <c r="O1821" s="748">
        <v>9</v>
      </c>
      <c r="P1821" s="748">
        <v>10</v>
      </c>
    </row>
    <row r="1822" spans="1:30" ht="15" customHeight="1">
      <c r="B1822" s="748" t="s">
        <v>1634</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1231</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1524</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4076</v>
      </c>
    </row>
    <row r="1827" spans="2:16" ht="15" customHeight="1">
      <c r="B1827" s="748" t="s">
        <v>3608</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827</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1231</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4077</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3419</v>
      </c>
      <c r="G1832" s="748">
        <v>11</v>
      </c>
      <c r="H1832" s="748">
        <v>12</v>
      </c>
      <c r="I1832" s="748">
        <v>13</v>
      </c>
      <c r="J1832" s="748">
        <v>14</v>
      </c>
      <c r="K1832" s="748">
        <v>15</v>
      </c>
      <c r="L1832" s="748">
        <v>16</v>
      </c>
      <c r="M1832" s="748">
        <v>17</v>
      </c>
      <c r="N1832" s="748">
        <v>18</v>
      </c>
      <c r="O1832" s="748">
        <v>19</v>
      </c>
      <c r="P1832" s="748">
        <v>20</v>
      </c>
    </row>
    <row r="1833" spans="2:16" ht="15" customHeight="1">
      <c r="B1833" s="748" t="s">
        <v>1634</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1231</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1524</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4076</v>
      </c>
    </row>
    <row r="1838" spans="2:16" ht="15" customHeight="1">
      <c r="B1838" s="748" t="s">
        <v>3608</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827</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1231</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4077</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3419</v>
      </c>
      <c r="G1843" s="748">
        <v>21</v>
      </c>
      <c r="H1843" s="748">
        <v>22</v>
      </c>
      <c r="I1843" s="748">
        <v>23</v>
      </c>
      <c r="J1843" s="748">
        <v>24</v>
      </c>
      <c r="K1843" s="748">
        <v>25</v>
      </c>
      <c r="L1843" s="748">
        <v>26</v>
      </c>
      <c r="M1843" s="748">
        <v>27</v>
      </c>
      <c r="N1843" s="748">
        <v>28</v>
      </c>
      <c r="O1843" s="748">
        <v>29</v>
      </c>
      <c r="P1843" s="748">
        <v>30</v>
      </c>
    </row>
    <row r="1844" spans="1:16" ht="15" customHeight="1">
      <c r="B1844" s="748" t="s">
        <v>1634</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1231</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1524</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4076</v>
      </c>
    </row>
    <row r="1849" spans="1:16" ht="15" customHeight="1">
      <c r="B1849" s="748" t="s">
        <v>3608</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827</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1231</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4077</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2824</v>
      </c>
      <c r="B1854" s="748" t="s">
        <v>1636</v>
      </c>
    </row>
    <row r="1855" spans="1:16" ht="9" customHeight="1"/>
    <row r="1856" spans="1:16" ht="13.15" customHeight="1">
      <c r="B1856" s="748" t="s">
        <v>1991</v>
      </c>
      <c r="I1856" s="748" t="s">
        <v>2080</v>
      </c>
      <c r="N1856" s="748" t="s">
        <v>2079</v>
      </c>
    </row>
    <row r="1857" spans="2:16" ht="15.6" customHeight="1">
      <c r="B1857" s="748" t="s">
        <v>3304</v>
      </c>
      <c r="F1857" s="748">
        <f>'Part VI-Revenues &amp; Expenses'!F142</f>
        <v>47000</v>
      </c>
      <c r="I1857" s="748" t="s">
        <v>2081</v>
      </c>
      <c r="K1857" s="748">
        <f>'Part VI-Revenues &amp; Expenses'!K142</f>
        <v>0</v>
      </c>
      <c r="N1857" s="748" t="s">
        <v>1525</v>
      </c>
      <c r="P1857" s="748">
        <f>'Part VI-Revenues &amp; Expenses'!P142</f>
        <v>46506</v>
      </c>
    </row>
    <row r="1858" spans="2:16" ht="15.6" customHeight="1">
      <c r="B1858" s="748" t="s">
        <v>2070</v>
      </c>
      <c r="F1858" s="748">
        <f>'Part VI-Revenues &amp; Expenses'!F143</f>
        <v>41705</v>
      </c>
      <c r="I1858" s="748" t="s">
        <v>2082</v>
      </c>
      <c r="K1858" s="748">
        <f>'Part VI-Revenues &amp; Expenses'!K143</f>
        <v>480</v>
      </c>
      <c r="N1858" s="748" t="s">
        <v>200</v>
      </c>
      <c r="P1858" s="748">
        <f>'Part VI-Revenues &amp; Expenses'!P143</f>
        <v>17000</v>
      </c>
    </row>
    <row r="1859" spans="2:16" ht="15.6" customHeight="1">
      <c r="B1859" s="748" t="s">
        <v>1917</v>
      </c>
      <c r="F1859" s="748">
        <f>'Part VI-Revenues &amp; Expenses'!F144</f>
        <v>0</v>
      </c>
      <c r="J1859" s="748" t="s">
        <v>249</v>
      </c>
      <c r="K1859" s="748">
        <f>SUM(K1857:L1858)</f>
        <v>480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63506</v>
      </c>
    </row>
    <row r="1861" spans="2:16" ht="15.6" customHeight="1">
      <c r="C1861" s="748" t="s">
        <v>249</v>
      </c>
      <c r="F1861" s="748">
        <f>SUM(F1857:G1860)</f>
        <v>88705</v>
      </c>
    </row>
    <row r="1862" spans="2:16" ht="9" customHeight="1"/>
    <row r="1863" spans="2:16" ht="13.15" customHeight="1">
      <c r="B1863" s="748" t="s">
        <v>1992</v>
      </c>
      <c r="I1863" s="748" t="s">
        <v>1993</v>
      </c>
      <c r="N1863" s="748" t="s">
        <v>2083</v>
      </c>
      <c r="P1863" s="748">
        <f>IF(OR('Part VII-Pro Forma'!$B$20 = "Choose Mgt Fee",'Part VII-Pro Forma'!$B$20 = "Choose One!"), 0,- 'Part VII-Pro Forma'!$B$20)</f>
        <v>26858</v>
      </c>
    </row>
    <row r="1864" spans="2:16" ht="15.6" customHeight="1">
      <c r="B1864" s="748" t="s">
        <v>2075</v>
      </c>
      <c r="F1864" s="748">
        <f>'Part VI-Revenues &amp; Expenses'!F149</f>
        <v>10000</v>
      </c>
      <c r="I1864" s="748" t="s">
        <v>2365</v>
      </c>
      <c r="K1864" s="748">
        <f>'Part VI-Revenues &amp; Expenses'!K149</f>
        <v>5000</v>
      </c>
      <c r="N1864" s="748">
        <f>+P1863/(M1778*0.93)</f>
        <v>465.79951439472768</v>
      </c>
      <c r="O1864" s="748" t="s">
        <v>3863</v>
      </c>
    </row>
    <row r="1865" spans="2:16" ht="15.6" customHeight="1">
      <c r="B1865" s="748" t="s">
        <v>2076</v>
      </c>
      <c r="F1865" s="748">
        <f>'Part VI-Revenues &amp; Expenses'!F150</f>
        <v>6000</v>
      </c>
      <c r="I1865" s="748" t="s">
        <v>3141</v>
      </c>
      <c r="K1865" s="748">
        <f>'Part VI-Revenues &amp; Expenses'!K150</f>
        <v>7000</v>
      </c>
      <c r="N1865" s="748">
        <f>+P1863/(M1778*0.93)/12</f>
        <v>38.816626199560638</v>
      </c>
      <c r="O1865" s="748" t="s">
        <v>3864</v>
      </c>
    </row>
    <row r="1866" spans="2:16" ht="15.6" customHeight="1">
      <c r="B1866" s="748" t="s">
        <v>2077</v>
      </c>
      <c r="F1866" s="748">
        <f>'Part VI-Revenues &amp; Expenses'!F151</f>
        <v>0</v>
      </c>
      <c r="I1866" s="748" t="s">
        <v>2366</v>
      </c>
      <c r="K1866" s="748">
        <f>'Part VI-Revenues &amp; Expenses'!K151</f>
        <v>6000</v>
      </c>
    </row>
    <row r="1867" spans="2:16" ht="15.6" customHeight="1">
      <c r="B1867" s="748" t="s">
        <v>3489</v>
      </c>
      <c r="F1867" s="748">
        <f>'Part VI-Revenues &amp; Expenses'!F152</f>
        <v>0</v>
      </c>
      <c r="I1867" s="748" t="str">
        <f>'Part VI-Revenues &amp; Expenses'!I152</f>
        <v>Other (describe here)</v>
      </c>
      <c r="K1867" s="748">
        <f>'Part VI-Revenues &amp; Expenses'!K152</f>
        <v>0</v>
      </c>
      <c r="N1867" s="748" t="s">
        <v>3733</v>
      </c>
    </row>
    <row r="1868" spans="2:16" ht="15.6" customHeight="1">
      <c r="B1868" s="748" t="s">
        <v>2363</v>
      </c>
      <c r="F1868" s="748">
        <f>'Part VI-Revenues &amp; Expenses'!F153</f>
        <v>1500</v>
      </c>
      <c r="J1868" s="748" t="s">
        <v>249</v>
      </c>
      <c r="K1868" s="748">
        <f>SUM(K1864:K1867)</f>
        <v>18000</v>
      </c>
    </row>
    <row r="1869" spans="2:16" ht="15.6" customHeight="1">
      <c r="B1869" s="748" t="str">
        <f>'Part VI-Revenues &amp; Expenses'!B154</f>
        <v>Other (describe here)</v>
      </c>
      <c r="F1869" s="748">
        <f>'Part VI-Revenues &amp; Expenses'!F154</f>
        <v>0</v>
      </c>
    </row>
    <row r="1870" spans="2:16" ht="15.6" customHeight="1">
      <c r="C1870" s="748" t="s">
        <v>249</v>
      </c>
      <c r="F1870" s="748">
        <f>SUM(F1864:G1869)</f>
        <v>17500</v>
      </c>
    </row>
    <row r="1871" spans="2:16" ht="9" customHeight="1"/>
    <row r="1872" spans="2:16" ht="13.15" customHeight="1">
      <c r="B1872" s="748" t="s">
        <v>1994</v>
      </c>
      <c r="I1872" s="748" t="s">
        <v>2078</v>
      </c>
      <c r="J1872" s="748" t="s">
        <v>3555</v>
      </c>
      <c r="N1872" s="748" t="s">
        <v>3294</v>
      </c>
    </row>
    <row r="1873" spans="1:16" ht="15.6" customHeight="1">
      <c r="B1873" s="748" t="s">
        <v>2367</v>
      </c>
      <c r="F1873" s="748">
        <f>'Part VI-Revenues &amp; Expenses'!F158</f>
        <v>6000</v>
      </c>
      <c r="I1873" s="748" t="s">
        <v>2071</v>
      </c>
      <c r="J1873" s="748" t="e">
        <f>K1873/12/$M$63</f>
        <v>#DIV/0!</v>
      </c>
      <c r="K1873" s="748">
        <f>'Part VI-Revenues &amp; Expenses'!K158</f>
        <v>7200</v>
      </c>
      <c r="N1873" s="748" t="e">
        <f>+$P$158/$M$63</f>
        <v>#DIV/0!</v>
      </c>
      <c r="O1873" s="748" t="s">
        <v>2111</v>
      </c>
      <c r="P1873" s="748">
        <f>F1861+F1870+F1881+K1859+K1868+K1878+P1860+P1863</f>
        <v>274989</v>
      </c>
    </row>
    <row r="1874" spans="1:16" ht="15.6" customHeight="1">
      <c r="B1874" s="748" t="s">
        <v>2368</v>
      </c>
      <c r="F1874" s="748">
        <f>'Part VI-Revenues &amp; Expenses'!F159</f>
        <v>6500</v>
      </c>
      <c r="I1874" s="748" t="s">
        <v>2072</v>
      </c>
      <c r="J1874" s="748" t="e">
        <f>K1874/12/$M$63</f>
        <v>#DIV/0!</v>
      </c>
      <c r="K1874" s="748">
        <f>'Part VI-Revenues &amp; Expenses'!K159</f>
        <v>0</v>
      </c>
    </row>
    <row r="1875" spans="1:16" ht="15.6" customHeight="1">
      <c r="B1875" s="748" t="s">
        <v>2369</v>
      </c>
      <c r="F1875" s="748">
        <f>'Part VI-Revenues &amp; Expenses'!F160</f>
        <v>12000</v>
      </c>
      <c r="I1875" s="748" t="s">
        <v>3554</v>
      </c>
      <c r="J1875" s="748" t="e">
        <f>K1875/12/$M$63</f>
        <v>#DIV/0!</v>
      </c>
      <c r="K1875" s="748">
        <f>'Part VI-Revenues &amp; Expenses'!K160</f>
        <v>5000</v>
      </c>
    </row>
    <row r="1876" spans="1:16" ht="15.6" customHeight="1">
      <c r="B1876" s="748" t="s">
        <v>1617</v>
      </c>
      <c r="F1876" s="748">
        <f>'Part VI-Revenues &amp; Expenses'!F161</f>
        <v>1240</v>
      </c>
      <c r="I1876" s="748" t="s">
        <v>2074</v>
      </c>
      <c r="K1876" s="748">
        <f>'Part VI-Revenues &amp; Expenses'!K161</f>
        <v>6500</v>
      </c>
      <c r="N1876" s="748" t="s">
        <v>1923</v>
      </c>
      <c r="P1876" s="748">
        <f>P1877*M1778</f>
        <v>15500</v>
      </c>
    </row>
    <row r="1877" spans="1:16" ht="15.6" customHeight="1">
      <c r="B1877" s="748" t="s">
        <v>1618</v>
      </c>
      <c r="F1877" s="748">
        <f>'Part VI-Revenues &amp; Expenses'!F162</f>
        <v>6500</v>
      </c>
      <c r="I1877" s="748" t="str">
        <f>'Part VI-Revenues &amp; Expenses'!I162</f>
        <v>Other (describe here)</v>
      </c>
      <c r="K1877" s="748">
        <f>'Part VI-Revenues &amp; Expenses'!K162</f>
        <v>0</v>
      </c>
      <c r="N1877" s="748" t="s">
        <v>680</v>
      </c>
      <c r="P1877" s="748">
        <f>'Part VI-Revenues &amp; Expenses'!P162</f>
        <v>250</v>
      </c>
    </row>
    <row r="1878" spans="1:16" ht="15.6" customHeight="1">
      <c r="B1878" s="748" t="s">
        <v>1619</v>
      </c>
      <c r="F1878" s="748">
        <f>'Part VI-Revenues &amp; Expenses'!F163</f>
        <v>0</v>
      </c>
      <c r="J1878" s="748" t="s">
        <v>249</v>
      </c>
      <c r="K1878" s="748">
        <f>SUM(K1873:K1877)</f>
        <v>18700</v>
      </c>
    </row>
    <row r="1879" spans="1:16" ht="15.6" customHeight="1">
      <c r="B1879" s="748" t="s">
        <v>1459</v>
      </c>
      <c r="F1879" s="748">
        <f>'Part VI-Revenues &amp; Expenses'!F164</f>
        <v>9000</v>
      </c>
    </row>
    <row r="1880" spans="1:16" ht="15.6" customHeight="1">
      <c r="B1880" s="748" t="str">
        <f>'Part VI-Revenues &amp; Expenses'!B165</f>
        <v>Other (describe here)</v>
      </c>
      <c r="F1880" s="748">
        <f>'Part VI-Revenues &amp; Expenses'!F165</f>
        <v>0</v>
      </c>
      <c r="N1880" s="748" t="s">
        <v>3295</v>
      </c>
    </row>
    <row r="1881" spans="1:16" ht="15.6" customHeight="1">
      <c r="C1881" s="748" t="s">
        <v>249</v>
      </c>
      <c r="F1881" s="748">
        <f>SUM(F1873:G1880)</f>
        <v>41240</v>
      </c>
      <c r="P1881" s="748">
        <f>P1873+P1876</f>
        <v>290489</v>
      </c>
    </row>
    <row r="1882" spans="1:16" ht="10.9" customHeight="1"/>
    <row r="1883" spans="1:16" ht="12" customHeight="1">
      <c r="A1883" s="748" t="s">
        <v>2826</v>
      </c>
      <c r="B1883" s="748" t="s">
        <v>880</v>
      </c>
      <c r="K1883" s="748" t="s">
        <v>823</v>
      </c>
      <c r="L1883" s="748" t="s">
        <v>2898</v>
      </c>
    </row>
    <row r="1884" spans="1:16" ht="51.6" customHeight="1">
      <c r="A1884" s="748" t="str">
        <f>'Part VI-Revenues &amp; Expenses'!A169</f>
        <v>See Tab 8 for back-up for Property Tax, Property Insurance calculations.</v>
      </c>
      <c r="K1884" s="748">
        <f>'Part VI-Revenues &amp; Expenses'!K169</f>
        <v>0</v>
      </c>
    </row>
    <row r="1885" spans="1:16" ht="51.6" customHeight="1">
      <c r="A1885" s="748" t="str">
        <f>'Part VI-Revenues &amp; Expenses'!A170</f>
        <v>Note that residents pay their own water and sewer costs; the costs shown here in this budget are for property water/sewer costs, such as residents who skip and don't pay, and common area water/sewer costs.</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2011-043 Calypso, ,  County</v>
      </c>
    </row>
    <row r="1891" spans="1:11">
      <c r="A1891" s="748" t="s">
        <v>100</v>
      </c>
      <c r="D1891" s="748" t="s">
        <v>90</v>
      </c>
      <c r="F1891" s="748" t="s">
        <v>4078</v>
      </c>
    </row>
    <row r="1893" spans="1:11">
      <c r="A1893" s="748" t="s">
        <v>3296</v>
      </c>
      <c r="B1893" s="748">
        <v>0.02</v>
      </c>
      <c r="D1893" s="748" t="s">
        <v>1366</v>
      </c>
      <c r="G1893" s="748">
        <f>'Part VII-Pro Forma'!G5</f>
        <v>6000</v>
      </c>
      <c r="H1893" s="748" t="s">
        <v>2972</v>
      </c>
      <c r="K1893" s="748" t="str">
        <f>IF(($B$14+$B$15+$B$16+$B$17)=0,"",-B1918/($B$14+$B$15+$B$16+$B$17))</f>
        <v/>
      </c>
    </row>
    <row r="1894" spans="1:11">
      <c r="A1894" s="748" t="s">
        <v>3297</v>
      </c>
      <c r="B1894" s="748">
        <v>0.03</v>
      </c>
      <c r="D1894" s="748" t="s">
        <v>1367</v>
      </c>
      <c r="G1894" s="748">
        <f>'Part VII-Pro Forma'!G6</f>
        <v>0</v>
      </c>
      <c r="H1894" s="748" t="s">
        <v>3588</v>
      </c>
      <c r="K1894" s="748" t="str">
        <f>IF(($B$14+$B$15+$B$16+$B$17)=0,"",-B1920/($B$14+$B$15+$B$16+$B$17))</f>
        <v/>
      </c>
    </row>
    <row r="1895" spans="1:11">
      <c r="A1895" s="748" t="s">
        <v>3299</v>
      </c>
      <c r="B1895" s="748">
        <v>0.03</v>
      </c>
      <c r="D1895" s="748" t="s">
        <v>357</v>
      </c>
      <c r="H1895" s="748" t="s">
        <v>3589</v>
      </c>
      <c r="K1895" s="748" t="str">
        <f>IF(($B$14+$B$15+$B$16+$B$17)=0,"",-B1908/($B$14+$B$15+$B$16+$B$17))</f>
        <v/>
      </c>
    </row>
    <row r="1896" spans="1:11">
      <c r="A1896" s="748" t="s">
        <v>3298</v>
      </c>
      <c r="B1896" s="748">
        <f>'Part VII-Pro Forma'!B8</f>
        <v>7.0000000000000007E-2</v>
      </c>
      <c r="D1896" s="748" t="s">
        <v>3790</v>
      </c>
      <c r="G1896" s="748" t="str">
        <f>'Part VII-Pro Forma'!G8</f>
        <v>Yes</v>
      </c>
      <c r="H1896" s="748" t="s">
        <v>2169</v>
      </c>
      <c r="K1896" s="748">
        <f>'Part VII-Pro Forma'!K8</f>
        <v>26858</v>
      </c>
    </row>
    <row r="1897" spans="1:11">
      <c r="A1897" s="748" t="s">
        <v>2130</v>
      </c>
      <c r="B1897" s="748">
        <v>0.02</v>
      </c>
      <c r="D1897" s="748" t="s">
        <v>2744</v>
      </c>
      <c r="G1897" s="748">
        <f>'Part VII-Pro Forma'!G9</f>
        <v>0</v>
      </c>
      <c r="H1897" s="748" t="s">
        <v>3562</v>
      </c>
      <c r="K1897" s="748">
        <f>'Part VII-Pro Forma'!K9</f>
        <v>0</v>
      </c>
    </row>
    <row r="1899" spans="1:11">
      <c r="A1899" s="748" t="s">
        <v>101</v>
      </c>
    </row>
    <row r="1901" spans="1:11">
      <c r="A1901" s="748" t="s">
        <v>3754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3643</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1633</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3644</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949</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1747</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1863</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1864</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-175181.94394561139</v>
      </c>
      <c r="C1913" s="748">
        <f>'Part VII-Pro Forma'!C25</f>
        <v>-175181.94394561139</v>
      </c>
      <c r="D1913" s="748">
        <f>'Part VII-Pro Forma'!D25</f>
        <v>-175181.94394561139</v>
      </c>
      <c r="E1913" s="748">
        <f>'Part VII-Pro Forma'!E25</f>
        <v>-175181.94394561139</v>
      </c>
      <c r="F1913" s="748">
        <f>'Part VII-Pro Forma'!F25</f>
        <v>-175181.94394561139</v>
      </c>
      <c r="G1913" s="748">
        <f>'Part VII-Pro Forma'!G25</f>
        <v>-175181.94394561139</v>
      </c>
      <c r="H1913" s="748">
        <f>'Part VII-Pro Forma'!H25</f>
        <v>-175181.94394561139</v>
      </c>
      <c r="I1913" s="748">
        <f>'Part VII-Pro Forma'!I25</f>
        <v>-175181.94394561139</v>
      </c>
      <c r="J1913" s="748">
        <f>'Part VII-Pro Forma'!J25</f>
        <v>-175181.94394561139</v>
      </c>
      <c r="K1913" s="748">
        <f>'Part VII-Pro Forma'!K25</f>
        <v>-175181.94394561139</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1363</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808</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1337</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1808</v>
      </c>
      <c r="B1918" s="748">
        <f>'Part VII-Pro Forma'!B30</f>
        <v>-6000</v>
      </c>
      <c r="C1918" s="748">
        <f>'Part VII-Pro Forma'!C30</f>
        <v>-6180</v>
      </c>
      <c r="D1918" s="748">
        <f>'Part VII-Pro Forma'!D30</f>
        <v>-6365.4000000000005</v>
      </c>
      <c r="E1918" s="748">
        <f>'Part VII-Pro Forma'!E30</f>
        <v>-6556.362000000001</v>
      </c>
      <c r="F1918" s="748">
        <f>'Part VII-Pro Forma'!F30</f>
        <v>-6753.0528600000016</v>
      </c>
      <c r="G1918" s="748">
        <f>'Part VII-Pro Forma'!G30</f>
        <v>-6955.6444458000014</v>
      </c>
      <c r="H1918" s="748">
        <f>'Part VII-Pro Forma'!H30</f>
        <v>-7164.3137791740019</v>
      </c>
      <c r="I1918" s="748">
        <f>'Part VII-Pro Forma'!I30</f>
        <v>-7379.2431925492219</v>
      </c>
      <c r="J1918" s="748">
        <f>'Part VII-Pro Forma'!J30</f>
        <v>-7600.6204883256987</v>
      </c>
      <c r="K1918" s="748">
        <f>'Part VII-Pro Forma'!K30</f>
        <v>-7828.6391029754695</v>
      </c>
    </row>
    <row r="1919" spans="1:11">
      <c r="A1919" s="748" t="s">
        <v>1865</v>
      </c>
      <c r="B1919" s="748">
        <f>'Part VII-Pro Forma'!B31</f>
        <v>0</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1809</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1810</v>
      </c>
      <c r="B1921" s="748">
        <f t="shared" ref="B1921:K1921" si="330">SUM(B1910:B1920)</f>
        <v>-181181.94394561139</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1364</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1364</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1346</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B Balance</v>
      </c>
      <c r="B1930" s="748">
        <f>'Part VII-Pro Forma'!B42</f>
        <v>2127570.3090954861</v>
      </c>
      <c r="C1930" s="748">
        <f>'Part VII-Pro Forma'!C42</f>
        <v>2105051.6956019537</v>
      </c>
      <c r="D1930" s="748">
        <f>'Part VII-Pro Forma'!D42</f>
        <v>2080854.7479072257</v>
      </c>
      <c r="E1930" s="748">
        <f>'Part VII-Pro Forma'!E42</f>
        <v>2054854.3781282629</v>
      </c>
      <c r="F1930" s="748">
        <f>'Part VII-Pro Forma'!F42</f>
        <v>2026916.175460242</v>
      </c>
      <c r="G1930" s="748">
        <f>'Part VII-Pro Forma'!G42</f>
        <v>1996895.7113301142</v>
      </c>
      <c r="H1930" s="748">
        <f>'Part VII-Pro Forma'!H42</f>
        <v>1964637.7927625796</v>
      </c>
      <c r="I1930" s="748">
        <f>'Part VII-Pro Forma'!I42</f>
        <v>1929975.6600987019</v>
      </c>
      <c r="J1930" s="748">
        <f>'Part VII-Pro Forma'!J42</f>
        <v>1892730.1249197065</v>
      </c>
      <c r="K1930" s="748">
        <f>'Part VII-Pro Forma'!K42</f>
        <v>1852708.643719404</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1365</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1365</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1900</v>
      </c>
      <c r="B1934" s="748" t="str">
        <f>'Part VII-Pro Forma'!B46</f>
        <v/>
      </c>
      <c r="C1934" s="748" t="str">
        <f>'Part VII-Pro Forma'!C46</f>
        <v/>
      </c>
      <c r="D1934" s="748" t="str">
        <f>'Part VII-Pro Forma'!D46</f>
        <v/>
      </c>
      <c r="E1934" s="748" t="str">
        <f>'Part VII-Pro Forma'!E46</f>
        <v/>
      </c>
      <c r="F1934" s="748" t="str">
        <f>'Part VII-Pro Forma'!F46</f>
        <v/>
      </c>
      <c r="G1934" s="748" t="str">
        <f>'Part VII-Pro Forma'!G46</f>
        <v/>
      </c>
      <c r="H1934" s="748" t="str">
        <f>'Part VII-Pro Forma'!H46</f>
        <v/>
      </c>
      <c r="I1934" s="748" t="str">
        <f>'Part VII-Pro Forma'!I46</f>
        <v/>
      </c>
      <c r="J1934" s="748" t="str">
        <f>'Part VII-Pro Forma'!J46</f>
        <v/>
      </c>
      <c r="K1934" s="748" t="str">
        <f>'Part VII-Pro Forma'!K46</f>
        <v/>
      </c>
    </row>
    <row r="1936" spans="1:11">
      <c r="A1936" s="748" t="s">
        <v>3754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3643</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1633</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3644</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949</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1747</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1863</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1864</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-175181.94394561139</v>
      </c>
      <c r="C1948" s="748">
        <f>'Part VII-Pro Forma'!C60</f>
        <v>-175181.94394561139</v>
      </c>
      <c r="D1948" s="748">
        <f>'Part VII-Pro Forma'!D60</f>
        <v>-175181.94394561139</v>
      </c>
      <c r="E1948" s="748">
        <f>'Part VII-Pro Forma'!E60</f>
        <v>-175181.94394561139</v>
      </c>
      <c r="F1948" s="748">
        <f>'Part VII-Pro Forma'!F60</f>
        <v>-175181.94394561139</v>
      </c>
      <c r="G1948" s="748">
        <f>'Part VII-Pro Forma'!G60</f>
        <v>-175181.94394561139</v>
      </c>
      <c r="H1948" s="748">
        <f>'Part VII-Pro Forma'!H60</f>
        <v>-175181.94394561139</v>
      </c>
      <c r="I1948" s="748">
        <f>'Part VII-Pro Forma'!I60</f>
        <v>-175181.94394561139</v>
      </c>
      <c r="J1948" s="748">
        <f>'Part VII-Pro Forma'!J60</f>
        <v>-175181.94394561139</v>
      </c>
      <c r="K1948" s="748">
        <f>'Part VII-Pro Forma'!K60</f>
        <v>-175181.94394561139</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1337</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1808</v>
      </c>
      <c r="B1953" s="748">
        <f>'Part VII-Pro Forma'!B65</f>
        <v>-8063.4982760647335</v>
      </c>
      <c r="C1953" s="748">
        <f>'Part VII-Pro Forma'!C65</f>
        <v>-8305.4032243466754</v>
      </c>
      <c r="D1953" s="748">
        <f>'Part VII-Pro Forma'!D65</f>
        <v>-8554.5653210770761</v>
      </c>
      <c r="E1953" s="748">
        <f>'Part VII-Pro Forma'!E65</f>
        <v>-8811.202280709389</v>
      </c>
      <c r="F1953" s="748">
        <f>'Part VII-Pro Forma'!F65</f>
        <v>-9075.5383491306711</v>
      </c>
      <c r="G1953" s="748">
        <f>'Part VII-Pro Forma'!G65</f>
        <v>0</v>
      </c>
      <c r="H1953" s="748">
        <f>'Part VII-Pro Forma'!H65</f>
        <v>0</v>
      </c>
      <c r="I1953" s="748">
        <f>'Part VII-Pro Forma'!I65</f>
        <v>0</v>
      </c>
      <c r="J1953" s="748">
        <f>'Part VII-Pro Forma'!J65</f>
        <v>0</v>
      </c>
      <c r="K1953" s="748">
        <f>'Part VII-Pro Forma'!K65</f>
        <v>0</v>
      </c>
    </row>
    <row r="1954" spans="1:11">
      <c r="A1954" s="748" t="s">
        <v>1865</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1809</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1810</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1346</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Second Mortgage Balance</v>
      </c>
      <c r="B1965" s="748">
        <f>'Part VII-Pro Forma'!B77</f>
        <v>1809704.3225365132</v>
      </c>
      <c r="C1965" s="748">
        <f>'Part VII-Pro Forma'!C77</f>
        <v>1763494.8474012641</v>
      </c>
      <c r="D1965" s="748">
        <f>'Part VII-Pro Forma'!D77</f>
        <v>1713841.335067142</v>
      </c>
      <c r="E1965" s="748">
        <f>'Part VII-Pro Forma'!E77</f>
        <v>1660487.0980865511</v>
      </c>
      <c r="F1965" s="748">
        <f>'Part VII-Pro Forma'!F77</f>
        <v>1603156.3178463622</v>
      </c>
      <c r="G1965" s="748">
        <f>'Part VII-Pro Forma'!G77</f>
        <v>1541552.6187035087</v>
      </c>
      <c r="H1965" s="748">
        <f>'Part VII-Pro Forma'!H77</f>
        <v>1475357.5358495186</v>
      </c>
      <c r="I1965" s="748">
        <f>'Part VII-Pro Forma'!I77</f>
        <v>1404228.8689834974</v>
      </c>
      <c r="J1965" s="748">
        <f>'Part VII-Pro Forma'!J77</f>
        <v>1327798.9132827551</v>
      </c>
      <c r="K1965" s="748">
        <f>'Part VII-Pro Forma'!K77</f>
        <v>1245672.5585259506</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1365</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1365</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1900</v>
      </c>
      <c r="B1969" s="748" t="str">
        <f>'Part VII-Pro Forma'!B81</f>
        <v/>
      </c>
      <c r="C1969" s="748" t="str">
        <f>'Part VII-Pro Forma'!C81</f>
        <v/>
      </c>
      <c r="D1969" s="748" t="str">
        <f>'Part VII-Pro Forma'!D81</f>
        <v/>
      </c>
      <c r="E1969" s="748" t="str">
        <f>'Part VII-Pro Forma'!E81</f>
        <v/>
      </c>
      <c r="F1969" s="748" t="str">
        <f>'Part VII-Pro Forma'!F81</f>
        <v/>
      </c>
      <c r="G1969" s="748" t="str">
        <f>'Part VII-Pro Forma'!G81</f>
        <v/>
      </c>
      <c r="H1969" s="748" t="str">
        <f>'Part VII-Pro Forma'!H81</f>
        <v/>
      </c>
      <c r="I1969" s="748" t="str">
        <f>'Part VII-Pro Forma'!I81</f>
        <v/>
      </c>
      <c r="J1969" s="748" t="str">
        <f>'Part VII-Pro Forma'!J81</f>
        <v/>
      </c>
      <c r="K1969" s="748" t="str">
        <f>'Part VII-Pro Forma'!K81</f>
        <v/>
      </c>
    </row>
    <row r="1971" spans="1:11">
      <c r="A1971" s="748" t="s">
        <v>3754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3643</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1633</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3644</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949</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1747</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1863</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1864</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-175181.94394561139</v>
      </c>
      <c r="C1983" s="748">
        <f>'Part VII-Pro Forma'!C95</f>
        <v>-175181.94394561139</v>
      </c>
      <c r="D1983" s="748">
        <f>'Part VII-Pro Forma'!D95</f>
        <v>-175181.94394561139</v>
      </c>
      <c r="E1983" s="748">
        <f>'Part VII-Pro Forma'!E95</f>
        <v>-175181.94394561139</v>
      </c>
      <c r="F1983" s="748">
        <f>'Part VII-Pro Forma'!F95</f>
        <v>-175181.94394561139</v>
      </c>
      <c r="G1983" s="748">
        <f>'Part VII-Pro Forma'!G95</f>
        <v>-175181.94394561139</v>
      </c>
      <c r="H1983" s="748">
        <f>'Part VII-Pro Forma'!H95</f>
        <v>-175181.94394561139</v>
      </c>
      <c r="I1983" s="748">
        <f>'Part VII-Pro Forma'!I95</f>
        <v>-175181.94394561139</v>
      </c>
      <c r="J1983" s="748">
        <f>'Part VII-Pro Forma'!J95</f>
        <v>-175181.94394561139</v>
      </c>
      <c r="K1983" s="748">
        <f>'Part VII-Pro Forma'!K95</f>
        <v>-175181.94394561139</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1337</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1808</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1865</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1809</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1810</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1346</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Second Mortgage Balance</v>
      </c>
      <c r="B2000" s="748">
        <f>'Part VII-Pro Forma'!B112</f>
        <v>1157425.2465420319</v>
      </c>
      <c r="C2000" s="748">
        <f>'Part VII-Pro Forma'!C112</f>
        <v>1062600.7764258555</v>
      </c>
      <c r="D2000" s="748">
        <f>'Part VII-Pro Forma'!D112</f>
        <v>960708.94617438933</v>
      </c>
      <c r="E2000" s="748">
        <f>'Part VII-Pro Forma'!E112</f>
        <v>851223.01855176303</v>
      </c>
      <c r="F2000" s="748">
        <f>'Part VII-Pro Forma'!F112</f>
        <v>733576.99808277178</v>
      </c>
      <c r="G2000" s="748">
        <f>'Part VII-Pro Forma'!G112</f>
        <v>607162.70509805367</v>
      </c>
      <c r="H2000" s="748">
        <f>'Part VII-Pro Forma'!H112</f>
        <v>471326.63170500391</v>
      </c>
      <c r="I2000" s="748">
        <f>'Part VII-Pro Forma'!I112</f>
        <v>325366.56343113736</v>
      </c>
      <c r="J2000" s="748">
        <f>'Part VII-Pro Forma'!J112</f>
        <v>168527.9490752409</v>
      </c>
      <c r="K2000" s="748">
        <f>'Part VII-Pro Forma'!K112</f>
        <v>-5.0349626690149307E-9</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1365</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1365</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1900</v>
      </c>
      <c r="B2004" s="748" t="str">
        <f>'Part VII-Pro Forma'!B116</f>
        <v/>
      </c>
      <c r="C2004" s="748" t="str">
        <f>'Part VII-Pro Forma'!C116</f>
        <v/>
      </c>
      <c r="D2004" s="748" t="str">
        <f>'Part VII-Pro Forma'!D116</f>
        <v/>
      </c>
      <c r="E2004" s="748" t="str">
        <f>'Part VII-Pro Forma'!E116</f>
        <v/>
      </c>
      <c r="F2004" s="748" t="str">
        <f>'Part VII-Pro Forma'!F116</f>
        <v/>
      </c>
      <c r="G2004" s="748" t="str">
        <f>'Part VII-Pro Forma'!G116</f>
        <v/>
      </c>
      <c r="H2004" s="748" t="str">
        <f>'Part VII-Pro Forma'!H116</f>
        <v/>
      </c>
      <c r="I2004" s="748" t="str">
        <f>'Part VII-Pro Forma'!I116</f>
        <v/>
      </c>
      <c r="J2004" s="748" t="str">
        <f>'Part VII-Pro Forma'!J116</f>
        <v/>
      </c>
      <c r="K2004" s="748" t="str">
        <f>'Part VII-Pro Forma'!K116</f>
        <v/>
      </c>
    </row>
    <row r="2006" spans="1:11">
      <c r="A2006" s="748" t="s">
        <v>3754</v>
      </c>
      <c r="B2006" s="748">
        <f>K1971+1</f>
        <v>31</v>
      </c>
      <c r="C2006" s="748">
        <f>B2006+1</f>
        <v>32</v>
      </c>
      <c r="D2006" s="748">
        <f>C2006+1</f>
        <v>33</v>
      </c>
      <c r="E2006" s="748">
        <f>D2006+1</f>
        <v>34</v>
      </c>
      <c r="F2006" s="748">
        <f>E2006+1</f>
        <v>35</v>
      </c>
    </row>
    <row r="2007" spans="1:11">
      <c r="A2007" s="748" t="s">
        <v>3643</v>
      </c>
      <c r="B2007" s="748" t="e">
        <f>$B$14*(1+$B$5)^(B2006-1)</f>
        <v>#VALUE!</v>
      </c>
      <c r="C2007" s="748" t="e">
        <f>$B$14*(1+$B$5)^(C2006-1)</f>
        <v>#VALUE!</v>
      </c>
      <c r="D2007" s="748" t="e">
        <f>$B$14*(1+$B$5)^(D2006-1)</f>
        <v>#VALUE!</v>
      </c>
      <c r="E2007" s="748" t="e">
        <f>$B$14*(1+$B$5)^(E2006-1)</f>
        <v>#VALUE!</v>
      </c>
      <c r="F2007" s="748" t="e">
        <f>$B$14*(1+$B$5)^(F2006-1)</f>
        <v>#VALUE!</v>
      </c>
    </row>
    <row r="2008" spans="1:11">
      <c r="A2008" s="748" t="s">
        <v>1633</v>
      </c>
      <c r="B2008" s="748" t="e">
        <f>$B$15*(1+$B$5)^(B2006-1)</f>
        <v>#VALUE!</v>
      </c>
      <c r="C2008" s="748" t="e">
        <f>$B$15*(1+$B$5)^(C2006-1)</f>
        <v>#VALUE!</v>
      </c>
      <c r="D2008" s="748" t="e">
        <f>$B$15*(1+$B$5)^(D2006-1)</f>
        <v>#VALUE!</v>
      </c>
      <c r="E2008" s="748" t="e">
        <f>$B$15*(1+$B$5)^(E2006-1)</f>
        <v>#VALUE!</v>
      </c>
      <c r="F2008" s="748" t="e">
        <f>$B$15*(1+$B$5)^(F2006-1)</f>
        <v>#VALUE!</v>
      </c>
    </row>
    <row r="2009" spans="1:11">
      <c r="A2009" s="748" t="s">
        <v>3644</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949</v>
      </c>
      <c r="B2012" s="748">
        <f>$B$19*(1+$B$6)^(B2006-1)</f>
        <v>0</v>
      </c>
      <c r="C2012" s="748">
        <f>$B$19*(1+$B$6)^(C2006-1)</f>
        <v>0</v>
      </c>
      <c r="D2012" s="748">
        <f>$B$19*(1+$B$6)^(D2006-1)</f>
        <v>0</v>
      </c>
      <c r="E2012" s="748">
        <f>$B$19*(1+$B$6)^(E2006-1)</f>
        <v>0</v>
      </c>
      <c r="F2012" s="748">
        <f>$B$19*(1+$B$6)^(F2006-1)</f>
        <v>0</v>
      </c>
    </row>
    <row r="2013" spans="1:11">
      <c r="A2013" s="748" t="s">
        <v>1747</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1863</v>
      </c>
      <c r="B2014" s="748">
        <f>$B$21*(1+$B$7)^(B2006-1)</f>
        <v>0</v>
      </c>
      <c r="C2014" s="748">
        <f>$B$21*(1+$B$7)^(C2006-1)</f>
        <v>0</v>
      </c>
      <c r="D2014" s="748">
        <f>$B$21*(1+$B$7)^(D2006-1)</f>
        <v>0</v>
      </c>
      <c r="E2014" s="748">
        <f>$B$21*(1+$B$7)^(E2006-1)</f>
        <v>0</v>
      </c>
      <c r="F2014" s="748">
        <f>$B$21*(1+$B$7)^(F2006-1)</f>
        <v>0</v>
      </c>
    </row>
    <row r="2015" spans="1:11">
      <c r="A2015" s="748" t="s">
        <v>1864</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1337</v>
      </c>
      <c r="B2022" s="748">
        <f>'Part VII-Pro Forma'!B134</f>
        <v>0</v>
      </c>
      <c r="C2022" s="748">
        <f>'Part VII-Pro Forma'!C134</f>
        <v>0</v>
      </c>
      <c r="D2022" s="748">
        <f>'Part VII-Pro Forma'!D134</f>
        <v>0</v>
      </c>
      <c r="E2022" s="748">
        <f>'Part VII-Pro Forma'!E134</f>
        <v>0</v>
      </c>
      <c r="F2022" s="748">
        <f>'Part VII-Pro Forma'!F134</f>
        <v>0</v>
      </c>
    </row>
    <row r="2023" spans="1:6">
      <c r="A2023" s="748" t="s">
        <v>1808</v>
      </c>
      <c r="B2023" s="748">
        <f>'Part VII-Pro Forma'!B135</f>
        <v>0</v>
      </c>
      <c r="C2023" s="748">
        <f>'Part VII-Pro Forma'!C135</f>
        <v>0</v>
      </c>
      <c r="D2023" s="748">
        <f>'Part VII-Pro Forma'!D135</f>
        <v>0</v>
      </c>
      <c r="E2023" s="748">
        <f>'Part VII-Pro Forma'!E135</f>
        <v>0</v>
      </c>
      <c r="F2023" s="748">
        <f>'Part VII-Pro Forma'!F135</f>
        <v>0</v>
      </c>
    </row>
    <row r="2024" spans="1:6">
      <c r="A2024" s="748" t="s">
        <v>1865</v>
      </c>
      <c r="B2024" s="748">
        <f>'Part VII-Pro Forma'!B136</f>
        <v>0</v>
      </c>
      <c r="C2024" s="748">
        <f>'Part VII-Pro Forma'!C136</f>
        <v>0</v>
      </c>
      <c r="D2024" s="748">
        <f>'Part VII-Pro Forma'!D136</f>
        <v>0</v>
      </c>
      <c r="E2024" s="748">
        <f>'Part VII-Pro Forma'!E136</f>
        <v>0</v>
      </c>
      <c r="F2024" s="748">
        <f>'Part VII-Pro Forma'!F136</f>
        <v>0</v>
      </c>
    </row>
    <row r="2025" spans="1:6">
      <c r="A2025" s="748" t="s">
        <v>1809</v>
      </c>
      <c r="B2025" s="748">
        <f>'Part VII-Pro Forma'!B137</f>
        <v>0</v>
      </c>
      <c r="C2025" s="748">
        <f>'Part VII-Pro Forma'!C137</f>
        <v>0</v>
      </c>
      <c r="D2025" s="748">
        <f>'Part VII-Pro Forma'!D137</f>
        <v>0</v>
      </c>
      <c r="E2025" s="748">
        <f>'Part VII-Pro Forma'!E137</f>
        <v>0</v>
      </c>
      <c r="F2025" s="748">
        <f>'Part VII-Pro Forma'!F137</f>
        <v>0</v>
      </c>
    </row>
    <row r="2026" spans="1:6">
      <c r="A2026" s="748" t="s">
        <v>1810</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1346</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Second Mortgage Balance</v>
      </c>
      <c r="B2035" s="748">
        <f>'Part VII-Pro Forma'!B147</f>
        <v>-5.4102233417724118E-9</v>
      </c>
      <c r="C2035" s="748">
        <f>'Part VII-Pro Forma'!C147</f>
        <v>-5.8134525580476046E-9</v>
      </c>
      <c r="D2035" s="748">
        <f>'Part VII-Pro Forma'!D147</f>
        <v>-6.2467348406357012E-9</v>
      </c>
      <c r="E2035" s="748">
        <f>'Part VII-Pro Forma'!E147</f>
        <v>-6.7123100738465512E-9</v>
      </c>
      <c r="F2035" s="748">
        <f>'Part VII-Pro Forma'!F147</f>
        <v>-7.2125850827497016E-9</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1365</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1365</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1900</v>
      </c>
      <c r="B2039" s="748" t="str">
        <f>'Part VII-Pro Forma'!B151</f>
        <v/>
      </c>
      <c r="C2039" s="748" t="str">
        <f>'Part VII-Pro Forma'!C151</f>
        <v/>
      </c>
      <c r="D2039" s="748" t="str">
        <f>'Part VII-Pro Forma'!D151</f>
        <v/>
      </c>
      <c r="E2039" s="748" t="str">
        <f>'Part VII-Pro Forma'!E151</f>
        <v/>
      </c>
      <c r="F2039" s="748" t="str">
        <f>'Part VII-Pro Forma'!F151</f>
        <v/>
      </c>
    </row>
    <row r="2041" spans="1:7">
      <c r="A2041" s="748" t="s">
        <v>879</v>
      </c>
      <c r="G2041" s="748" t="s">
        <v>1655</v>
      </c>
    </row>
    <row r="2043" spans="1:7">
      <c r="A2043" s="748" t="str">
        <f>'Part VII-Pro Forma'!A155</f>
        <v>The Conventional Permanent Loan matures at Year 30, therefore loan payments are not shown beyond Year 30.</v>
      </c>
      <c r="G2043" s="748">
        <f>'Part VII-Pro Forma'!G155</f>
        <v>0</v>
      </c>
    </row>
    <row r="2044" spans="1:7">
      <c r="A2044" s="748" t="str">
        <f>'Part VII-Pro Forma'!A156</f>
        <v>Syndicator Asset Management Fee is only paid in Years 1 through 15.  After Year 15 it is assumed the LP interest will revert/be sold to the Non-profit sponsor, and the Limited Partner(s) will exit the deal.</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2011-043 Calypso,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1531</v>
      </c>
      <c r="Q2051" s="748" t="s">
        <v>2890</v>
      </c>
    </row>
    <row r="2054" spans="1:17">
      <c r="A2054" s="748" t="s">
        <v>865</v>
      </c>
      <c r="P2054" s="748">
        <f>'Part VIII-Threshold Criteria'!P6</f>
        <v>0</v>
      </c>
    </row>
    <row r="2055" spans="1:17">
      <c r="A2055" s="748" t="s">
        <v>367</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2923</v>
      </c>
      <c r="P2077" s="748">
        <f>'Part VIII-Threshold Criteria'!P29</f>
        <v>0</v>
      </c>
    </row>
    <row r="2079" spans="1:17">
      <c r="B2079" s="748" t="s">
        <v>3060</v>
      </c>
      <c r="C2079" s="748" t="s">
        <v>1078</v>
      </c>
      <c r="O2079" s="748" t="s">
        <v>924</v>
      </c>
      <c r="P2079" s="748" t="str">
        <f>'Part VIII-Threshold Criteria'!P31</f>
        <v>No</v>
      </c>
      <c r="Q2079" s="748">
        <f>'Part VIII-Threshold Criteria'!Q31</f>
        <v>0</v>
      </c>
    </row>
    <row r="2080" spans="1:17">
      <c r="B2080" s="748" t="s">
        <v>3063</v>
      </c>
      <c r="C2080" s="748" t="s">
        <v>1079</v>
      </c>
      <c r="J2080" s="748" t="str">
        <f>'Part VIII-Threshold Criteria'!J32</f>
        <v>&lt;&lt; Select &gt;&gt;</v>
      </c>
    </row>
    <row r="2081" spans="1:17">
      <c r="B2081" s="748" t="s">
        <v>2921</v>
      </c>
    </row>
    <row r="2082" spans="1:17">
      <c r="A2082" s="748" t="str">
        <f>'Part VIII-Threshold Criteria'!A34</f>
        <v>Preliminary commitments from all funding sources are included in Tab 5; there is no funding "under consideration".</v>
      </c>
    </row>
    <row r="2083" spans="1:17">
      <c r="A2083" s="748">
        <f>'Part VIII-Threshold Criteria'!A35</f>
        <v>0</v>
      </c>
    </row>
    <row r="2084" spans="1:17">
      <c r="A2084" s="748">
        <f>'Part VIII-Threshold Criteria'!A36</f>
        <v>0</v>
      </c>
    </row>
    <row r="2085" spans="1:17">
      <c r="B2085" s="748" t="s">
        <v>2922</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2085</v>
      </c>
      <c r="O2093" s="748" t="s">
        <v>2923</v>
      </c>
      <c r="P2093" s="748">
        <f>'Part VIII-Threshold Criteria'!P45</f>
        <v>0</v>
      </c>
    </row>
    <row r="2095" spans="1:17">
      <c r="C2095" s="748" t="s">
        <v>113</v>
      </c>
      <c r="J2095" s="748" t="str">
        <f>'Part VIII-Threshold Criteria'!J47</f>
        <v>Family</v>
      </c>
      <c r="P2095" s="748" t="str">
        <f>'Part VIII-Threshold Criteria'!P47</f>
        <v>Yes</v>
      </c>
      <c r="Q2095" s="748">
        <f>'Part VIII-Threshold Criteria'!Q47</f>
        <v>0</v>
      </c>
    </row>
    <row r="2096" spans="1:17">
      <c r="B2096" s="748" t="s">
        <v>2921</v>
      </c>
      <c r="K2096" s="748" t="s">
        <v>2922</v>
      </c>
    </row>
    <row r="2097" spans="1:17">
      <c r="A2097" s="748">
        <f>'Part VIII-Threshold Criteria'!A49</f>
        <v>0</v>
      </c>
      <c r="K2097" s="748">
        <f>'Part VIII-Threshold Criteria'!K49</f>
        <v>0</v>
      </c>
    </row>
    <row r="2099" spans="1:17">
      <c r="A2099" s="748">
        <v>3</v>
      </c>
      <c r="B2099" s="748" t="s">
        <v>682</v>
      </c>
      <c r="O2099" s="748" t="s">
        <v>2923</v>
      </c>
      <c r="P2099" s="748">
        <f>'Part VIII-Threshold Criteria'!P51</f>
        <v>0</v>
      </c>
    </row>
    <row r="2101" spans="1:17">
      <c r="B2101" s="748" t="s">
        <v>3060</v>
      </c>
      <c r="C2101" s="748" t="s">
        <v>4079</v>
      </c>
      <c r="P2101" s="748" t="str">
        <f>'Part VIII-Threshold Criteria'!P53</f>
        <v>Agree</v>
      </c>
      <c r="Q2101" s="748">
        <f>'Part VIII-Threshold Criteria'!Q53</f>
        <v>0</v>
      </c>
    </row>
    <row r="2102" spans="1:17">
      <c r="B2102" s="748" t="s">
        <v>3063</v>
      </c>
      <c r="C2102" s="748" t="s">
        <v>2230</v>
      </c>
    </row>
    <row r="2103" spans="1:17">
      <c r="C2103" s="748" t="s">
        <v>2765</v>
      </c>
      <c r="D2103" s="748" t="s">
        <v>883</v>
      </c>
      <c r="O2103" s="748" t="s">
        <v>2765</v>
      </c>
      <c r="P2103" s="748" t="str">
        <f>'Part VIII-Threshold Criteria'!P55</f>
        <v>Yes</v>
      </c>
      <c r="Q2103" s="748">
        <f>'Part VIII-Threshold Criteria'!Q55</f>
        <v>0</v>
      </c>
    </row>
    <row r="2104" spans="1:17">
      <c r="C2104" s="748" t="s">
        <v>2766</v>
      </c>
      <c r="D2104" s="748" t="s">
        <v>2846</v>
      </c>
      <c r="O2104" s="748" t="s">
        <v>2766</v>
      </c>
      <c r="P2104" s="748" t="str">
        <f>'Part VIII-Threshold Criteria'!P56</f>
        <v>No</v>
      </c>
      <c r="Q2104" s="748">
        <f>'Part VIII-Threshold Criteria'!Q56</f>
        <v>0</v>
      </c>
    </row>
    <row r="2105" spans="1:17">
      <c r="C2105" s="748" t="s">
        <v>2767</v>
      </c>
      <c r="D2105" s="748" t="s">
        <v>401</v>
      </c>
      <c r="K2105" s="748" t="s">
        <v>2767</v>
      </c>
      <c r="L2105" s="748">
        <f>'Part VIII-Threshold Criteria'!L57</f>
        <v>0</v>
      </c>
      <c r="Q2105" s="748">
        <f>'Part VIII-Threshold Criteria'!Q57</f>
        <v>0</v>
      </c>
    </row>
    <row r="2106" spans="1:17">
      <c r="B2106" s="748" t="s">
        <v>2921</v>
      </c>
    </row>
    <row r="2107" spans="1:17">
      <c r="A2107" s="748" t="str">
        <f>'Part VIII-Threshold Criteria'!A59</f>
        <v>Property management will oversee regular social and recreational programs at the site.</v>
      </c>
    </row>
    <row r="2108" spans="1:17">
      <c r="A2108" s="748">
        <f>'Part VIII-Threshold Criteria'!A60</f>
        <v>0</v>
      </c>
    </row>
    <row r="2109" spans="1:17">
      <c r="B2109" s="748" t="s">
        <v>2922</v>
      </c>
    </row>
    <row r="2110" spans="1:17">
      <c r="A2110" s="748">
        <f>'Part VIII-Threshold Criteria'!A62</f>
        <v>0</v>
      </c>
    </row>
    <row r="2111" spans="1:17">
      <c r="A2111" s="748">
        <f>'Part VIII-Threshold Criteria'!A63</f>
        <v>0</v>
      </c>
    </row>
    <row r="2113" spans="1:17">
      <c r="A2113" s="748">
        <v>4</v>
      </c>
      <c r="B2113" s="748" t="s">
        <v>3703</v>
      </c>
      <c r="O2113" s="748" t="s">
        <v>2923</v>
      </c>
      <c r="P2113" s="748">
        <f>'Part VIII-Threshold Criteria'!P65</f>
        <v>0</v>
      </c>
    </row>
    <row r="2115" spans="1:17">
      <c r="B2115" s="748" t="s">
        <v>3060</v>
      </c>
      <c r="C2115" s="748" t="s">
        <v>3730</v>
      </c>
      <c r="L2115" s="748" t="s">
        <v>3060</v>
      </c>
      <c r="M2115" s="748" t="str">
        <f>'Part VIII-Threshold Criteria'!M67</f>
        <v>Novogradic</v>
      </c>
      <c r="Q2115" s="748">
        <f>'Part VIII-Threshold Criteria'!Q67</f>
        <v>0</v>
      </c>
    </row>
    <row r="2116" spans="1:17">
      <c r="B2116" s="748" t="s">
        <v>3063</v>
      </c>
      <c r="C2116" s="748" t="s">
        <v>3118</v>
      </c>
      <c r="L2116" s="748" t="s">
        <v>3063</v>
      </c>
      <c r="M2116" s="748" t="str">
        <f>'Part VIII-Threshold Criteria'!M68</f>
        <v>9 months (page 8 of Market Study)</v>
      </c>
      <c r="Q2116" s="748">
        <f>'Part VIII-Threshold Criteria'!Q68</f>
        <v>0</v>
      </c>
    </row>
    <row r="2117" spans="1:17">
      <c r="B2117" s="748" t="s">
        <v>1239</v>
      </c>
      <c r="C2117" s="748" t="s">
        <v>3731</v>
      </c>
      <c r="L2117" s="748" t="s">
        <v>1239</v>
      </c>
      <c r="M2117" s="748" t="str">
        <f>'Part VIII-Threshold Criteria'!M69</f>
        <v>1st Qtr 2013 through 4th Qtr 2013</v>
      </c>
      <c r="Q2117" s="748">
        <f>'Part VIII-Threshold Criteria'!Q69</f>
        <v>0</v>
      </c>
    </row>
    <row r="2118" spans="1:17">
      <c r="B2118" s="748" t="s">
        <v>3212</v>
      </c>
      <c r="C2118" s="748" t="s">
        <v>3732</v>
      </c>
      <c r="L2118" s="748" t="s">
        <v>3212</v>
      </c>
      <c r="M2118" s="748">
        <f>'Part VIII-Threshold Criteria'!M70</f>
        <v>0.114</v>
      </c>
      <c r="Q2118" s="748">
        <f>'Part VIII-Threshold Criteria'!Q70</f>
        <v>0</v>
      </c>
    </row>
    <row r="2119" spans="1:17">
      <c r="B2119" s="748" t="s">
        <v>2763</v>
      </c>
      <c r="C2119" s="748" t="s">
        <v>3556</v>
      </c>
      <c r="O2119" s="748" t="s">
        <v>2763</v>
      </c>
      <c r="P2119" s="748" t="str">
        <f>'Part VIII-Threshold Criteria'!P71</f>
        <v>Yes</v>
      </c>
      <c r="Q2119" s="748">
        <f>'Part VIII-Threshold Criteria'!Q71</f>
        <v>0</v>
      </c>
    </row>
    <row r="2120" spans="1:17">
      <c r="D2120" s="748" t="s">
        <v>3593</v>
      </c>
      <c r="E2120" s="748" t="s">
        <v>952</v>
      </c>
      <c r="H2120" s="748" t="s">
        <v>3593</v>
      </c>
      <c r="I2120" s="748" t="s">
        <v>952</v>
      </c>
      <c r="L2120" s="748" t="s">
        <v>3593</v>
      </c>
      <c r="M2120" s="748" t="s">
        <v>952</v>
      </c>
    </row>
    <row r="2121" spans="1:17">
      <c r="C2121" s="748">
        <v>1</v>
      </c>
      <c r="D2121" s="748" t="str">
        <f>'Part VIII-Threshold Criteria'!D73</f>
        <v>NONE</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2764</v>
      </c>
      <c r="C2124" s="748" t="s">
        <v>1</v>
      </c>
      <c r="O2124" s="748" t="s">
        <v>2764</v>
      </c>
      <c r="P2124" s="748" t="str">
        <f>'Part VIII-Threshold Criteria'!P76</f>
        <v>Yes</v>
      </c>
      <c r="Q2124" s="748">
        <f>'Part VIII-Threshold Criteria'!Q76</f>
        <v>0</v>
      </c>
    </row>
    <row r="2125" spans="1:17">
      <c r="B2125" s="748" t="s">
        <v>2921</v>
      </c>
    </row>
    <row r="2126" spans="1:17">
      <c r="A2126" s="748" t="str">
        <f>'Part VIII-Threshold Criteria'!A78</f>
        <v>There are no DCA tax credit projects that have been funded within 10 miles of Calypso since 2008.  Palmetto Preserve, a neighboring tax credit property, was awarded and developed prior to 2008, although it went through a mini-rehab in 2009.</v>
      </c>
    </row>
    <row r="2127" spans="1:17">
      <c r="A2127" s="748">
        <f>'Part VIII-Threshold Criteria'!A79</f>
        <v>0</v>
      </c>
    </row>
    <row r="2128" spans="1:17">
      <c r="B2128" s="748" t="s">
        <v>2922</v>
      </c>
    </row>
    <row r="2129" spans="1:17">
      <c r="A2129" s="748">
        <f>'Part VIII-Threshold Criteria'!A81</f>
        <v>0</v>
      </c>
    </row>
    <row r="2130" spans="1:17">
      <c r="A2130" s="748">
        <f>'Part VIII-Threshold Criteria'!A82</f>
        <v>0</v>
      </c>
    </row>
    <row r="2131" spans="1:17">
      <c r="A2131" s="748">
        <v>5</v>
      </c>
      <c r="B2131" s="748" t="s">
        <v>291</v>
      </c>
      <c r="O2131" s="748" t="s">
        <v>2923</v>
      </c>
      <c r="P2131" s="748">
        <f>'Part VIII-Threshold Criteria'!P83</f>
        <v>0</v>
      </c>
    </row>
    <row r="2133" spans="1:17">
      <c r="B2133" s="748" t="s">
        <v>3060</v>
      </c>
      <c r="C2133" s="748" t="s">
        <v>730</v>
      </c>
      <c r="O2133" s="748" t="s">
        <v>3060</v>
      </c>
      <c r="P2133" s="748" t="str">
        <f>'Part VIII-Threshold Criteria'!P85</f>
        <v>No</v>
      </c>
      <c r="Q2133" s="748">
        <f>'Part VIII-Threshold Criteria'!Q85</f>
        <v>0</v>
      </c>
    </row>
    <row r="2134" spans="1:17">
      <c r="B2134" s="748" t="s">
        <v>3063</v>
      </c>
      <c r="C2134" s="748" t="s">
        <v>2006</v>
      </c>
      <c r="O2134" s="748" t="s">
        <v>3063</v>
      </c>
      <c r="P2134" s="748" t="str">
        <f>'Part VIII-Threshold Criteria'!P86</f>
        <v>No</v>
      </c>
      <c r="Q2134" s="748">
        <f>'Part VIII-Threshold Criteria'!Q86</f>
        <v>0</v>
      </c>
    </row>
    <row r="2135" spans="1:17">
      <c r="D2135" s="748" t="s">
        <v>850</v>
      </c>
      <c r="K2135" s="748" t="s">
        <v>851</v>
      </c>
      <c r="M2135" s="748">
        <f>'Part VIII-Threshold Criteria'!M87</f>
        <v>0</v>
      </c>
      <c r="Q2135" s="748">
        <f>'Part VIII-Threshold Criteria'!Q87</f>
        <v>0</v>
      </c>
    </row>
    <row r="2136" spans="1:17">
      <c r="C2136" s="748" t="s">
        <v>2765</v>
      </c>
      <c r="D2136" s="748" t="s">
        <v>679</v>
      </c>
      <c r="O2136" s="748" t="s">
        <v>2765</v>
      </c>
      <c r="P2136" s="748">
        <f>'Part VIII-Threshold Criteria'!P88</f>
        <v>0</v>
      </c>
      <c r="Q2136" s="748">
        <f>'Part VIII-Threshold Criteria'!Q88</f>
        <v>0</v>
      </c>
    </row>
    <row r="2137" spans="1:17">
      <c r="C2137" s="748" t="s">
        <v>2766</v>
      </c>
      <c r="D2137" s="748" t="s">
        <v>187</v>
      </c>
      <c r="O2137" s="748" t="s">
        <v>2766</v>
      </c>
      <c r="P2137" s="748">
        <f>'Part VIII-Threshold Criteria'!P89</f>
        <v>0</v>
      </c>
      <c r="Q2137" s="748">
        <f>'Part VIII-Threshold Criteria'!Q89</f>
        <v>0</v>
      </c>
    </row>
    <row r="2138" spans="1:17">
      <c r="C2138" s="748" t="s">
        <v>2767</v>
      </c>
      <c r="D2138" s="748" t="s">
        <v>188</v>
      </c>
      <c r="O2138" s="748" t="s">
        <v>2767</v>
      </c>
      <c r="P2138" s="748">
        <f>'Part VIII-Threshold Criteria'!P90</f>
        <v>0</v>
      </c>
      <c r="Q2138" s="748">
        <f>'Part VIII-Threshold Criteria'!Q90</f>
        <v>0</v>
      </c>
    </row>
    <row r="2139" spans="1:17">
      <c r="B2139" s="748" t="s">
        <v>1239</v>
      </c>
      <c r="C2139" s="748" t="s">
        <v>191</v>
      </c>
      <c r="O2139" s="748" t="s">
        <v>1239</v>
      </c>
      <c r="P2139" s="748">
        <f>'Part VIII-Threshold Criteria'!P91</f>
        <v>0</v>
      </c>
      <c r="Q2139" s="748">
        <f>'Part VIII-Threshold Criteria'!Q91</f>
        <v>0</v>
      </c>
    </row>
    <row r="2140" spans="1:17">
      <c r="B2140" s="748" t="s">
        <v>3212</v>
      </c>
      <c r="C2140" s="748" t="s">
        <v>2149</v>
      </c>
    </row>
    <row r="2141" spans="1:17">
      <c r="C2141" s="748" t="s">
        <v>2765</v>
      </c>
      <c r="D2141" s="748" t="s">
        <v>2150</v>
      </c>
      <c r="O2141" s="748" t="s">
        <v>2765</v>
      </c>
      <c r="P2141" s="748" t="str">
        <f>'Part VIII-Threshold Criteria'!P93</f>
        <v>No</v>
      </c>
      <c r="Q2141" s="748">
        <f>'Part VIII-Threshold Criteria'!Q93</f>
        <v>0</v>
      </c>
    </row>
    <row r="2142" spans="1:17">
      <c r="C2142" s="748" t="s">
        <v>2766</v>
      </c>
      <c r="D2142" s="748" t="s">
        <v>2151</v>
      </c>
      <c r="O2142" s="748" t="s">
        <v>2766</v>
      </c>
      <c r="P2142" s="748" t="str">
        <f>'Part VIII-Threshold Criteria'!P94</f>
        <v>No</v>
      </c>
      <c r="Q2142" s="748">
        <f>'Part VIII-Threshold Criteria'!Q94</f>
        <v>0</v>
      </c>
    </row>
    <row r="2143" spans="1:17">
      <c r="C2143" s="748" t="s">
        <v>2767</v>
      </c>
      <c r="D2143" s="748" t="s">
        <v>2152</v>
      </c>
      <c r="O2143" s="748" t="s">
        <v>2767</v>
      </c>
      <c r="P2143" s="748" t="str">
        <f>'Part VIII-Threshold Criteria'!P95</f>
        <v>No</v>
      </c>
      <c r="Q2143" s="748">
        <f>'Part VIII-Threshold Criteria'!Q95</f>
        <v>0</v>
      </c>
    </row>
    <row r="2144" spans="1:17">
      <c r="B2144" s="748" t="s">
        <v>2921</v>
      </c>
    </row>
    <row r="2145" spans="1:17">
      <c r="A2145" s="748" t="str">
        <f>'Part VIII-Threshold Criteria'!A97</f>
        <v>There is not an identity of interest between the seller of the land and either of the two General Partner entities.</v>
      </c>
    </row>
    <row r="2146" spans="1:17">
      <c r="A2146" s="748">
        <f>'Part VIII-Threshold Criteria'!A98</f>
        <v>0</v>
      </c>
    </row>
    <row r="2147" spans="1:17">
      <c r="B2147" s="748" t="s">
        <v>2922</v>
      </c>
    </row>
    <row r="2148" spans="1:17">
      <c r="A2148" s="748">
        <f>'Part VIII-Threshold Criteria'!A100</f>
        <v>0</v>
      </c>
    </row>
    <row r="2149" spans="1:17">
      <c r="A2149" s="748">
        <f>'Part VIII-Threshold Criteria'!A101</f>
        <v>0</v>
      </c>
    </row>
    <row r="2151" spans="1:17">
      <c r="A2151" s="748">
        <v>6</v>
      </c>
      <c r="B2151" s="748" t="s">
        <v>331</v>
      </c>
      <c r="O2151" s="748" t="s">
        <v>2923</v>
      </c>
      <c r="P2151" s="748">
        <f>'Part VIII-Threshold Criteria'!P103</f>
        <v>0</v>
      </c>
    </row>
    <row r="2153" spans="1:17">
      <c r="B2153" s="748" t="s">
        <v>3060</v>
      </c>
      <c r="C2153" s="748" t="s">
        <v>202</v>
      </c>
      <c r="L2153" s="748" t="s">
        <v>3060</v>
      </c>
      <c r="M2153" s="748" t="str">
        <f>'Part VIII-Threshold Criteria'!M105</f>
        <v>One Consulting Group</v>
      </c>
      <c r="Q2153" s="748">
        <f>'Part VIII-Threshold Criteria'!Q105</f>
        <v>0</v>
      </c>
    </row>
    <row r="2154" spans="1:17">
      <c r="B2154" s="748" t="s">
        <v>3063</v>
      </c>
      <c r="C2154" s="748" t="s">
        <v>2292</v>
      </c>
      <c r="O2154" s="748" t="s">
        <v>3063</v>
      </c>
      <c r="P2154" s="748" t="str">
        <f>'Part VIII-Threshold Criteria'!P106</f>
        <v>No</v>
      </c>
      <c r="Q2154" s="748">
        <f>'Part VIII-Threshold Criteria'!Q106</f>
        <v>0</v>
      </c>
    </row>
    <row r="2155" spans="1:17">
      <c r="B2155" s="748" t="s">
        <v>1239</v>
      </c>
      <c r="C2155" s="748" t="s">
        <v>205</v>
      </c>
      <c r="O2155" s="748" t="s">
        <v>1239</v>
      </c>
      <c r="P2155" s="748" t="str">
        <f>'Part VIII-Threshold Criteria'!P107</f>
        <v>Yes</v>
      </c>
      <c r="Q2155" s="748">
        <f>'Part VIII-Threshold Criteria'!Q107</f>
        <v>0</v>
      </c>
    </row>
    <row r="2156" spans="1:17">
      <c r="C2156" s="748" t="s">
        <v>2843</v>
      </c>
      <c r="P2156" s="748">
        <f>'Part VIII-Threshold Criteria'!P108</f>
        <v>49.6</v>
      </c>
      <c r="Q2156" s="748">
        <f>'Part VIII-Threshold Criteria'!Q108</f>
        <v>0</v>
      </c>
    </row>
    <row r="2157" spans="1:17">
      <c r="C2157" s="748" t="s">
        <v>2090</v>
      </c>
    </row>
    <row r="2158" spans="1:17">
      <c r="C2158" s="748" t="str">
        <f>'Part VIII-Threshold Criteria'!C110</f>
        <v>CXR Railroad,  State Route 156</v>
      </c>
    </row>
    <row r="2159" spans="1:17">
      <c r="B2159" s="748" t="s">
        <v>3212</v>
      </c>
      <c r="C2159" s="748" t="s">
        <v>1945</v>
      </c>
      <c r="O2159" s="748" t="s">
        <v>3212</v>
      </c>
    </row>
    <row r="2160" spans="1:17">
      <c r="C2160" s="748" t="s">
        <v>2765</v>
      </c>
      <c r="D2160" s="748" t="s">
        <v>203</v>
      </c>
      <c r="O2160" s="748" t="s">
        <v>2765</v>
      </c>
      <c r="P2160" s="748" t="str">
        <f>'Part VIII-Threshold Criteria'!P112</f>
        <v>No</v>
      </c>
      <c r="Q2160" s="748">
        <f>'Part VIII-Threshold Criteria'!Q112</f>
        <v>0</v>
      </c>
    </row>
    <row r="2161" spans="2:17">
      <c r="C2161" s="748" t="s">
        <v>2766</v>
      </c>
      <c r="D2161" s="748" t="s">
        <v>1946</v>
      </c>
      <c r="O2161" s="748" t="s">
        <v>2766</v>
      </c>
      <c r="P2161" s="748" t="str">
        <f>'Part VIII-Threshold Criteria'!P113</f>
        <v>No</v>
      </c>
      <c r="Q2161" s="748">
        <f>'Part VIII-Threshold Criteria'!Q113</f>
        <v>0</v>
      </c>
    </row>
    <row r="2162" spans="2:17">
      <c r="D2162" s="748" t="s">
        <v>2970</v>
      </c>
      <c r="P2162" s="748">
        <f>'Part VIII-Threshold Criteria'!P114</f>
        <v>0</v>
      </c>
      <c r="Q2162" s="748">
        <f>'Part VIII-Threshold Criteria'!Q114</f>
        <v>0</v>
      </c>
    </row>
    <row r="2163" spans="2:17">
      <c r="D2163" s="748" t="s">
        <v>3663</v>
      </c>
      <c r="P2163" s="748">
        <f>'Part VIII-Threshold Criteria'!P115</f>
        <v>0</v>
      </c>
      <c r="Q2163" s="748">
        <f>'Part VIII-Threshold Criteria'!Q115</f>
        <v>0</v>
      </c>
    </row>
    <row r="2164" spans="2:17">
      <c r="D2164" s="748" t="s">
        <v>3244</v>
      </c>
      <c r="P2164" s="748">
        <f>'Part VIII-Threshold Criteria'!P116</f>
        <v>0</v>
      </c>
      <c r="Q2164" s="748">
        <f>'Part VIII-Threshold Criteria'!Q116</f>
        <v>0</v>
      </c>
    </row>
    <row r="2165" spans="2:17">
      <c r="C2165" s="748" t="s">
        <v>2767</v>
      </c>
      <c r="D2165" s="748" t="s">
        <v>1947</v>
      </c>
      <c r="O2165" s="748" t="s">
        <v>2767</v>
      </c>
      <c r="P2165" s="748" t="str">
        <f>'Part VIII-Threshold Criteria'!P117</f>
        <v>No</v>
      </c>
      <c r="Q2165" s="748">
        <f>'Part VIII-Threshold Criteria'!Q117</f>
        <v>0</v>
      </c>
    </row>
    <row r="2166" spans="2:17">
      <c r="D2166" s="748" t="s">
        <v>1408</v>
      </c>
      <c r="P2166" s="748">
        <f>'Part VIII-Threshold Criteria'!P118</f>
        <v>0</v>
      </c>
      <c r="Q2166" s="748">
        <f>'Part VIII-Threshold Criteria'!Q118</f>
        <v>0</v>
      </c>
    </row>
    <row r="2167" spans="2:17">
      <c r="D2167" s="748" t="s">
        <v>3245</v>
      </c>
      <c r="P2167" s="748">
        <f>'Part VIII-Threshold Criteria'!P119</f>
        <v>0</v>
      </c>
      <c r="Q2167" s="748">
        <f>'Part VIII-Threshold Criteria'!Q119</f>
        <v>0</v>
      </c>
    </row>
    <row r="2168" spans="2:17">
      <c r="D2168" s="748" t="s">
        <v>3244</v>
      </c>
      <c r="P2168" s="748">
        <f>'Part VIII-Threshold Criteria'!P120</f>
        <v>0</v>
      </c>
      <c r="Q2168" s="748">
        <f>'Part VIII-Threshold Criteria'!Q120</f>
        <v>0</v>
      </c>
    </row>
    <row r="2169" spans="2:17">
      <c r="C2169" s="748" t="s">
        <v>3571</v>
      </c>
      <c r="D2169" s="748" t="s">
        <v>727</v>
      </c>
      <c r="O2169" s="748" t="s">
        <v>3571</v>
      </c>
      <c r="P2169" s="748" t="str">
        <f>'Part VIII-Threshold Criteria'!P121</f>
        <v>No</v>
      </c>
      <c r="Q2169" s="748">
        <f>'Part VIII-Threshold Criteria'!Q121</f>
        <v>0</v>
      </c>
    </row>
    <row r="2170" spans="2:17">
      <c r="B2170" s="748" t="s">
        <v>2763</v>
      </c>
      <c r="C2170" s="748" t="s">
        <v>3658</v>
      </c>
      <c r="O2170" s="748" t="s">
        <v>2763</v>
      </c>
      <c r="P2170" s="748" t="str">
        <f>'Part VIII-Threshold Criteria'!P122</f>
        <v>No</v>
      </c>
      <c r="Q2170" s="748">
        <f>'Part VIII-Threshold Criteria'!Q122</f>
        <v>0</v>
      </c>
    </row>
    <row r="2171" spans="2:17">
      <c r="C2171" s="748" t="s">
        <v>2765</v>
      </c>
      <c r="D2171" s="748" t="s">
        <v>3659</v>
      </c>
      <c r="F2171" s="748" t="str">
        <f>'Part VIII-Threshold Criteria'!F123</f>
        <v>No</v>
      </c>
      <c r="G2171" s="748">
        <f>'Part VIII-Threshold Criteria'!G123</f>
        <v>0</v>
      </c>
      <c r="H2171" s="748" t="s">
        <v>2767</v>
      </c>
      <c r="I2171" s="748" t="s">
        <v>2306</v>
      </c>
      <c r="J2171" s="748" t="str">
        <f>'Part VIII-Threshold Criteria'!J123</f>
        <v>No</v>
      </c>
      <c r="K2171" s="748">
        <f>'Part VIII-Threshold Criteria'!K123</f>
        <v>0</v>
      </c>
      <c r="L2171" s="748" t="s">
        <v>2304</v>
      </c>
      <c r="M2171" s="748" t="s">
        <v>3621</v>
      </c>
      <c r="N2171" s="748" t="str">
        <f>'Part VIII-Threshold Criteria'!N123</f>
        <v>No</v>
      </c>
      <c r="O2171" s="748">
        <f>'Part VIII-Threshold Criteria'!O123</f>
        <v>0</v>
      </c>
    </row>
    <row r="2172" spans="2:17">
      <c r="C2172" s="748" t="s">
        <v>2766</v>
      </c>
      <c r="D2172" s="748" t="s">
        <v>3775</v>
      </c>
      <c r="F2172" s="748" t="str">
        <f>'Part VIII-Threshold Criteria'!F124</f>
        <v>No</v>
      </c>
      <c r="G2172" s="748">
        <f>'Part VIII-Threshold Criteria'!G124</f>
        <v>0</v>
      </c>
      <c r="H2172" s="748" t="s">
        <v>3571</v>
      </c>
      <c r="I2172" s="748" t="s">
        <v>2307</v>
      </c>
      <c r="J2172" s="748" t="str">
        <f>'Part VIII-Threshold Criteria'!J124</f>
        <v>No</v>
      </c>
      <c r="K2172" s="748">
        <f>'Part VIII-Threshold Criteria'!K124</f>
        <v>0</v>
      </c>
      <c r="L2172" s="748" t="s">
        <v>2305</v>
      </c>
      <c r="M2172" s="748" t="s">
        <v>2308</v>
      </c>
      <c r="N2172" s="748" t="str">
        <f>'Part VIII-Threshold Criteria'!N124</f>
        <v>No</v>
      </c>
      <c r="O2172" s="748">
        <f>'Part VIII-Threshold Criteria'!O124</f>
        <v>0</v>
      </c>
    </row>
    <row r="2173" spans="2:17">
      <c r="C2173" s="748" t="s">
        <v>112</v>
      </c>
      <c r="D2173" s="748" t="s">
        <v>53</v>
      </c>
      <c r="J2173" s="748" t="str">
        <f>'Part VIII-Threshold Criteria'!J125</f>
        <v>none</v>
      </c>
    </row>
    <row r="2174" spans="2:17">
      <c r="B2174" s="748" t="s">
        <v>2764</v>
      </c>
      <c r="C2174" s="748" t="s">
        <v>1984</v>
      </c>
      <c r="O2174" s="748" t="s">
        <v>2764</v>
      </c>
      <c r="P2174" s="748" t="str">
        <f>'Part VIII-Threshold Criteria'!P126</f>
        <v>N/A</v>
      </c>
      <c r="Q2174" s="748">
        <f>'Part VIII-Threshold Criteria'!Q126</f>
        <v>0</v>
      </c>
    </row>
    <row r="2175" spans="2:17">
      <c r="C2175" s="748" t="s">
        <v>2765</v>
      </c>
      <c r="D2175" s="748" t="s">
        <v>1080</v>
      </c>
      <c r="O2175" s="748" t="s">
        <v>2765</v>
      </c>
      <c r="P2175" s="748">
        <f>'Part VIII-Threshold Criteria'!P127</f>
        <v>0</v>
      </c>
      <c r="Q2175" s="748">
        <f>'Part VIII-Threshold Criteria'!Q127</f>
        <v>0</v>
      </c>
    </row>
    <row r="2176" spans="2:17">
      <c r="C2176" s="748" t="s">
        <v>2766</v>
      </c>
      <c r="D2176" s="748" t="s">
        <v>726</v>
      </c>
      <c r="O2176" s="748" t="s">
        <v>2766</v>
      </c>
      <c r="P2176" s="748">
        <f>'Part VIII-Threshold Criteria'!P128</f>
        <v>0</v>
      </c>
      <c r="Q2176" s="748">
        <f>'Part VIII-Threshold Criteria'!Q128</f>
        <v>0</v>
      </c>
    </row>
    <row r="2177" spans="1:17">
      <c r="C2177" s="748" t="s">
        <v>2767</v>
      </c>
      <c r="D2177" s="748" t="s">
        <v>1032</v>
      </c>
      <c r="O2177" s="748" t="s">
        <v>2767</v>
      </c>
      <c r="P2177" s="748">
        <f>'Part VIII-Threshold Criteria'!P129</f>
        <v>0</v>
      </c>
      <c r="Q2177" s="748">
        <f>'Part VIII-Threshold Criteria'!Q129</f>
        <v>0</v>
      </c>
    </row>
    <row r="2178" spans="1:17">
      <c r="B2178" s="748" t="s">
        <v>3020</v>
      </c>
      <c r="C2178" s="748" t="s">
        <v>2782</v>
      </c>
      <c r="O2178" s="748" t="s">
        <v>3020</v>
      </c>
      <c r="P2178" s="748" t="str">
        <f>'Part VIII-Threshold Criteria'!P130</f>
        <v>N/A</v>
      </c>
      <c r="Q2178" s="748">
        <f>'Part VIII-Threshold Criteria'!Q130</f>
        <v>0</v>
      </c>
    </row>
    <row r="2180" spans="1:17">
      <c r="B2180" s="748" t="s">
        <v>2921</v>
      </c>
    </row>
    <row r="2181" spans="1:17">
      <c r="A2181" s="748" t="str">
        <f>'Part VIII-Threshold Criteria'!A133</f>
        <v>This is not a HOME deal; none of the HOME environmental requirements apply.</v>
      </c>
    </row>
    <row r="2182" spans="1:17">
      <c r="A2182" s="748" t="str">
        <f>'Part VIII-Threshold Criteria'!A134</f>
        <v>The Phase 1 indicates that there are no environmental concerns at this site.</v>
      </c>
    </row>
    <row r="2183" spans="1:17">
      <c r="A2183" s="748">
        <f>'Part VIII-Threshold Criteria'!A135</f>
        <v>0</v>
      </c>
    </row>
    <row r="2184" spans="1:17">
      <c r="B2184" s="748" t="s">
        <v>2922</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1601</v>
      </c>
      <c r="O2189" s="748" t="s">
        <v>2923</v>
      </c>
      <c r="P2189" s="748">
        <f>'Part VIII-Threshold Criteria'!P141</f>
        <v>0</v>
      </c>
    </row>
    <row r="2190" spans="1:17">
      <c r="B2190" s="748" t="s">
        <v>3060</v>
      </c>
      <c r="C2190" s="748" t="s">
        <v>3120</v>
      </c>
      <c r="O2190" s="748" t="s">
        <v>3060</v>
      </c>
      <c r="P2190" s="748" t="str">
        <f>'Part VIII-Threshold Criteria'!P142</f>
        <v>Yes</v>
      </c>
      <c r="Q2190" s="748">
        <f>'Part VIII-Threshold Criteria'!Q142</f>
        <v>0</v>
      </c>
    </row>
    <row r="2191" spans="1:17">
      <c r="B2191" s="748" t="s">
        <v>3063</v>
      </c>
      <c r="C2191" s="748" t="s">
        <v>204</v>
      </c>
      <c r="M2191" s="748" t="s">
        <v>3063</v>
      </c>
      <c r="N2191" s="748" t="str">
        <f>'Part VIII-Threshold Criteria'!N143</f>
        <v>Contract/Option</v>
      </c>
      <c r="P2191" s="748">
        <f>'Part VIII-Threshold Criteria'!P143</f>
        <v>0</v>
      </c>
    </row>
    <row r="2192" spans="1:17">
      <c r="B2192" s="748" t="s">
        <v>1239</v>
      </c>
      <c r="C2192" s="748" t="s">
        <v>1033</v>
      </c>
      <c r="J2192" s="748" t="s">
        <v>1239</v>
      </c>
      <c r="K2192" s="748" t="str">
        <f>'Part VIII-Threshold Criteria'!K144</f>
        <v>Calypso, Ltd.</v>
      </c>
      <c r="P2192" s="748" t="str">
        <f>'Part VIII-Threshold Criteria'!P144</f>
        <v>Yes</v>
      </c>
      <c r="Q2192" s="748">
        <f>'Part VIII-Threshold Criteria'!Q144</f>
        <v>0</v>
      </c>
    </row>
    <row r="2193" spans="1:17">
      <c r="B2193" s="748" t="s">
        <v>2921</v>
      </c>
    </row>
    <row r="2194" spans="1:17">
      <c r="A2194" s="748" t="str">
        <f>'Part VIII-Threshold Criteria'!A146</f>
        <v>The site control documents detail control of a 8.99 acre "Tract 1",  part of a larger 13 acre parcel at this address.  The development team has also under their control the 5.01 acre "Tract 2".  The purchase of Tract 2 is contingent upon the purchase of Tract 1.  Therefore, upon a successful award of credits and closing of Tract 1, the development team will have under their control both parcels.  Tract 2 is an anticipated Phase 2 development.</v>
      </c>
    </row>
    <row r="2195" spans="1:17">
      <c r="A2195" s="748">
        <f>'Part VIII-Threshold Criteria'!A147</f>
        <v>0</v>
      </c>
    </row>
    <row r="2196" spans="1:17">
      <c r="B2196" s="748" t="s">
        <v>2922</v>
      </c>
    </row>
    <row r="2197" spans="1:17">
      <c r="A2197" s="748">
        <f>'Part VIII-Threshold Criteria'!A149</f>
        <v>0</v>
      </c>
    </row>
    <row r="2198" spans="1:17">
      <c r="A2198" s="748">
        <f>'Part VIII-Threshold Criteria'!A150</f>
        <v>0</v>
      </c>
    </row>
    <row r="2200" spans="1:17">
      <c r="A2200" s="748">
        <v>8</v>
      </c>
      <c r="B2200" s="748" t="s">
        <v>683</v>
      </c>
      <c r="O2200" s="748" t="s">
        <v>2923</v>
      </c>
      <c r="P2200" s="748">
        <f>'Part VIII-Threshold Criteria'!P152</f>
        <v>0</v>
      </c>
    </row>
    <row r="2201" spans="1:17">
      <c r="B2201" s="748" t="s">
        <v>3060</v>
      </c>
      <c r="C2201" s="748" t="s">
        <v>109</v>
      </c>
      <c r="O2201" s="748" t="s">
        <v>3060</v>
      </c>
      <c r="P2201" s="748" t="str">
        <f>'Part VIII-Threshold Criteria'!P153</f>
        <v>Yes</v>
      </c>
      <c r="Q2201" s="748">
        <f>'Part VIII-Threshold Criteria'!Q153</f>
        <v>0</v>
      </c>
    </row>
    <row r="2202" spans="1:17">
      <c r="B2202" s="748" t="s">
        <v>3063</v>
      </c>
      <c r="C2202" s="748" t="s">
        <v>3791</v>
      </c>
      <c r="O2202" s="748" t="s">
        <v>3063</v>
      </c>
      <c r="P2202" s="748">
        <f>'Part VIII-Threshold Criteria'!P154</f>
        <v>0</v>
      </c>
      <c r="Q2202" s="748">
        <f>'Part VIII-Threshold Criteria'!Q154</f>
        <v>0</v>
      </c>
    </row>
    <row r="2203" spans="1:17">
      <c r="B2203" s="748" t="s">
        <v>2921</v>
      </c>
    </row>
    <row r="2204" spans="1:17">
      <c r="A2204" s="748" t="str">
        <f>'Part VIII-Threshold Criteria'!A156</f>
        <v>The site is along State Highway 154.  This is a "flag lot" and the site includes the driveway that will provide direct access from SR 154 into the heart of the site.</v>
      </c>
    </row>
    <row r="2205" spans="1:17">
      <c r="A2205" s="748">
        <f>'Part VIII-Threshold Criteria'!A157</f>
        <v>0</v>
      </c>
    </row>
    <row r="2206" spans="1:17">
      <c r="B2206" s="748" t="s">
        <v>2922</v>
      </c>
    </row>
    <row r="2207" spans="1:17">
      <c r="A2207" s="748">
        <f>'Part VIII-Threshold Criteria'!A159</f>
        <v>0</v>
      </c>
    </row>
    <row r="2208" spans="1:17">
      <c r="A2208" s="748">
        <f>'Part VIII-Threshold Criteria'!A160</f>
        <v>0</v>
      </c>
    </row>
    <row r="2210" spans="1:17">
      <c r="A2210" s="748">
        <v>9</v>
      </c>
      <c r="B2210" s="748" t="s">
        <v>332</v>
      </c>
      <c r="O2210" s="748" t="s">
        <v>2923</v>
      </c>
      <c r="P2210" s="748">
        <f>'Part VIII-Threshold Criteria'!P162</f>
        <v>0</v>
      </c>
    </row>
    <row r="2211" spans="1:17">
      <c r="B2211" s="748" t="s">
        <v>3060</v>
      </c>
      <c r="C2211" s="748" t="s">
        <v>697</v>
      </c>
      <c r="O2211" s="748" t="s">
        <v>3060</v>
      </c>
      <c r="P2211" s="748" t="str">
        <f>'Part VIII-Threshold Criteria'!P163</f>
        <v>Yes</v>
      </c>
      <c r="Q2211" s="748">
        <f>'Part VIII-Threshold Criteria'!Q163</f>
        <v>0</v>
      </c>
    </row>
    <row r="2212" spans="1:17">
      <c r="B2212" s="748" t="s">
        <v>3063</v>
      </c>
      <c r="C2212" s="748" t="s">
        <v>722</v>
      </c>
      <c r="O2212" s="748" t="s">
        <v>3063</v>
      </c>
      <c r="P2212" s="748" t="str">
        <f>'Part VIII-Threshold Criteria'!P164</f>
        <v>Yes</v>
      </c>
      <c r="Q2212" s="748">
        <f>'Part VIII-Threshold Criteria'!Q164</f>
        <v>0</v>
      </c>
    </row>
    <row r="2213" spans="1:17">
      <c r="B2213" s="748" t="s">
        <v>1239</v>
      </c>
      <c r="C2213" s="748" t="s">
        <v>929</v>
      </c>
      <c r="O2213" s="748" t="s">
        <v>1239</v>
      </c>
      <c r="P2213" s="748" t="str">
        <f>'Part VIII-Threshold Criteria'!P165</f>
        <v>Yes</v>
      </c>
      <c r="Q2213" s="748">
        <f>'Part VIII-Threshold Criteria'!Q165</f>
        <v>0</v>
      </c>
    </row>
    <row r="2214" spans="1:17">
      <c r="B2214" s="748" t="s">
        <v>3212</v>
      </c>
      <c r="C2214" s="748" t="s">
        <v>930</v>
      </c>
      <c r="O2214" s="748" t="s">
        <v>3212</v>
      </c>
      <c r="P2214" s="748" t="str">
        <f>'Part VIII-Threshold Criteria'!P166</f>
        <v>Yes</v>
      </c>
      <c r="Q2214" s="748">
        <f>'Part VIII-Threshold Criteria'!Q166</f>
        <v>0</v>
      </c>
    </row>
    <row r="2215" spans="1:17">
      <c r="B2215" s="748" t="s">
        <v>2763</v>
      </c>
      <c r="C2215" s="748" t="s">
        <v>3594</v>
      </c>
      <c r="O2215" s="748" t="s">
        <v>2763</v>
      </c>
      <c r="P2215" s="748" t="str">
        <f>'Part VIII-Threshold Criteria'!P167</f>
        <v>Yes</v>
      </c>
      <c r="Q2215" s="748">
        <f>'Part VIII-Threshold Criteria'!Q167</f>
        <v>0</v>
      </c>
    </row>
    <row r="2216" spans="1:17">
      <c r="B2216" s="748" t="s">
        <v>2921</v>
      </c>
    </row>
    <row r="2217" spans="1:17">
      <c r="A2217" s="748">
        <f>'Part VIII-Threshold Criteria'!A169</f>
        <v>0</v>
      </c>
    </row>
    <row r="2218" spans="1:17">
      <c r="A2218" s="748">
        <f>'Part VIII-Threshold Criteria'!A170</f>
        <v>0</v>
      </c>
    </row>
    <row r="2219" spans="1:17">
      <c r="B2219" s="748" t="s">
        <v>2922</v>
      </c>
    </row>
    <row r="2220" spans="1:17">
      <c r="A2220" s="748">
        <f>'Part VIII-Threshold Criteria'!A172</f>
        <v>0</v>
      </c>
    </row>
    <row r="2221" spans="1:17">
      <c r="A2221" s="748">
        <f>'Part VIII-Threshold Criteria'!A173</f>
        <v>0</v>
      </c>
    </row>
    <row r="2223" spans="1:17">
      <c r="A2223" s="748">
        <v>10</v>
      </c>
      <c r="B2223" s="748" t="s">
        <v>348</v>
      </c>
      <c r="O2223" s="748" t="s">
        <v>2923</v>
      </c>
      <c r="P2223" s="748">
        <f>'Part VIII-Threshold Criteria'!P175</f>
        <v>0</v>
      </c>
    </row>
    <row r="2224" spans="1:17">
      <c r="B2224" s="748" t="s">
        <v>3060</v>
      </c>
      <c r="C2224" s="748" t="s">
        <v>110</v>
      </c>
      <c r="H2224" s="748" t="s">
        <v>2765</v>
      </c>
      <c r="I2224" s="748" t="s">
        <v>206</v>
      </c>
      <c r="J2224" s="748" t="str">
        <f>'Part VIII-Threshold Criteria'!J176</f>
        <v>n/a</v>
      </c>
      <c r="O2224" s="748" t="s">
        <v>2765</v>
      </c>
      <c r="P2224" s="748" t="str">
        <f>'Part VIII-Threshold Criteria'!P176</f>
        <v>No</v>
      </c>
      <c r="Q2224" s="748">
        <f>'Part VIII-Threshold Criteria'!Q176</f>
        <v>0</v>
      </c>
    </row>
    <row r="2225" spans="1:17">
      <c r="H2225" s="748" t="s">
        <v>2766</v>
      </c>
      <c r="I2225" s="748" t="s">
        <v>2358</v>
      </c>
      <c r="J2225" s="748" t="str">
        <f>'Part VIII-Threshold Criteria'!J177</f>
        <v>Greystone</v>
      </c>
      <c r="O2225" s="748" t="s">
        <v>2766</v>
      </c>
      <c r="P2225" s="748" t="str">
        <f>'Part VIII-Threshold Criteria'!P177</f>
        <v>Yes</v>
      </c>
      <c r="Q2225" s="748">
        <f>'Part VIII-Threshold Criteria'!Q177</f>
        <v>0</v>
      </c>
    </row>
    <row r="2226" spans="1:17">
      <c r="B2226" s="748" t="s">
        <v>2921</v>
      </c>
    </row>
    <row r="2227" spans="1:17">
      <c r="A2227" s="748" t="str">
        <f>'Part VIII-Threshold Criteria'!A179</f>
        <v>This will be an all-electric site with no gas utilities needed.</v>
      </c>
    </row>
    <row r="2228" spans="1:17">
      <c r="B2228" s="748" t="s">
        <v>2922</v>
      </c>
    </row>
    <row r="2229" spans="1:17">
      <c r="A2229" s="748">
        <f>'Part VIII-Threshold Criteria'!A181</f>
        <v>0</v>
      </c>
    </row>
    <row r="2231" spans="1:17">
      <c r="A2231" s="748">
        <v>11</v>
      </c>
      <c r="B2231" s="748" t="s">
        <v>3702</v>
      </c>
      <c r="O2231" s="748" t="s">
        <v>2923</v>
      </c>
      <c r="P2231" s="748">
        <f>'Part VIII-Threshold Criteria'!P183</f>
        <v>0</v>
      </c>
    </row>
    <row r="2233" spans="1:17">
      <c r="B2233" s="748" t="s">
        <v>3060</v>
      </c>
      <c r="C2233" s="748" t="s">
        <v>2765</v>
      </c>
      <c r="D2233" s="748" t="s">
        <v>802</v>
      </c>
      <c r="O2233" s="748" t="s">
        <v>2231</v>
      </c>
      <c r="P2233" s="748">
        <f>'Part VIII-Threshold Criteria'!P185</f>
        <v>0</v>
      </c>
      <c r="Q2233" s="748">
        <f>'Part VIII-Threshold Criteria'!Q185</f>
        <v>0</v>
      </c>
    </row>
    <row r="2234" spans="1:17">
      <c r="C2234" s="748" t="s">
        <v>2766</v>
      </c>
      <c r="D2234" s="748" t="s">
        <v>2201</v>
      </c>
      <c r="O2234" s="748" t="s">
        <v>2766</v>
      </c>
      <c r="P2234" s="748">
        <f>'Part VIII-Threshold Criteria'!P186</f>
        <v>0</v>
      </c>
      <c r="Q2234" s="748">
        <f>'Part VIII-Threshold Criteria'!Q186</f>
        <v>0</v>
      </c>
    </row>
    <row r="2235" spans="1:17">
      <c r="B2235" s="748" t="s">
        <v>3063</v>
      </c>
      <c r="C2235" s="748" t="s">
        <v>2903</v>
      </c>
      <c r="H2235" s="748" t="s">
        <v>2765</v>
      </c>
      <c r="I2235" s="748" t="s">
        <v>972</v>
      </c>
      <c r="J2235" s="748" t="str">
        <f>'Part VIII-Threshold Criteria'!J187</f>
        <v>City of Palmetto</v>
      </c>
      <c r="O2235" s="748" t="s">
        <v>2171</v>
      </c>
      <c r="P2235" s="748" t="str">
        <f>'Part VIII-Threshold Criteria'!P187</f>
        <v>Yes</v>
      </c>
      <c r="Q2235" s="748">
        <f>'Part VIII-Threshold Criteria'!Q187</f>
        <v>0</v>
      </c>
    </row>
    <row r="2236" spans="1:17">
      <c r="H2236" s="748" t="s">
        <v>2766</v>
      </c>
      <c r="I2236" s="748" t="s">
        <v>131</v>
      </c>
      <c r="J2236" s="748" t="str">
        <f>'Part VIII-Threshold Criteria'!J188</f>
        <v>City of Palmetto</v>
      </c>
      <c r="O2236" s="748" t="s">
        <v>2766</v>
      </c>
      <c r="P2236" s="748" t="str">
        <f>'Part VIII-Threshold Criteria'!P188</f>
        <v>Yes</v>
      </c>
      <c r="Q2236" s="748">
        <f>'Part VIII-Threshold Criteria'!Q188</f>
        <v>0</v>
      </c>
    </row>
    <row r="2237" spans="1:17">
      <c r="B2237" s="748" t="s">
        <v>2921</v>
      </c>
    </row>
    <row r="2238" spans="1:17">
      <c r="A2238" s="748">
        <f>'Part VIII-Threshold Criteria'!A190</f>
        <v>0</v>
      </c>
    </row>
    <row r="2239" spans="1:17">
      <c r="B2239" s="748" t="s">
        <v>2922</v>
      </c>
    </row>
    <row r="2240" spans="1:17">
      <c r="A2240" s="748">
        <f>'Part VIII-Threshold Criteria'!A192</f>
        <v>0</v>
      </c>
    </row>
    <row r="2242" spans="1:17">
      <c r="A2242" s="748">
        <v>12</v>
      </c>
      <c r="B2242" s="748" t="s">
        <v>192</v>
      </c>
      <c r="O2242" s="748" t="s">
        <v>2923</v>
      </c>
      <c r="P2242" s="748">
        <f>'Part VIII-Threshold Criteria'!P194</f>
        <v>0</v>
      </c>
    </row>
    <row r="2243" spans="1:17">
      <c r="B2243" s="748" t="s">
        <v>193</v>
      </c>
    </row>
    <row r="2244" spans="1:17">
      <c r="B2244" s="748" t="s">
        <v>3060</v>
      </c>
      <c r="C2244" s="748" t="s">
        <v>197</v>
      </c>
      <c r="O2244" s="748" t="s">
        <v>3060</v>
      </c>
      <c r="P2244" s="748" t="str">
        <f>'Part VIII-Threshold Criteria'!P196</f>
        <v>Yes</v>
      </c>
      <c r="Q2244" s="748">
        <f>'Part VIII-Threshold Criteria'!Q196</f>
        <v>0</v>
      </c>
    </row>
    <row r="2245" spans="1:17">
      <c r="B2245" s="748" t="s">
        <v>3063</v>
      </c>
      <c r="C2245" s="748" t="s">
        <v>194</v>
      </c>
      <c r="O2245" s="748" t="s">
        <v>3063</v>
      </c>
      <c r="P2245" s="748" t="str">
        <f>'Part VIII-Threshold Criteria'!P197</f>
        <v>Yes</v>
      </c>
      <c r="Q2245" s="748">
        <f>'Part VIII-Threshold Criteria'!Q197</f>
        <v>0</v>
      </c>
    </row>
    <row r="2246" spans="1:17">
      <c r="B2246" s="748" t="s">
        <v>1239</v>
      </c>
      <c r="C2246" s="748" t="s">
        <v>195</v>
      </c>
      <c r="O2246" s="748" t="s">
        <v>1239</v>
      </c>
      <c r="P2246" s="748" t="str">
        <f>'Part VIII-Threshold Criteria'!P198</f>
        <v>No</v>
      </c>
      <c r="Q2246" s="748">
        <f>'Part VIII-Threshold Criteria'!Q198</f>
        <v>0</v>
      </c>
    </row>
    <row r="2247" spans="1:17">
      <c r="B2247" s="748" t="s">
        <v>3212</v>
      </c>
      <c r="C2247" s="748" t="s">
        <v>196</v>
      </c>
      <c r="O2247" s="748" t="s">
        <v>3212</v>
      </c>
      <c r="P2247" s="748" t="str">
        <f>'Part VIII-Threshold Criteria'!P199</f>
        <v>No</v>
      </c>
      <c r="Q2247" s="748">
        <f>'Part VIII-Threshold Criteria'!Q199</f>
        <v>0</v>
      </c>
    </row>
    <row r="2248" spans="1:17">
      <c r="B2248" s="748" t="s">
        <v>2921</v>
      </c>
    </row>
    <row r="2249" spans="1:17">
      <c r="A2249" s="748" t="str">
        <f>'Part VIII-Threshold Criteria'!A201</f>
        <v>The Development team has met with the City Council, City Manager and the community in a variety of meetings both last year and this year.  Through this public process we responded to elected official input in the changes made from the 2010 application to the 2011 application.</v>
      </c>
    </row>
    <row r="2250" spans="1:17">
      <c r="A2250" s="748">
        <f>'Part VIII-Threshold Criteria'!A202</f>
        <v>0</v>
      </c>
    </row>
    <row r="2252" spans="1:17">
      <c r="B2252" s="748" t="s">
        <v>2922</v>
      </c>
    </row>
    <row r="2253" spans="1:17">
      <c r="A2253" s="748">
        <f>'Part VIII-Threshold Criteria'!A205</f>
        <v>0</v>
      </c>
    </row>
    <row r="2254" spans="1:17">
      <c r="A2254" s="748">
        <f>'Part VIII-Threshold Criteria'!A206</f>
        <v>0</v>
      </c>
    </row>
    <row r="2256" spans="1:17">
      <c r="A2256" s="748">
        <v>13</v>
      </c>
      <c r="B2256" s="748" t="s">
        <v>681</v>
      </c>
      <c r="O2256" s="748" t="s">
        <v>2923</v>
      </c>
      <c r="P2256" s="748">
        <f>'Part VIII-Threshold Criteria'!P208</f>
        <v>0</v>
      </c>
    </row>
    <row r="2257" spans="2:17">
      <c r="B2257" s="748" t="s">
        <v>1839</v>
      </c>
      <c r="P2257" s="748" t="str">
        <f>'Part VIII-Threshold Criteria'!P209</f>
        <v>No</v>
      </c>
      <c r="Q2257" s="748">
        <f>'Part VIII-Threshold Criteria'!Q209</f>
        <v>0</v>
      </c>
    </row>
    <row r="2258" spans="2:17">
      <c r="B2258" s="748" t="s">
        <v>3060</v>
      </c>
      <c r="C2258" s="748" t="s">
        <v>2087</v>
      </c>
    </row>
    <row r="2259" spans="2:17">
      <c r="C2259" s="748" t="s">
        <v>2765</v>
      </c>
      <c r="D2259" s="748" t="s">
        <v>3003</v>
      </c>
      <c r="L2259" s="748" t="s">
        <v>2231</v>
      </c>
      <c r="M2259" s="748" t="str">
        <f>'Part VIII-Threshold Criteria'!M211</f>
        <v>Room</v>
      </c>
      <c r="P2259" s="748" t="str">
        <f>'Part VIII-Threshold Criteria'!P211</f>
        <v>Agree</v>
      </c>
      <c r="Q2259" s="748">
        <f>'Part VIII-Threshold Criteria'!Q211</f>
        <v>0</v>
      </c>
    </row>
    <row r="2260" spans="2:17">
      <c r="C2260" s="748" t="s">
        <v>2766</v>
      </c>
      <c r="D2260" s="748" t="s">
        <v>198</v>
      </c>
      <c r="L2260" s="748" t="s">
        <v>2232</v>
      </c>
      <c r="M2260" s="748" t="str">
        <f>'Part VIII-Threshold Criteria'!M212</f>
        <v>Covered Porch</v>
      </c>
      <c r="P2260" s="748" t="str">
        <f>'Part VIII-Threshold Criteria'!P212</f>
        <v>Agree</v>
      </c>
      <c r="Q2260" s="748">
        <f>'Part VIII-Threshold Criteria'!Q212</f>
        <v>0</v>
      </c>
    </row>
    <row r="2261" spans="2:17">
      <c r="C2261" s="748" t="s">
        <v>2767</v>
      </c>
      <c r="D2261" s="748" t="s">
        <v>856</v>
      </c>
      <c r="L2261" s="748" t="s">
        <v>2233</v>
      </c>
      <c r="M2261" s="748" t="str">
        <f>'Part VIII-Threshold Criteria'!M213</f>
        <v>On-site laundry</v>
      </c>
      <c r="P2261" s="748" t="str">
        <f>'Part VIII-Threshold Criteria'!P213</f>
        <v>Agree</v>
      </c>
      <c r="Q2261" s="748">
        <f>'Part VIII-Threshold Criteria'!Q213</f>
        <v>0</v>
      </c>
    </row>
    <row r="2263" spans="2:17">
      <c r="B2263" s="748" t="s">
        <v>3063</v>
      </c>
      <c r="C2263" s="748" t="s">
        <v>3793</v>
      </c>
      <c r="O2263" s="748" t="s">
        <v>3063</v>
      </c>
      <c r="P2263" s="748" t="str">
        <f>'Part VIII-Threshold Criteria'!P215</f>
        <v>Agree</v>
      </c>
      <c r="Q2263" s="748">
        <f>'Part VIII-Threshold Criteria'!Q215</f>
        <v>0</v>
      </c>
    </row>
    <row r="2264" spans="2:17">
      <c r="C2264" s="748" t="s">
        <v>4080</v>
      </c>
      <c r="P2264" s="748" t="s">
        <v>4</v>
      </c>
    </row>
    <row r="2265" spans="2:17">
      <c r="D2265" s="748" t="s">
        <v>3</v>
      </c>
      <c r="I2265" s="748" t="s">
        <v>1350</v>
      </c>
      <c r="J2265" s="748" t="s">
        <v>1351</v>
      </c>
      <c r="L2265" s="748" t="s">
        <v>3</v>
      </c>
      <c r="P2265" s="748" t="s">
        <v>1350</v>
      </c>
      <c r="Q2265" s="748" t="s">
        <v>1351</v>
      </c>
    </row>
    <row r="2266" spans="2:17">
      <c r="C2266" s="748" t="s">
        <v>2765</v>
      </c>
      <c r="D2266" s="748" t="str">
        <f>'Part VIII-Threshold Criteria'!D218</f>
        <v>BBQ Area and covered Picnic area</v>
      </c>
      <c r="I2266" s="748">
        <f>'Part VIII-Threshold Criteria'!I218</f>
        <v>0</v>
      </c>
      <c r="J2266" s="748">
        <f>'Part VIII-Threshold Criteria'!J218</f>
        <v>0</v>
      </c>
      <c r="K2266" s="748" t="s">
        <v>2767</v>
      </c>
      <c r="L2266" s="748">
        <f>'Part VIII-Threshold Criteria'!L218</f>
        <v>0</v>
      </c>
      <c r="P2266" s="748">
        <f>'Part VIII-Threshold Criteria'!P218</f>
        <v>0</v>
      </c>
      <c r="Q2266" s="748">
        <f>'Part VIII-Threshold Criteria'!Q218</f>
        <v>0</v>
      </c>
    </row>
    <row r="2267" spans="2:17">
      <c r="C2267" s="748" t="s">
        <v>2766</v>
      </c>
      <c r="D2267" s="748" t="str">
        <f>'Part VIII-Threshold Criteria'!D219</f>
        <v>Playground</v>
      </c>
      <c r="I2267" s="748">
        <f>'Part VIII-Threshold Criteria'!I219</f>
        <v>0</v>
      </c>
      <c r="J2267" s="748">
        <f>'Part VIII-Threshold Criteria'!J219</f>
        <v>0</v>
      </c>
      <c r="K2267" s="748" t="s">
        <v>3571</v>
      </c>
      <c r="L2267" s="748">
        <f>'Part VIII-Threshold Criteria'!L219</f>
        <v>0</v>
      </c>
      <c r="P2267" s="748">
        <f>'Part VIII-Threshold Criteria'!P219</f>
        <v>0</v>
      </c>
      <c r="Q2267" s="748">
        <f>'Part VIII-Threshold Criteria'!Q219</f>
        <v>0</v>
      </c>
    </row>
    <row r="2269" spans="2:17">
      <c r="B2269" s="748" t="s">
        <v>1239</v>
      </c>
      <c r="C2269" s="748" t="s">
        <v>2088</v>
      </c>
      <c r="O2269" s="748" t="s">
        <v>1239</v>
      </c>
      <c r="P2269" s="748" t="str">
        <f>'Part VIII-Threshold Criteria'!P221</f>
        <v>Agree</v>
      </c>
      <c r="Q2269" s="748">
        <f>'Part VIII-Threshold Criteria'!Q221</f>
        <v>0</v>
      </c>
    </row>
    <row r="2270" spans="2:17">
      <c r="C2270" s="748" t="s">
        <v>2765</v>
      </c>
      <c r="D2270" s="748" t="s">
        <v>207</v>
      </c>
      <c r="O2270" s="748" t="s">
        <v>2765</v>
      </c>
      <c r="P2270" s="748" t="str">
        <f>'Part VIII-Threshold Criteria'!P222</f>
        <v>Yes</v>
      </c>
      <c r="Q2270" s="748">
        <f>'Part VIII-Threshold Criteria'!Q222</f>
        <v>0</v>
      </c>
    </row>
    <row r="2271" spans="2:17">
      <c r="C2271" s="748" t="s">
        <v>2766</v>
      </c>
      <c r="D2271" s="748" t="s">
        <v>2648</v>
      </c>
      <c r="O2271" s="748" t="s">
        <v>2766</v>
      </c>
      <c r="P2271" s="748" t="str">
        <f>'Part VIII-Threshold Criteria'!P223</f>
        <v>Yes</v>
      </c>
      <c r="Q2271" s="748">
        <f>'Part VIII-Threshold Criteria'!Q223</f>
        <v>0</v>
      </c>
    </row>
    <row r="2272" spans="2:17">
      <c r="C2272" s="748" t="s">
        <v>2767</v>
      </c>
      <c r="D2272" s="748" t="s">
        <v>2257</v>
      </c>
      <c r="O2272" s="748" t="s">
        <v>2767</v>
      </c>
      <c r="P2272" s="748" t="str">
        <f>'Part VIII-Threshold Criteria'!P224</f>
        <v>Yes</v>
      </c>
      <c r="Q2272" s="748">
        <f>'Part VIII-Threshold Criteria'!Q224</f>
        <v>0</v>
      </c>
    </row>
    <row r="2273" spans="1:17">
      <c r="C2273" s="748" t="s">
        <v>3571</v>
      </c>
      <c r="D2273" s="748" t="s">
        <v>208</v>
      </c>
      <c r="O2273" s="748" t="s">
        <v>3571</v>
      </c>
      <c r="P2273" s="748" t="str">
        <f>'Part VIII-Threshold Criteria'!P225</f>
        <v>Yes</v>
      </c>
      <c r="Q2273" s="748">
        <f>'Part VIII-Threshold Criteria'!Q225</f>
        <v>0</v>
      </c>
    </row>
    <row r="2274" spans="1:17">
      <c r="C2274" s="748" t="s">
        <v>2304</v>
      </c>
      <c r="D2274" s="748" t="s">
        <v>1352</v>
      </c>
      <c r="O2274" s="748" t="s">
        <v>1353</v>
      </c>
      <c r="P2274" s="748" t="str">
        <f>'Part VIII-Threshold Criteria'!P226</f>
        <v>Yes</v>
      </c>
      <c r="Q2274" s="748">
        <f>'Part VIII-Threshold Criteria'!Q226</f>
        <v>0</v>
      </c>
    </row>
    <row r="2275" spans="1:17">
      <c r="D2275" s="748" t="s">
        <v>2234</v>
      </c>
      <c r="O2275" s="748" t="s">
        <v>1354</v>
      </c>
      <c r="P2275" s="748" t="str">
        <f>'Part VIII-Threshold Criteria'!P227</f>
        <v>No</v>
      </c>
      <c r="Q2275" s="748">
        <f>'Part VIII-Threshold Criteria'!Q227</f>
        <v>0</v>
      </c>
    </row>
    <row r="2277" spans="1:17">
      <c r="B2277" s="748" t="s">
        <v>3212</v>
      </c>
      <c r="C2277" s="748" t="s">
        <v>2345</v>
      </c>
      <c r="O2277" s="748" t="s">
        <v>3212</v>
      </c>
      <c r="P2277" s="748">
        <f>'Part VIII-Threshold Criteria'!P229</f>
        <v>0</v>
      </c>
      <c r="Q2277" s="748">
        <f>'Part VIII-Threshold Criteria'!Q229</f>
        <v>0</v>
      </c>
    </row>
    <row r="2278" spans="1:17">
      <c r="C2278" s="748" t="s">
        <v>2765</v>
      </c>
      <c r="D2278" s="748" t="s">
        <v>1934</v>
      </c>
      <c r="O2278" s="748" t="s">
        <v>2765</v>
      </c>
      <c r="P2278" s="748">
        <f>'Part VIII-Threshold Criteria'!P230</f>
        <v>0</v>
      </c>
      <c r="Q2278" s="748">
        <f>'Part VIII-Threshold Criteria'!Q230</f>
        <v>0</v>
      </c>
    </row>
    <row r="2279" spans="1:17">
      <c r="C2279" s="748" t="s">
        <v>2766</v>
      </c>
      <c r="D2279" s="748" t="s">
        <v>199</v>
      </c>
      <c r="O2279" s="748" t="s">
        <v>2766</v>
      </c>
      <c r="P2279" s="748">
        <f>'Part VIII-Threshold Criteria'!P231</f>
        <v>0</v>
      </c>
      <c r="Q2279" s="748">
        <f>'Part VIII-Threshold Criteria'!Q231</f>
        <v>0</v>
      </c>
    </row>
    <row r="2280" spans="1:17">
      <c r="C2280" s="748" t="s">
        <v>2767</v>
      </c>
      <c r="D2280" s="748" t="s">
        <v>2626</v>
      </c>
      <c r="O2280" s="748" t="s">
        <v>3581</v>
      </c>
      <c r="P2280" s="748">
        <f>'Part VIII-Threshold Criteria'!P232</f>
        <v>0</v>
      </c>
      <c r="Q2280" s="748">
        <f>'Part VIII-Threshold Criteria'!Q232</f>
        <v>0</v>
      </c>
    </row>
    <row r="2281" spans="1:17">
      <c r="D2281" s="748" t="s">
        <v>1985</v>
      </c>
      <c r="O2281" s="748" t="s">
        <v>3582</v>
      </c>
      <c r="P2281" s="748">
        <f>'Part VIII-Threshold Criteria'!P233</f>
        <v>0</v>
      </c>
      <c r="Q2281" s="748">
        <f>'Part VIII-Threshold Criteria'!Q233</f>
        <v>0</v>
      </c>
    </row>
    <row r="2282" spans="1:17">
      <c r="B2282" s="748" t="s">
        <v>2921</v>
      </c>
    </row>
    <row r="2283" spans="1:17">
      <c r="A2283" s="748">
        <f>'Part VIII-Threshold Criteria'!A235</f>
        <v>0</v>
      </c>
    </row>
    <row r="2284" spans="1:17">
      <c r="A2284" s="748">
        <f>'Part VIII-Threshold Criteria'!A236</f>
        <v>0</v>
      </c>
    </row>
    <row r="2285" spans="1:17">
      <c r="B2285" s="748" t="s">
        <v>2922</v>
      </c>
    </row>
    <row r="2286" spans="1:17">
      <c r="A2286" s="748">
        <f>'Part VIII-Threshold Criteria'!A238</f>
        <v>0</v>
      </c>
    </row>
    <row r="2287" spans="1:17">
      <c r="A2287" s="748">
        <f>'Part VIII-Threshold Criteria'!A239</f>
        <v>0</v>
      </c>
    </row>
    <row r="2289" spans="1:17">
      <c r="A2289" s="748">
        <v>14</v>
      </c>
      <c r="B2289" s="748" t="s">
        <v>3121</v>
      </c>
      <c r="O2289" s="748" t="s">
        <v>2923</v>
      </c>
      <c r="P2289" s="748">
        <f>'Part VIII-Threshold Criteria'!P241</f>
        <v>0</v>
      </c>
    </row>
    <row r="2291" spans="1:17">
      <c r="B2291" s="748" t="s">
        <v>3060</v>
      </c>
      <c r="C2291" s="748" t="s">
        <v>1953</v>
      </c>
      <c r="L2291" s="748" t="s">
        <v>3060</v>
      </c>
      <c r="M2291" s="748" t="str">
        <f>'Part VIII-Threshold Criteria'!M243</f>
        <v>&lt;&lt;Select&gt;&gt;</v>
      </c>
      <c r="P2291" s="748" t="str">
        <f>'Part VIII-Threshold Criteria'!P243</f>
        <v>&lt;&lt;Select&gt;&gt;</v>
      </c>
    </row>
    <row r="2292" spans="1:17">
      <c r="B2292" s="748" t="s">
        <v>3063</v>
      </c>
      <c r="C2292" s="748" t="s">
        <v>1922</v>
      </c>
      <c r="L2292" s="748" t="s">
        <v>3063</v>
      </c>
      <c r="M2292" s="748">
        <f>'Part VIII-Threshold Criteria'!M244</f>
        <v>0</v>
      </c>
      <c r="P2292" s="748">
        <f>'Part VIII-Threshold Criteria'!P244</f>
        <v>0</v>
      </c>
    </row>
    <row r="2293" spans="1:17">
      <c r="B2293" s="748" t="s">
        <v>1239</v>
      </c>
      <c r="C2293" s="748" t="s">
        <v>3017</v>
      </c>
      <c r="L2293" s="748" t="s">
        <v>1239</v>
      </c>
      <c r="M2293" s="748">
        <f>'Part VIII-Threshold Criteria'!M245</f>
        <v>0</v>
      </c>
      <c r="P2293" s="748">
        <f>'Part VIII-Threshold Criteria'!P245</f>
        <v>0</v>
      </c>
    </row>
    <row r="2294" spans="1:17">
      <c r="B2294" s="748" t="s">
        <v>3212</v>
      </c>
      <c r="C2294" s="748" t="s">
        <v>3842</v>
      </c>
      <c r="O2294" s="748" t="s">
        <v>3212</v>
      </c>
      <c r="P2294" s="748">
        <f>'Part VIII-Threshold Criteria'!P246</f>
        <v>0</v>
      </c>
      <c r="Q2294" s="748">
        <f>'Part VIII-Threshold Criteria'!Q246</f>
        <v>0</v>
      </c>
    </row>
    <row r="2295" spans="1:17">
      <c r="B2295" s="748" t="s">
        <v>2763</v>
      </c>
      <c r="C2295" s="748" t="s">
        <v>4081</v>
      </c>
      <c r="O2295" s="748" t="s">
        <v>2763</v>
      </c>
      <c r="P2295" s="748">
        <f>'Part VIII-Threshold Criteria'!P247</f>
        <v>0</v>
      </c>
      <c r="Q2295" s="748">
        <f>'Part VIII-Threshold Criteria'!Q247</f>
        <v>0</v>
      </c>
    </row>
    <row r="2296" spans="1:17">
      <c r="B2296" s="748" t="s">
        <v>2921</v>
      </c>
    </row>
    <row r="2297" spans="1:17">
      <c r="A2297" s="748" t="str">
        <f>'Part VIII-Threshold Criteria'!A249</f>
        <v>This new construction; rehab is not applicable.</v>
      </c>
    </row>
    <row r="2298" spans="1:17">
      <c r="A2298" s="748">
        <f>'Part VIII-Threshold Criteria'!A250</f>
        <v>0</v>
      </c>
    </row>
    <row r="2299" spans="1:17">
      <c r="B2299" s="748" t="s">
        <v>2922</v>
      </c>
    </row>
    <row r="2300" spans="1:17">
      <c r="A2300" s="748">
        <f>'Part VIII-Threshold Criteria'!A252</f>
        <v>0</v>
      </c>
    </row>
    <row r="2301" spans="1:17">
      <c r="A2301" s="748">
        <f>'Part VIII-Threshold Criteria'!A253</f>
        <v>0</v>
      </c>
    </row>
    <row r="2303" spans="1:17">
      <c r="A2303" s="748">
        <v>15</v>
      </c>
      <c r="B2303" s="748" t="s">
        <v>2820</v>
      </c>
      <c r="O2303" s="748" t="s">
        <v>2923</v>
      </c>
      <c r="P2303" s="748">
        <f>'Part VIII-Threshold Criteria'!P255</f>
        <v>0</v>
      </c>
    </row>
    <row r="2305" spans="1:17">
      <c r="B2305" s="748" t="s">
        <v>3060</v>
      </c>
      <c r="C2305" s="748" t="s">
        <v>3125</v>
      </c>
      <c r="O2305" s="748" t="s">
        <v>3060</v>
      </c>
      <c r="P2305" s="748" t="str">
        <f>'Part VIII-Threshold Criteria'!P257</f>
        <v>Yes</v>
      </c>
      <c r="Q2305" s="748">
        <f>'Part VIII-Threshold Criteria'!Q257</f>
        <v>0</v>
      </c>
    </row>
    <row r="2306" spans="1:17">
      <c r="B2306" s="748" t="s">
        <v>3063</v>
      </c>
      <c r="C2306" s="748" t="s">
        <v>2114</v>
      </c>
      <c r="O2306" s="748" t="s">
        <v>3063</v>
      </c>
      <c r="P2306" s="748" t="str">
        <f>'Part VIII-Threshold Criteria'!P258</f>
        <v>Yes</v>
      </c>
      <c r="Q2306" s="748">
        <f>'Part VIII-Threshold Criteria'!Q258</f>
        <v>0</v>
      </c>
    </row>
    <row r="2307" spans="1:17">
      <c r="B2307" s="748" t="s">
        <v>2921</v>
      </c>
    </row>
    <row r="2308" spans="1:17">
      <c r="A2308" s="748">
        <f>'Part VIII-Threshold Criteria'!A260</f>
        <v>0</v>
      </c>
    </row>
    <row r="2309" spans="1:17">
      <c r="A2309" s="748">
        <f>'Part VIII-Threshold Criteria'!A261</f>
        <v>0</v>
      </c>
    </row>
    <row r="2310" spans="1:17">
      <c r="B2310" s="748" t="s">
        <v>2922</v>
      </c>
    </row>
    <row r="2311" spans="1:17">
      <c r="A2311" s="748">
        <f>'Part VIII-Threshold Criteria'!A263</f>
        <v>0</v>
      </c>
    </row>
    <row r="2312" spans="1:17">
      <c r="A2312" s="748">
        <f>'Part VIII-Threshold Criteria'!A264</f>
        <v>0</v>
      </c>
    </row>
    <row r="2314" spans="1:17">
      <c r="A2314" s="748">
        <v>16</v>
      </c>
      <c r="B2314" s="748" t="s">
        <v>1090</v>
      </c>
      <c r="O2314" s="748" t="s">
        <v>2923</v>
      </c>
      <c r="P2314" s="748">
        <f>'Part VIII-Threshold Criteria'!P266</f>
        <v>0</v>
      </c>
    </row>
    <row r="2316" spans="1:17" ht="24" customHeight="1">
      <c r="B2316" s="748" t="s">
        <v>3060</v>
      </c>
      <c r="C2316" s="748" t="s">
        <v>1208</v>
      </c>
      <c r="O2316" s="748" t="s">
        <v>3060</v>
      </c>
      <c r="P2316" s="748" t="str">
        <f>'Part VIII-Threshold Criteria'!P268</f>
        <v>Agree</v>
      </c>
      <c r="Q2316" s="748">
        <f>'Part VIII-Threshold Criteria'!Q268</f>
        <v>0</v>
      </c>
    </row>
    <row r="2317" spans="1:17" ht="24" customHeight="1">
      <c r="B2317" s="748" t="s">
        <v>3063</v>
      </c>
      <c r="C2317" s="748" t="s">
        <v>1209</v>
      </c>
      <c r="O2317" s="748" t="s">
        <v>3063</v>
      </c>
      <c r="P2317" s="748" t="str">
        <f>'Part VIII-Threshold Criteria'!P269</f>
        <v>Agree</v>
      </c>
      <c r="Q2317" s="748">
        <f>'Part VIII-Threshold Criteria'!Q269</f>
        <v>0</v>
      </c>
    </row>
    <row r="2318" spans="1:17" ht="33" customHeight="1">
      <c r="B2318" s="748" t="s">
        <v>1239</v>
      </c>
      <c r="C2318" s="748" t="s">
        <v>1210</v>
      </c>
      <c r="O2318" s="748" t="s">
        <v>3063</v>
      </c>
      <c r="P2318" s="748">
        <f>'Part VIII-Threshold Criteria'!P270</f>
        <v>0</v>
      </c>
      <c r="Q2318" s="748">
        <f>'Part VIII-Threshold Criteria'!Q270</f>
        <v>0</v>
      </c>
    </row>
    <row r="2319" spans="1:17">
      <c r="B2319" s="748" t="s">
        <v>2921</v>
      </c>
    </row>
    <row r="2320" spans="1:17">
      <c r="A2320" s="748">
        <f>'Part VIII-Threshold Criteria'!A272</f>
        <v>0</v>
      </c>
    </row>
    <row r="2321" spans="1:17">
      <c r="A2321" s="748">
        <f>'Part VIII-Threshold Criteria'!A273</f>
        <v>0</v>
      </c>
    </row>
    <row r="2322" spans="1:17">
      <c r="B2322" s="748" t="s">
        <v>2922</v>
      </c>
    </row>
    <row r="2323" spans="1:17">
      <c r="A2323" s="748">
        <f>'Part VIII-Threshold Criteria'!A275</f>
        <v>0</v>
      </c>
    </row>
    <row r="2324" spans="1:17">
      <c r="A2324" s="748">
        <f>'Part VIII-Threshold Criteria'!A276</f>
        <v>0</v>
      </c>
    </row>
    <row r="2326" spans="1:17">
      <c r="A2326" s="748">
        <v>17</v>
      </c>
      <c r="B2326" s="748" t="s">
        <v>878</v>
      </c>
      <c r="O2326" s="748" t="s">
        <v>2923</v>
      </c>
      <c r="P2326" s="748">
        <f>'Part VIII-Threshold Criteria'!P278</f>
        <v>0</v>
      </c>
    </row>
    <row r="2327" spans="1:17">
      <c r="B2327" s="748" t="s">
        <v>3060</v>
      </c>
      <c r="C2327" s="748" t="s">
        <v>2944</v>
      </c>
      <c r="O2327" s="748" t="s">
        <v>3060</v>
      </c>
      <c r="P2327" s="748" t="str">
        <f>'Part VIII-Threshold Criteria'!P279</f>
        <v>Yes</v>
      </c>
      <c r="Q2327" s="748">
        <f>'Part VIII-Threshold Criteria'!Q279</f>
        <v>0</v>
      </c>
    </row>
    <row r="2328" spans="1:17">
      <c r="B2328" s="748" t="s">
        <v>3063</v>
      </c>
      <c r="C2328" s="748" t="s">
        <v>3119</v>
      </c>
      <c r="O2328" s="748" t="s">
        <v>3063</v>
      </c>
      <c r="P2328" s="748" t="str">
        <f>'Part VIII-Threshold Criteria'!P280</f>
        <v>Yes</v>
      </c>
      <c r="Q2328" s="748">
        <f>'Part VIII-Threshold Criteria'!Q280</f>
        <v>0</v>
      </c>
    </row>
    <row r="2329" spans="1:17">
      <c r="B2329" s="748" t="s">
        <v>1239</v>
      </c>
      <c r="C2329" s="748" t="s">
        <v>2888</v>
      </c>
      <c r="O2329" s="748" t="s">
        <v>1239</v>
      </c>
      <c r="P2329" s="748" t="str">
        <f>'Part VIII-Threshold Criteria'!P281</f>
        <v>Yes</v>
      </c>
      <c r="Q2329" s="748">
        <f>'Part VIII-Threshold Criteria'!Q281</f>
        <v>0</v>
      </c>
    </row>
    <row r="2330" spans="1:17">
      <c r="B2330" s="748" t="s">
        <v>3212</v>
      </c>
      <c r="C2330" s="748" t="s">
        <v>2889</v>
      </c>
      <c r="O2330" s="748" t="s">
        <v>3212</v>
      </c>
      <c r="P2330" s="748" t="str">
        <f>'Part VIII-Threshold Criteria'!P282</f>
        <v>Yes</v>
      </c>
      <c r="Q2330" s="748">
        <f>'Part VIII-Threshold Criteria'!Q282</f>
        <v>0</v>
      </c>
    </row>
    <row r="2331" spans="1:17">
      <c r="B2331" s="748" t="s">
        <v>2763</v>
      </c>
      <c r="C2331" s="748" t="s">
        <v>1081</v>
      </c>
      <c r="O2331" s="748" t="s">
        <v>2763</v>
      </c>
      <c r="P2331" s="748" t="str">
        <f>'Part VIII-Threshold Criteria'!P283</f>
        <v>Yes</v>
      </c>
      <c r="Q2331" s="748">
        <f>'Part VIII-Threshold Criteria'!Q283</f>
        <v>0</v>
      </c>
    </row>
    <row r="2332" spans="1:17">
      <c r="B2332" s="748" t="s">
        <v>2921</v>
      </c>
    </row>
    <row r="2333" spans="1:17">
      <c r="A2333" s="748">
        <f>'Part VIII-Threshold Criteria'!A285</f>
        <v>0</v>
      </c>
    </row>
    <row r="2334" spans="1:17">
      <c r="A2334" s="748">
        <f>'Part VIII-Threshold Criteria'!A286</f>
        <v>0</v>
      </c>
    </row>
    <row r="2335" spans="1:17">
      <c r="B2335" s="748" t="s">
        <v>2922</v>
      </c>
    </row>
    <row r="2336" spans="1:17">
      <c r="A2336" s="748">
        <f>'Part VIII-Threshold Criteria'!A288</f>
        <v>0</v>
      </c>
    </row>
    <row r="2337" spans="1:17">
      <c r="A2337" s="748">
        <f>'Part VIII-Threshold Criteria'!A289</f>
        <v>0</v>
      </c>
    </row>
    <row r="2338" spans="1:17">
      <c r="A2338" s="748">
        <v>18</v>
      </c>
      <c r="B2338" s="748" t="s">
        <v>3325</v>
      </c>
      <c r="O2338" s="748" t="s">
        <v>2923</v>
      </c>
      <c r="P2338" s="748">
        <f>'Part VIII-Threshold Criteria'!P290</f>
        <v>0</v>
      </c>
    </row>
    <row r="2339" spans="1:17">
      <c r="B2339" s="748" t="s">
        <v>3382</v>
      </c>
      <c r="P2339" s="748" t="str">
        <f>'Part VIII-Threshold Criteria'!P291</f>
        <v>No</v>
      </c>
      <c r="Q2339" s="748">
        <f>'Part VIII-Threshold Criteria'!Q291</f>
        <v>0</v>
      </c>
    </row>
    <row r="2340" spans="1:17">
      <c r="B2340" s="748" t="s">
        <v>3326</v>
      </c>
      <c r="P2340" s="748" t="str">
        <f>'Part VIII-Threshold Criteria'!P292</f>
        <v>Yes</v>
      </c>
      <c r="Q2340" s="748">
        <f>'Part VIII-Threshold Criteria'!Q292</f>
        <v>0</v>
      </c>
    </row>
    <row r="2341" spans="1:17">
      <c r="B2341" s="748" t="s">
        <v>3060</v>
      </c>
      <c r="C2341" s="748" t="s">
        <v>3609</v>
      </c>
    </row>
    <row r="2342" spans="1:17">
      <c r="C2342" s="748" t="s">
        <v>1082</v>
      </c>
      <c r="O2342" s="748" t="s">
        <v>3060</v>
      </c>
      <c r="P2342" s="748" t="str">
        <f>'Part VIII-Threshold Criteria'!P294</f>
        <v>Yes</v>
      </c>
      <c r="Q2342" s="748">
        <f>'Part VIII-Threshold Criteria'!Q294</f>
        <v>0</v>
      </c>
    </row>
    <row r="2344" spans="1:17">
      <c r="B2344" s="748" t="s">
        <v>3063</v>
      </c>
      <c r="C2344" s="748" t="s">
        <v>675</v>
      </c>
      <c r="O2344" s="748" t="s">
        <v>3063</v>
      </c>
      <c r="P2344" s="748" t="str">
        <f>'Part VIII-Threshold Criteria'!P296</f>
        <v>Yes</v>
      </c>
      <c r="Q2344" s="748">
        <f>'Part VIII-Threshold Criteria'!Q296</f>
        <v>0</v>
      </c>
    </row>
    <row r="2345" spans="1:17">
      <c r="C2345" s="748" t="s">
        <v>2765</v>
      </c>
      <c r="D2345" s="748" t="s">
        <v>1767</v>
      </c>
      <c r="G2345" s="748" t="str">
        <f>'Part VIII-Threshold Criteria'!G297</f>
        <v>Exterior wall faces will have an excess of 40% brick or stone on each total wall surface</v>
      </c>
      <c r="O2345" s="748" t="s">
        <v>2765</v>
      </c>
      <c r="P2345" s="748" t="str">
        <f>'Part VIII-Threshold Criteria'!P297</f>
        <v>Yes</v>
      </c>
      <c r="Q2345" s="748">
        <f>'Part VIII-Threshold Criteria'!Q297</f>
        <v>0</v>
      </c>
    </row>
    <row r="2346" spans="1:17" ht="13.15" customHeight="1">
      <c r="C2346" s="748" t="s">
        <v>2766</v>
      </c>
      <c r="D2346" s="748" t="s">
        <v>4082</v>
      </c>
      <c r="G2346" s="748" t="str">
        <f>'Part VIII-Threshold Criteria'!G298</f>
        <v>Addition of or the redesign of existing covered entries</v>
      </c>
      <c r="O2346" s="748" t="s">
        <v>2766</v>
      </c>
      <c r="P2346" s="748" t="str">
        <f>'Part VIII-Threshold Criteria'!P298</f>
        <v>Yes</v>
      </c>
      <c r="Q2346" s="748">
        <f>'Part VIII-Threshold Criteria'!Q298</f>
        <v>0</v>
      </c>
    </row>
    <row r="2347" spans="1:17" ht="13.15" customHeight="1">
      <c r="G2347" s="748" t="str">
        <f>'Part VIII-Threshold Criteria'!G299</f>
        <v>Addition of new or redesign of existing durable attractive stair and railing elements</v>
      </c>
      <c r="P2347" s="748" t="str">
        <f>'Part VIII-Threshold Criteria'!P299</f>
        <v>Yes</v>
      </c>
      <c r="Q2347" s="748">
        <f>'Part VIII-Threshold Criteria'!Q299</f>
        <v>0</v>
      </c>
    </row>
    <row r="2348" spans="1:17" ht="13.15" customHeight="1">
      <c r="C2348" s="748" t="s">
        <v>2767</v>
      </c>
      <c r="D2348" s="748" t="s">
        <v>1768</v>
      </c>
      <c r="G2348" s="748" t="str">
        <f>'Part VIII-Threshold Criteria'!G300</f>
        <v>Fiber cement siding, hard stucco and/or wood siding will be installed on all exterior wall surfaces not already required to be brick</v>
      </c>
      <c r="O2348" s="748" t="s">
        <v>2767</v>
      </c>
      <c r="P2348" s="748" t="str">
        <f>'Part VIII-Threshold Criteria'!P300</f>
        <v>Yes</v>
      </c>
      <c r="Q2348" s="748">
        <f>'Part VIII-Threshold Criteria'!Q300</f>
        <v>0</v>
      </c>
    </row>
    <row r="2349" spans="1:17" ht="13.15" customHeight="1">
      <c r="C2349" s="748" t="s">
        <v>3571</v>
      </c>
      <c r="D2349" s="748" t="s">
        <v>4083</v>
      </c>
      <c r="G2349" s="748" t="str">
        <f>'Part VIII-Threshold Criteria'!G301</f>
        <v>Site entry w/ permanent, illuminated entry sign and decorative fence</v>
      </c>
      <c r="O2349" s="748" t="s">
        <v>3571</v>
      </c>
      <c r="P2349" s="748" t="str">
        <f>'Part VIII-Threshold Criteria'!P301</f>
        <v>Yes</v>
      </c>
      <c r="Q2349" s="748">
        <f>'Part VIII-Threshold Criteria'!Q301</f>
        <v>0</v>
      </c>
    </row>
    <row r="2350" spans="1:17" ht="13.15" customHeight="1">
      <c r="G2350" s="748" t="str">
        <f>'Part VIII-Threshold Criteria'!G302</f>
        <v>Freestanding shelters</v>
      </c>
      <c r="P2350" s="748" t="str">
        <f>'Part VIII-Threshold Criteria'!P302</f>
        <v>Yes</v>
      </c>
      <c r="Q2350" s="748">
        <f>'Part VIII-Threshold Criteria'!Q302</f>
        <v>0</v>
      </c>
    </row>
    <row r="2352" spans="1:17">
      <c r="B2352" s="748" t="s">
        <v>2921</v>
      </c>
    </row>
    <row r="2353" spans="1:17">
      <c r="A2353" s="748">
        <f>'Part VIII-Threshold Criteria'!A305</f>
        <v>0</v>
      </c>
    </row>
    <row r="2354" spans="1:17">
      <c r="A2354" s="748">
        <f>'Part VIII-Threshold Criteria'!A306</f>
        <v>0</v>
      </c>
    </row>
    <row r="2355" spans="1:17">
      <c r="B2355" s="748" t="s">
        <v>2922</v>
      </c>
    </row>
    <row r="2356" spans="1:17">
      <c r="A2356" s="748">
        <f>'Part VIII-Threshold Criteria'!A308</f>
        <v>0</v>
      </c>
    </row>
    <row r="2357" spans="1:17">
      <c r="A2357" s="748">
        <f>'Part VIII-Threshold Criteria'!A309</f>
        <v>0</v>
      </c>
    </row>
    <row r="2359" spans="1:17">
      <c r="A2359" s="748">
        <v>19</v>
      </c>
      <c r="B2359" s="748" t="s">
        <v>3122</v>
      </c>
      <c r="O2359" s="748" t="s">
        <v>2923</v>
      </c>
      <c r="P2359" s="748">
        <f>'Part VIII-Threshold Criteria'!P311</f>
        <v>0</v>
      </c>
    </row>
    <row r="2361" spans="1:17">
      <c r="B2361" s="748" t="s">
        <v>3514</v>
      </c>
      <c r="P2361" s="748" t="str">
        <f>'Part VIII-Threshold Criteria'!P313</f>
        <v>Yes</v>
      </c>
      <c r="Q2361" s="748">
        <f>'Part VIII-Threshold Criteria'!Q313</f>
        <v>0</v>
      </c>
    </row>
    <row r="2362" spans="1:17">
      <c r="B2362" s="748" t="s">
        <v>3515</v>
      </c>
      <c r="P2362" s="748" t="str">
        <f>'Part VIII-Threshold Criteria'!P314</f>
        <v>Yes</v>
      </c>
      <c r="Q2362" s="748">
        <f>'Part VIII-Threshold Criteria'!Q314</f>
        <v>0</v>
      </c>
    </row>
    <row r="2363" spans="1:17">
      <c r="B2363" s="748" t="s">
        <v>925</v>
      </c>
      <c r="L2363" s="748" t="str">
        <f>'Part VIII-Threshold Criteria'!L315</f>
        <v>Qualified with Conditions</v>
      </c>
      <c r="P2363" s="748" t="str">
        <f>'Part VIII-Threshold Criteria'!P315</f>
        <v>Yes</v>
      </c>
      <c r="Q2363" s="748">
        <f>'Part VIII-Threshold Criteria'!Q315</f>
        <v>0</v>
      </c>
    </row>
    <row r="2364" spans="1:17">
      <c r="B2364" s="748" t="s">
        <v>3516</v>
      </c>
      <c r="L2364" s="748">
        <f>'Part VIII-Threshold Criteria'!L316</f>
        <v>0</v>
      </c>
    </row>
    <row r="2366" spans="1:17">
      <c r="B2366" s="748" t="s">
        <v>2921</v>
      </c>
    </row>
    <row r="2367" spans="1:17">
      <c r="A2367" s="748" t="str">
        <f>'Part VIII-Threshold Criteria'!A319</f>
        <v>DCA determined the original team was qualified with the condition that Van Dyke &amp; Company, Inc become a co-GP in the deal (previously they were only a Developer).  The new organizational chart reflects Volunteers of America Southeast, Inc. (VOASE) as 51% MGP, VDC as 49% GP, and each entity also serving as co-developers.</v>
      </c>
    </row>
    <row r="2368" spans="1:17">
      <c r="A2368" s="748">
        <f>'Part VIII-Threshold Criteria'!A320</f>
        <v>0</v>
      </c>
    </row>
    <row r="2369" spans="1:17">
      <c r="A2369" s="748">
        <f>'Part VIII-Threshold Criteria'!A321</f>
        <v>0</v>
      </c>
    </row>
    <row r="2370" spans="1:17">
      <c r="B2370" s="748" t="s">
        <v>2922</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471</v>
      </c>
      <c r="O2375" s="748" t="s">
        <v>2923</v>
      </c>
      <c r="P2375" s="748">
        <f>'Part VIII-Threshold Criteria'!P327</f>
        <v>0</v>
      </c>
    </row>
    <row r="2377" spans="1:17">
      <c r="B2377" s="748" t="s">
        <v>3060</v>
      </c>
      <c r="C2377" s="748" t="s">
        <v>2544</v>
      </c>
      <c r="O2377" s="748" t="s">
        <v>3060</v>
      </c>
      <c r="P2377" s="748" t="str">
        <f>'Part VIII-Threshold Criteria'!P329</f>
        <v>Yes</v>
      </c>
      <c r="Q2377" s="748">
        <f>'Part VIII-Threshold Criteria'!Q329</f>
        <v>0</v>
      </c>
    </row>
    <row r="2378" spans="1:17">
      <c r="B2378" s="748" t="s">
        <v>3063</v>
      </c>
      <c r="C2378" s="748" t="s">
        <v>356</v>
      </c>
      <c r="O2378" s="748" t="s">
        <v>3063</v>
      </c>
      <c r="P2378" s="748" t="str">
        <f>'Part VIII-Threshold Criteria'!P330</f>
        <v>Yes</v>
      </c>
      <c r="Q2378" s="748">
        <f>'Part VIII-Threshold Criteria'!Q330</f>
        <v>0</v>
      </c>
    </row>
    <row r="2379" spans="1:17">
      <c r="B2379" s="748" t="s">
        <v>1239</v>
      </c>
      <c r="C2379" s="748" t="s">
        <v>1966</v>
      </c>
      <c r="O2379" s="748" t="s">
        <v>1239</v>
      </c>
      <c r="P2379" s="748" t="str">
        <f>'Part VIII-Threshold Criteria'!P331</f>
        <v>Yes</v>
      </c>
      <c r="Q2379" s="748">
        <f>'Part VIII-Threshold Criteria'!Q331</f>
        <v>0</v>
      </c>
    </row>
    <row r="2380" spans="1:17">
      <c r="B2380" s="748" t="s">
        <v>3212</v>
      </c>
      <c r="C2380" s="748" t="s">
        <v>1059</v>
      </c>
      <c r="O2380" s="748" t="s">
        <v>3212</v>
      </c>
      <c r="P2380" s="748" t="str">
        <f>'Part VIII-Threshold Criteria'!P332</f>
        <v>Yes</v>
      </c>
      <c r="Q2380" s="748">
        <f>'Part VIII-Threshold Criteria'!Q332</f>
        <v>0</v>
      </c>
    </row>
    <row r="2381" spans="1:17">
      <c r="B2381" s="748" t="s">
        <v>2921</v>
      </c>
    </row>
    <row r="2382" spans="1:17">
      <c r="A2382" s="748">
        <f>'Part VIII-Threshold Criteria'!A334</f>
        <v>0</v>
      </c>
    </row>
    <row r="2383" spans="1:17">
      <c r="A2383" s="748">
        <f>'Part VIII-Threshold Criteria'!A335</f>
        <v>0</v>
      </c>
    </row>
    <row r="2385" spans="1:17">
      <c r="B2385" s="748" t="s">
        <v>2922</v>
      </c>
    </row>
    <row r="2386" spans="1:17">
      <c r="A2386" s="748">
        <f>'Part VIII-Threshold Criteria'!A338</f>
        <v>0</v>
      </c>
    </row>
    <row r="2387" spans="1:17">
      <c r="A2387" s="748">
        <f>'Part VIII-Threshold Criteria'!A339</f>
        <v>0</v>
      </c>
    </row>
    <row r="2389" spans="1:17">
      <c r="A2389" s="748">
        <v>21</v>
      </c>
      <c r="B2389" s="748" t="s">
        <v>1554</v>
      </c>
      <c r="O2389" s="748" t="s">
        <v>2923</v>
      </c>
      <c r="P2389" s="748">
        <f>'Part VIII-Threshold Criteria'!P341</f>
        <v>0</v>
      </c>
    </row>
    <row r="2390" spans="1:17">
      <c r="B2390" s="748" t="s">
        <v>3060</v>
      </c>
      <c r="C2390" s="748" t="s">
        <v>2084</v>
      </c>
      <c r="J2390" s="748" t="s">
        <v>3060</v>
      </c>
      <c r="K2390" s="748" t="str">
        <f>'Part VIII-Threshold Criteria'!K342</f>
        <v>Volunteers of America Southeast, Inc.</v>
      </c>
      <c r="P2390" s="748" t="str">
        <f>'Part VIII-Threshold Criteria'!P342</f>
        <v>Yes</v>
      </c>
      <c r="Q2390" s="748">
        <f>'Part VIII-Threshold Criteria'!Q342</f>
        <v>0</v>
      </c>
    </row>
    <row r="2391" spans="1:17">
      <c r="B2391" s="748" t="s">
        <v>3063</v>
      </c>
      <c r="C2391" s="748" t="s">
        <v>2907</v>
      </c>
      <c r="O2391" s="748" t="s">
        <v>3063</v>
      </c>
      <c r="P2391" s="748" t="str">
        <f>'Part VIII-Threshold Criteria'!P343</f>
        <v>Yes</v>
      </c>
      <c r="Q2391" s="748">
        <f>'Part VIII-Threshold Criteria'!Q343</f>
        <v>0</v>
      </c>
    </row>
    <row r="2392" spans="1:17">
      <c r="B2392" s="748" t="s">
        <v>1239</v>
      </c>
      <c r="C2392" s="748" t="s">
        <v>1555</v>
      </c>
      <c r="O2392" s="748" t="s">
        <v>1239</v>
      </c>
      <c r="P2392" s="748" t="str">
        <f>'Part VIII-Threshold Criteria'!P344</f>
        <v>Yes</v>
      </c>
      <c r="Q2392" s="748">
        <f>'Part VIII-Threshold Criteria'!Q344</f>
        <v>0</v>
      </c>
    </row>
    <row r="2393" spans="1:17">
      <c r="B2393" s="748" t="s">
        <v>3212</v>
      </c>
      <c r="C2393" s="748" t="s">
        <v>355</v>
      </c>
      <c r="O2393" s="748" t="s">
        <v>3212</v>
      </c>
      <c r="P2393" s="748" t="str">
        <f>'Part VIII-Threshold Criteria'!P345</f>
        <v>Yes</v>
      </c>
      <c r="Q2393" s="748">
        <f>'Part VIII-Threshold Criteria'!Q345</f>
        <v>0</v>
      </c>
    </row>
    <row r="2394" spans="1:17">
      <c r="B2394" s="748" t="s">
        <v>2763</v>
      </c>
      <c r="C2394" s="748" t="s">
        <v>430</v>
      </c>
      <c r="O2394" s="748" t="s">
        <v>2763</v>
      </c>
      <c r="P2394" s="748" t="str">
        <f>'Part VIII-Threshold Criteria'!P346</f>
        <v>Yes</v>
      </c>
      <c r="Q2394" s="748">
        <f>'Part VIII-Threshold Criteria'!Q346</f>
        <v>0</v>
      </c>
    </row>
    <row r="2395" spans="1:17">
      <c r="B2395" s="748" t="s">
        <v>2764</v>
      </c>
      <c r="C2395" s="748" t="s">
        <v>1986</v>
      </c>
      <c r="O2395" s="748" t="s">
        <v>2764</v>
      </c>
      <c r="P2395" s="748" t="str">
        <f>'Part VIII-Threshold Criteria'!P347</f>
        <v>Yes</v>
      </c>
      <c r="Q2395" s="748">
        <f>'Part VIII-Threshold Criteria'!Q347</f>
        <v>0</v>
      </c>
    </row>
    <row r="2396" spans="1:17">
      <c r="B2396" s="748" t="s">
        <v>2921</v>
      </c>
    </row>
    <row r="2397" spans="1:17">
      <c r="A2397" s="748">
        <f>'Part VIII-Threshold Criteria'!A349</f>
        <v>0</v>
      </c>
    </row>
    <row r="2398" spans="1:17">
      <c r="B2398" s="748" t="s">
        <v>2922</v>
      </c>
    </row>
    <row r="2399" spans="1:17">
      <c r="A2399" s="748">
        <f>'Part VIII-Threshold Criteria'!A351</f>
        <v>0</v>
      </c>
    </row>
    <row r="2401" spans="1:17">
      <c r="A2401" s="748">
        <v>22</v>
      </c>
      <c r="B2401" s="748" t="s">
        <v>3755</v>
      </c>
      <c r="O2401" s="748" t="s">
        <v>2923</v>
      </c>
      <c r="P2401" s="748">
        <f>'Part VIII-Threshold Criteria'!P353</f>
        <v>0</v>
      </c>
    </row>
    <row r="2402" spans="1:17">
      <c r="B2402" s="748" t="s">
        <v>3060</v>
      </c>
      <c r="C2402" s="748" t="s">
        <v>1658</v>
      </c>
      <c r="J2402" s="748" t="s">
        <v>3060</v>
      </c>
      <c r="K2402" s="748" t="str">
        <f>'Part VIII-Threshold Criteria'!K354</f>
        <v>NOT APPLICABLE</v>
      </c>
      <c r="P2402" s="748">
        <f>'Part VIII-Threshold Criteria'!P354</f>
        <v>0</v>
      </c>
      <c r="Q2402" s="748">
        <f>'Part VIII-Threshold Criteria'!Q354</f>
        <v>0</v>
      </c>
    </row>
    <row r="2403" spans="1:17">
      <c r="B2403" s="748" t="s">
        <v>3063</v>
      </c>
      <c r="C2403" s="748" t="s">
        <v>2768</v>
      </c>
      <c r="O2403" s="748" t="s">
        <v>3063</v>
      </c>
      <c r="P2403" s="748">
        <f>'Part VIII-Threshold Criteria'!P355</f>
        <v>0</v>
      </c>
      <c r="Q2403" s="748">
        <f>'Part VIII-Threshold Criteria'!Q355</f>
        <v>0</v>
      </c>
    </row>
    <row r="2404" spans="1:17">
      <c r="B2404" s="748" t="s">
        <v>1239</v>
      </c>
      <c r="C2404" s="748" t="s">
        <v>2148</v>
      </c>
      <c r="O2404" s="748" t="s">
        <v>1239</v>
      </c>
      <c r="P2404" s="748">
        <f>'Part VIII-Threshold Criteria'!P356</f>
        <v>0</v>
      </c>
      <c r="Q2404" s="748">
        <f>'Part VIII-Threshold Criteria'!Q356</f>
        <v>0</v>
      </c>
    </row>
    <row r="2405" spans="1:17">
      <c r="B2405" s="748" t="s">
        <v>3212</v>
      </c>
      <c r="C2405" s="748" t="s">
        <v>3090</v>
      </c>
      <c r="O2405" s="748" t="s">
        <v>3212</v>
      </c>
      <c r="P2405" s="748">
        <f>'Part VIII-Threshold Criteria'!P357</f>
        <v>0</v>
      </c>
      <c r="Q2405" s="748">
        <f>'Part VIII-Threshold Criteria'!Q357</f>
        <v>0</v>
      </c>
    </row>
    <row r="2406" spans="1:17">
      <c r="B2406" s="748" t="s">
        <v>2763</v>
      </c>
      <c r="C2406" s="748" t="s">
        <v>636</v>
      </c>
      <c r="O2406" s="748" t="s">
        <v>2763</v>
      </c>
      <c r="P2406" s="748">
        <f>'Part VIII-Threshold Criteria'!P358</f>
        <v>0</v>
      </c>
      <c r="Q2406" s="748">
        <f>'Part VIII-Threshold Criteria'!Q358</f>
        <v>0</v>
      </c>
    </row>
    <row r="2407" spans="1:17">
      <c r="B2407" s="748" t="s">
        <v>2764</v>
      </c>
      <c r="C2407" s="748" t="s">
        <v>230</v>
      </c>
      <c r="O2407" s="748" t="s">
        <v>2764</v>
      </c>
      <c r="P2407" s="748">
        <f>'Part VIII-Threshold Criteria'!P359</f>
        <v>0</v>
      </c>
      <c r="Q2407" s="748">
        <f>'Part VIII-Threshold Criteria'!Q359</f>
        <v>0</v>
      </c>
    </row>
    <row r="2408" spans="1:17">
      <c r="B2408" s="748" t="s">
        <v>3020</v>
      </c>
      <c r="C2408" s="748" t="s">
        <v>852</v>
      </c>
      <c r="O2408" s="748" t="s">
        <v>3020</v>
      </c>
      <c r="P2408" s="748">
        <f>'Part VIII-Threshold Criteria'!P360</f>
        <v>0</v>
      </c>
      <c r="Q2408" s="748">
        <f>'Part VIII-Threshold Criteria'!Q360</f>
        <v>0</v>
      </c>
    </row>
    <row r="2409" spans="1:17">
      <c r="B2409" s="748" t="s">
        <v>2921</v>
      </c>
    </row>
    <row r="2410" spans="1:17">
      <c r="A2410" s="748">
        <f>'Part VIII-Threshold Criteria'!A362</f>
        <v>0</v>
      </c>
    </row>
    <row r="2411" spans="1:17">
      <c r="B2411" s="748" t="s">
        <v>2922</v>
      </c>
    </row>
    <row r="2412" spans="1:17">
      <c r="A2412" s="748">
        <f>'Part VIII-Threshold Criteria'!A364</f>
        <v>0</v>
      </c>
    </row>
    <row r="2414" spans="1:17">
      <c r="A2414" s="748">
        <v>23</v>
      </c>
      <c r="B2414" s="748" t="s">
        <v>1083</v>
      </c>
      <c r="O2414" s="748" t="s">
        <v>2923</v>
      </c>
      <c r="P2414" s="748">
        <f>'Part VIII-Threshold Criteria'!P366</f>
        <v>0</v>
      </c>
    </row>
    <row r="2415" spans="1:17">
      <c r="B2415" s="748" t="s">
        <v>3060</v>
      </c>
      <c r="C2415" s="748" t="s">
        <v>4084</v>
      </c>
      <c r="M2415" s="748" t="s">
        <v>3060</v>
      </c>
      <c r="N2415" s="748" t="str">
        <f>'Part VIII-Threshold Criteria'!N367</f>
        <v>&lt;&lt;Select&gt;&gt;</v>
      </c>
      <c r="P2415" s="748" t="str">
        <f>'Part VIII-Threshold Criteria'!P367</f>
        <v>&lt;&lt;Select&gt;&gt;</v>
      </c>
    </row>
    <row r="2416" spans="1:17">
      <c r="B2416" s="748" t="s">
        <v>3063</v>
      </c>
      <c r="C2416" s="748" t="s">
        <v>2</v>
      </c>
      <c r="G2416" s="748" t="s">
        <v>3063</v>
      </c>
      <c r="H2416" s="748">
        <f>'Part VIII-Threshold Criteria'!H368</f>
        <v>0</v>
      </c>
      <c r="P2416" s="748">
        <f>'Part VIII-Threshold Criteria'!P368</f>
        <v>0</v>
      </c>
      <c r="Q2416" s="748">
        <f>'Part VIII-Threshold Criteria'!Q368</f>
        <v>0</v>
      </c>
    </row>
    <row r="2417" spans="1:17">
      <c r="B2417" s="748" t="s">
        <v>1239</v>
      </c>
      <c r="C2417" s="748" t="s">
        <v>2126</v>
      </c>
      <c r="O2417" s="748" t="s">
        <v>1239</v>
      </c>
      <c r="P2417" s="748">
        <f>'Part VIII-Threshold Criteria'!P369</f>
        <v>0</v>
      </c>
      <c r="Q2417" s="748">
        <f>'Part VIII-Threshold Criteria'!Q369</f>
        <v>0</v>
      </c>
    </row>
    <row r="2418" spans="1:17">
      <c r="B2418" s="748" t="s">
        <v>2921</v>
      </c>
    </row>
    <row r="2419" spans="1:17">
      <c r="A2419" s="748" t="str">
        <f>'Part VIII-Threshold Criteria'!A371</f>
        <v>This is not a HOME deal.</v>
      </c>
    </row>
    <row r="2420" spans="1:17">
      <c r="A2420" s="748">
        <f>'Part VIII-Threshold Criteria'!A372</f>
        <v>0</v>
      </c>
    </row>
    <row r="2422" spans="1:17">
      <c r="B2422" s="748" t="s">
        <v>2922</v>
      </c>
    </row>
    <row r="2423" spans="1:17">
      <c r="A2423" s="748">
        <f>'Part VIII-Threshold Criteria'!A375</f>
        <v>0</v>
      </c>
    </row>
    <row r="2424" spans="1:17">
      <c r="A2424" s="748">
        <f>'Part VIII-Threshold Criteria'!A376</f>
        <v>0</v>
      </c>
    </row>
    <row r="2426" spans="1:17">
      <c r="A2426" s="748">
        <v>24</v>
      </c>
      <c r="B2426" s="748" t="s">
        <v>2530</v>
      </c>
      <c r="F2426" s="748" t="s">
        <v>1058</v>
      </c>
      <c r="O2426" s="748" t="s">
        <v>2923</v>
      </c>
      <c r="P2426" s="748">
        <f>'Part VIII-Threshold Criteria'!P378</f>
        <v>0</v>
      </c>
    </row>
    <row r="2427" spans="1:17">
      <c r="B2427" s="748" t="s">
        <v>3060</v>
      </c>
      <c r="C2427" s="748" t="s">
        <v>2127</v>
      </c>
      <c r="O2427" s="748" t="s">
        <v>3060</v>
      </c>
      <c r="P2427" s="748">
        <f>'Part VIII-Threshold Criteria'!P379</f>
        <v>0</v>
      </c>
      <c r="Q2427" s="748">
        <f>'Part VIII-Threshold Criteria'!Q379</f>
        <v>0</v>
      </c>
    </row>
    <row r="2428" spans="1:17">
      <c r="B2428" s="748" t="s">
        <v>3063</v>
      </c>
      <c r="C2428" s="748" t="s">
        <v>1242</v>
      </c>
      <c r="O2428" s="748" t="s">
        <v>3063</v>
      </c>
      <c r="P2428" s="748">
        <f>'Part VIII-Threshold Criteria'!P380</f>
        <v>0</v>
      </c>
      <c r="Q2428" s="748">
        <f>'Part VIII-Threshold Criteria'!Q380</f>
        <v>0</v>
      </c>
    </row>
    <row r="2429" spans="1:17">
      <c r="B2429" s="748" t="s">
        <v>1239</v>
      </c>
      <c r="C2429" s="748" t="s">
        <v>1243</v>
      </c>
      <c r="O2429" s="748" t="s">
        <v>1239</v>
      </c>
      <c r="P2429" s="748" t="str">
        <f>'Part VIII-Threshold Criteria'!P381</f>
        <v>Yes</v>
      </c>
      <c r="Q2429" s="748">
        <f>'Part VIII-Threshold Criteria'!Q381</f>
        <v>0</v>
      </c>
    </row>
    <row r="2430" spans="1:17">
      <c r="B2430" s="748" t="s">
        <v>3212</v>
      </c>
      <c r="C2430" s="748" t="s">
        <v>878</v>
      </c>
      <c r="O2430" s="748" t="s">
        <v>3212</v>
      </c>
      <c r="P2430" s="748">
        <f>'Part VIII-Threshold Criteria'!P382</f>
        <v>0</v>
      </c>
      <c r="Q2430" s="748">
        <f>'Part VIII-Threshold Criteria'!Q382</f>
        <v>0</v>
      </c>
    </row>
    <row r="2431" spans="1:17">
      <c r="B2431" s="748" t="s">
        <v>2763</v>
      </c>
      <c r="C2431" s="748" t="s">
        <v>3175</v>
      </c>
      <c r="G2431" s="748" t="s">
        <v>2763</v>
      </c>
      <c r="H2431" s="748">
        <f>'Part VIII-Threshold Criteria'!H383</f>
        <v>0</v>
      </c>
      <c r="P2431" s="748">
        <f>'Part VIII-Threshold Criteria'!P383</f>
        <v>0</v>
      </c>
      <c r="Q2431" s="748">
        <f>'Part VIII-Threshold Criteria'!Q383</f>
        <v>0</v>
      </c>
    </row>
    <row r="2432" spans="1:17">
      <c r="B2432" s="748" t="s">
        <v>2921</v>
      </c>
    </row>
    <row r="2433" spans="1:17">
      <c r="A2433" s="748">
        <f>'Part VIII-Threshold Criteria'!A385</f>
        <v>0</v>
      </c>
    </row>
    <row r="2434" spans="1:17">
      <c r="B2434" s="748" t="s">
        <v>2922</v>
      </c>
    </row>
    <row r="2435" spans="1:17">
      <c r="A2435" s="748">
        <f>'Part VIII-Threshold Criteria'!A387</f>
        <v>0</v>
      </c>
    </row>
    <row r="2437" spans="1:17">
      <c r="A2437" s="748">
        <v>25</v>
      </c>
      <c r="B2437" s="748" t="s">
        <v>3756</v>
      </c>
      <c r="O2437" s="748" t="s">
        <v>2923</v>
      </c>
      <c r="P2437" s="748">
        <f>'Part VIII-Threshold Criteria'!P389</f>
        <v>0</v>
      </c>
    </row>
    <row r="2438" spans="1:17">
      <c r="B2438" s="748" t="s">
        <v>3060</v>
      </c>
      <c r="C2438" s="748" t="s">
        <v>4085</v>
      </c>
      <c r="O2438" s="748" t="s">
        <v>3060</v>
      </c>
      <c r="P2438" s="748" t="str">
        <f>'Part VIII-Threshold Criteria'!P390</f>
        <v>Agree</v>
      </c>
      <c r="Q2438" s="748">
        <f>'Part VIII-Threshold Criteria'!Q390</f>
        <v>0</v>
      </c>
    </row>
    <row r="2439" spans="1:17">
      <c r="B2439" s="748" t="s">
        <v>3063</v>
      </c>
      <c r="C2439" s="748" t="s">
        <v>853</v>
      </c>
      <c r="O2439" s="748" t="s">
        <v>3063</v>
      </c>
      <c r="P2439" s="748" t="str">
        <f>'Part VIII-Threshold Criteria'!P391</f>
        <v>Yes</v>
      </c>
      <c r="Q2439" s="748">
        <f>'Part VIII-Threshold Criteria'!Q391</f>
        <v>0</v>
      </c>
    </row>
    <row r="2440" spans="1:17">
      <c r="B2440" s="748" t="s">
        <v>2921</v>
      </c>
      <c r="K2440" s="748" t="s">
        <v>2922</v>
      </c>
    </row>
    <row r="2441" spans="1:17">
      <c r="A2441" s="748">
        <f>'Part VIII-Threshold Criteria'!A393</f>
        <v>0</v>
      </c>
      <c r="K2441" s="748">
        <f>'Part VIII-Threshold Criteria'!K393</f>
        <v>0</v>
      </c>
    </row>
    <row r="2443" spans="1:17">
      <c r="A2443" s="748">
        <v>26</v>
      </c>
      <c r="B2443" s="748" t="s">
        <v>2005</v>
      </c>
      <c r="O2443" s="748" t="s">
        <v>2923</v>
      </c>
      <c r="P2443" s="748">
        <f>'Part VIII-Threshold Criteria'!P395</f>
        <v>0</v>
      </c>
    </row>
    <row r="2444" spans="1:17">
      <c r="B2444" s="748" t="s">
        <v>3060</v>
      </c>
      <c r="C2444" s="748" t="s">
        <v>1244</v>
      </c>
      <c r="O2444" s="748" t="s">
        <v>3060</v>
      </c>
      <c r="P2444" s="748" t="str">
        <f>'Part VIII-Threshold Criteria'!P396</f>
        <v>No</v>
      </c>
      <c r="Q2444" s="748">
        <f>'Part VIII-Threshold Criteria'!Q396</f>
        <v>0</v>
      </c>
    </row>
    <row r="2445" spans="1:17">
      <c r="B2445" s="748" t="s">
        <v>3063</v>
      </c>
      <c r="C2445" s="748" t="s">
        <v>3314</v>
      </c>
      <c r="O2445" s="748" t="s">
        <v>2171</v>
      </c>
      <c r="P2445" s="748" t="str">
        <f>'Part VIII-Threshold Criteria'!P397</f>
        <v>No</v>
      </c>
      <c r="Q2445" s="748">
        <f>'Part VIII-Threshold Criteria'!Q397</f>
        <v>0</v>
      </c>
    </row>
    <row r="2446" spans="1:17">
      <c r="C2446" s="748" t="s">
        <v>2227</v>
      </c>
    </row>
    <row r="2447" spans="1:17">
      <c r="C2447" s="748" t="s">
        <v>3315</v>
      </c>
      <c r="O2447" s="748" t="s">
        <v>2766</v>
      </c>
      <c r="P2447" s="748">
        <f>'Part VIII-Threshold Criteria'!P399</f>
        <v>0</v>
      </c>
      <c r="Q2447" s="748">
        <f>'Part VIII-Threshold Criteria'!Q399</f>
        <v>0</v>
      </c>
    </row>
    <row r="2448" spans="1:17">
      <c r="B2448" s="748" t="s">
        <v>1239</v>
      </c>
      <c r="C2448" s="748" t="s">
        <v>3313</v>
      </c>
      <c r="O2448" s="748" t="s">
        <v>1239</v>
      </c>
      <c r="P2448" s="748">
        <f>'Part VIII-Threshold Criteria'!P400</f>
        <v>0</v>
      </c>
      <c r="Q2448" s="748">
        <f>'Part VIII-Threshold Criteria'!Q400</f>
        <v>0</v>
      </c>
    </row>
    <row r="2449" spans="1:17">
      <c r="B2449" s="748" t="s">
        <v>3212</v>
      </c>
      <c r="C2449" s="748" t="s">
        <v>151</v>
      </c>
      <c r="O2449" s="748" t="s">
        <v>3212</v>
      </c>
    </row>
    <row r="2450" spans="1:17">
      <c r="C2450" s="748" t="s">
        <v>3316</v>
      </c>
      <c r="O2450" s="748" t="s">
        <v>2765</v>
      </c>
      <c r="P2450" s="748">
        <f>'Part VIII-Threshold Criteria'!P402</f>
        <v>0</v>
      </c>
      <c r="Q2450" s="748" t="str">
        <f>'Part VIII-Threshold Criteria'!Q402</f>
        <v xml:space="preserve"> </v>
      </c>
    </row>
    <row r="2451" spans="1:17">
      <c r="C2451" s="748" t="s">
        <v>3317</v>
      </c>
      <c r="O2451" s="748" t="s">
        <v>2766</v>
      </c>
      <c r="P2451" s="748">
        <f>'Part VIII-Threshold Criteria'!P403</f>
        <v>0</v>
      </c>
      <c r="Q2451" s="748">
        <f>'Part VIII-Threshold Criteria'!Q403</f>
        <v>0</v>
      </c>
    </row>
    <row r="2452" spans="1:17">
      <c r="C2452" s="748" t="s">
        <v>3318</v>
      </c>
      <c r="O2452" s="748" t="s">
        <v>2767</v>
      </c>
      <c r="P2452" s="748">
        <f>'Part VIII-Threshold Criteria'!P404</f>
        <v>0</v>
      </c>
      <c r="Q2452" s="748" t="str">
        <f>'Part VIII-Threshold Criteria'!Q404</f>
        <v xml:space="preserve"> </v>
      </c>
    </row>
    <row r="2453" spans="1:17">
      <c r="C2453" s="748" t="s">
        <v>3319</v>
      </c>
      <c r="O2453" s="748" t="s">
        <v>3571</v>
      </c>
      <c r="P2453" s="748">
        <f>'Part VIII-Threshold Criteria'!P405</f>
        <v>0</v>
      </c>
      <c r="Q2453" s="748" t="str">
        <f>'Part VIII-Threshold Criteria'!Q405</f>
        <v xml:space="preserve"> </v>
      </c>
    </row>
    <row r="2454" spans="1:17">
      <c r="C2454" s="748" t="s">
        <v>3320</v>
      </c>
      <c r="O2454" s="748" t="s">
        <v>2304</v>
      </c>
      <c r="P2454" s="748">
        <f>'Part VIII-Threshold Criteria'!P406</f>
        <v>0</v>
      </c>
      <c r="Q2454" s="748" t="str">
        <f>'Part VIII-Threshold Criteria'!Q406</f>
        <v xml:space="preserve"> </v>
      </c>
    </row>
    <row r="2455" spans="1:17">
      <c r="B2455" s="748" t="s">
        <v>2763</v>
      </c>
      <c r="C2455" s="748" t="s">
        <v>3614</v>
      </c>
      <c r="O2455" s="748" t="s">
        <v>2763</v>
      </c>
    </row>
    <row r="2456" spans="1:17">
      <c r="C2456" s="748" t="s">
        <v>3321</v>
      </c>
      <c r="O2456" s="748" t="s">
        <v>2765</v>
      </c>
      <c r="P2456" s="748">
        <f>'Part VIII-Threshold Criteria'!P408</f>
        <v>0</v>
      </c>
      <c r="Q2456" s="748">
        <f>'Part VIII-Threshold Criteria'!Q408</f>
        <v>0</v>
      </c>
    </row>
    <row r="2457" spans="1:17">
      <c r="C2457" s="748" t="s">
        <v>1827</v>
      </c>
      <c r="O2457" s="748" t="s">
        <v>2766</v>
      </c>
      <c r="P2457" s="748">
        <f>'Part VIII-Threshold Criteria'!P409</f>
        <v>0</v>
      </c>
      <c r="Q2457" s="748">
        <f>'Part VIII-Threshold Criteria'!Q409</f>
        <v>0</v>
      </c>
    </row>
    <row r="2458" spans="1:17">
      <c r="C2458" s="748" t="s">
        <v>1828</v>
      </c>
      <c r="O2458" s="748" t="s">
        <v>2767</v>
      </c>
      <c r="P2458" s="748">
        <f>'Part VIII-Threshold Criteria'!P410</f>
        <v>0</v>
      </c>
      <c r="Q2458" s="748">
        <f>'Part VIII-Threshold Criteria'!Q410</f>
        <v>0</v>
      </c>
    </row>
    <row r="2459" spans="1:17">
      <c r="C2459" s="748" t="s">
        <v>3384</v>
      </c>
      <c r="G2459" s="748" t="s">
        <v>3571</v>
      </c>
      <c r="H2459" s="748">
        <f>'Part VIII-Threshold Criteria'!H411</f>
        <v>0</v>
      </c>
      <c r="P2459" s="748">
        <f>'Part VIII-Threshold Criteria'!P411</f>
        <v>0</v>
      </c>
      <c r="Q2459" s="748">
        <f>'Part VIII-Threshold Criteria'!Q411</f>
        <v>0</v>
      </c>
    </row>
    <row r="2460" spans="1:17">
      <c r="B2460" s="748" t="s">
        <v>2921</v>
      </c>
    </row>
    <row r="2461" spans="1:17">
      <c r="A2461" s="748">
        <f>'Part VIII-Threshold Criteria'!A413</f>
        <v>0</v>
      </c>
    </row>
    <row r="2462" spans="1:17">
      <c r="A2462" s="748">
        <f>'Part VIII-Threshold Criteria'!A414</f>
        <v>0</v>
      </c>
    </row>
    <row r="2463" spans="1:17">
      <c r="B2463" s="748" t="s">
        <v>2922</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3123</v>
      </c>
      <c r="O2468" s="748" t="s">
        <v>2923</v>
      </c>
      <c r="P2468" s="748">
        <f>'Part VIII-Threshold Criteria'!P420</f>
        <v>0</v>
      </c>
    </row>
    <row r="2469" spans="1:17">
      <c r="B2469" s="748" t="s">
        <v>3060</v>
      </c>
      <c r="C2469" s="748" t="s">
        <v>888</v>
      </c>
      <c r="O2469" s="748" t="s">
        <v>3060</v>
      </c>
      <c r="P2469" s="748" t="str">
        <f>'Part VIII-Threshold Criteria'!P421</f>
        <v>Agree</v>
      </c>
      <c r="Q2469" s="748">
        <f>'Part VIII-Threshold Criteria'!Q421</f>
        <v>0</v>
      </c>
    </row>
    <row r="2470" spans="1:17">
      <c r="B2470" s="748" t="s">
        <v>3063</v>
      </c>
      <c r="C2470" s="748" t="s">
        <v>889</v>
      </c>
      <c r="O2470" s="748" t="s">
        <v>3063</v>
      </c>
      <c r="P2470" s="748" t="str">
        <f>'Part VIII-Threshold Criteria'!P422</f>
        <v>Agree</v>
      </c>
      <c r="Q2470" s="748">
        <f>'Part VIII-Threshold Criteria'!Q422</f>
        <v>0</v>
      </c>
    </row>
    <row r="2471" spans="1:17">
      <c r="B2471" s="748" t="s">
        <v>1239</v>
      </c>
      <c r="C2471" s="748" t="s">
        <v>890</v>
      </c>
      <c r="O2471" s="748" t="s">
        <v>1239</v>
      </c>
      <c r="P2471" s="748" t="str">
        <f>'Part VIII-Threshold Criteria'!P423</f>
        <v>Agree</v>
      </c>
      <c r="Q2471" s="748">
        <f>'Part VIII-Threshold Criteria'!Q423</f>
        <v>0</v>
      </c>
    </row>
    <row r="2472" spans="1:17">
      <c r="B2472" s="748" t="s">
        <v>2921</v>
      </c>
    </row>
    <row r="2473" spans="1:17">
      <c r="A2473" s="748">
        <f>'Part VIII-Threshold Criteria'!A425</f>
        <v>0</v>
      </c>
    </row>
    <row r="2474" spans="1:17">
      <c r="A2474" s="748">
        <f>'Part VIII-Threshold Criteria'!A426</f>
        <v>0</v>
      </c>
    </row>
    <row r="2475" spans="1:17">
      <c r="A2475" s="748">
        <f>'Part VIII-Threshold Criteria'!A427</f>
        <v>0</v>
      </c>
    </row>
    <row r="2476" spans="1:17">
      <c r="B2476" s="748" t="s">
        <v>2922</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1355</v>
      </c>
      <c r="O2481" s="748" t="s">
        <v>2923</v>
      </c>
      <c r="P2481" s="748">
        <f>'Part VIII-Threshold Criteria'!P433</f>
        <v>0</v>
      </c>
    </row>
    <row r="2482" spans="1:16">
      <c r="B2482" s="748" t="s">
        <v>2921</v>
      </c>
    </row>
    <row r="2483" spans="1:16">
      <c r="A2483" s="748" t="str">
        <f>'Part VIII-Threshold Criteria'!A435</f>
        <v>Calypso is a new construction project on a vacant, undeveloped piece of land.  We have arranged the site to disturb the least amount of land possible, thereby optimizing our site development costs; we do not believe that any member of the team is being "unduly enriched"; we are providing housing where there is currently a void of affordable housing, especially serving larger families with the 3 and 4 bedroom units, therefore we see no negative impact on the existing housing stock; the uses proximate to the site are appropriate; the market study well supports the need for this property and its ability to meet the market threshold conditions; and there are not excessive soft costs in this development.  Since this is not a rehabilitation project, the other factors listed in XXVIII of the Threshold section of the 2011 QAP do not apply to this project.  Overall we feel that this is an appropriate and needed use of DCA resources, and that the cost to develop Calypso represents an 'optimal utilization' of resources.</v>
      </c>
    </row>
    <row r="2484" spans="1:16">
      <c r="A2484" s="748">
        <f>'Part VIII-Threshold Criteria'!A436</f>
        <v>0</v>
      </c>
    </row>
    <row r="2485" spans="1:16">
      <c r="B2485" s="748" t="s">
        <v>2922</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2011-043 Calypso, ,  County</v>
      </c>
    </row>
    <row r="2495" spans="1:16">
      <c r="M2495" s="748" t="s">
        <v>3337</v>
      </c>
      <c r="O2495" s="748" t="s">
        <v>3336</v>
      </c>
      <c r="P2495" s="748" t="s">
        <v>334</v>
      </c>
    </row>
    <row r="2496" spans="1:16">
      <c r="M2496" s="748" t="s">
        <v>104</v>
      </c>
      <c r="O2496" s="748" t="s">
        <v>3337</v>
      </c>
      <c r="P2496" s="748" t="s">
        <v>3337</v>
      </c>
    </row>
    <row r="2498" spans="1:17">
      <c r="L2498" s="748" t="s">
        <v>1888</v>
      </c>
      <c r="M2498" s="748">
        <v>108</v>
      </c>
      <c r="O2498" s="748">
        <f>O2786</f>
        <v>57</v>
      </c>
      <c r="P2498" s="748">
        <f>P2786</f>
        <v>13</v>
      </c>
    </row>
    <row r="2500" spans="1:17">
      <c r="A2500" s="748" t="s">
        <v>3064</v>
      </c>
      <c r="B2500" s="748" t="s">
        <v>1672</v>
      </c>
      <c r="H2500" s="748" t="s">
        <v>2524</v>
      </c>
      <c r="M2500" s="748">
        <v>10</v>
      </c>
      <c r="O2500" s="748">
        <f>MIN($M2500, $M2500-O2502-O2503-O2504)</f>
        <v>10</v>
      </c>
      <c r="P2500" s="748">
        <f>MIN($M2500, $M2500-P2502-P2503-P2504)</f>
        <v>10</v>
      </c>
      <c r="Q2500" s="748" t="s">
        <v>652</v>
      </c>
    </row>
    <row r="2502" spans="1:17">
      <c r="A2502" s="748" t="s">
        <v>3060</v>
      </c>
      <c r="B2502" s="748" t="s">
        <v>2924</v>
      </c>
      <c r="F2502" s="748" t="s">
        <v>3895</v>
      </c>
      <c r="G2502" s="748">
        <f>F2509</f>
        <v>0</v>
      </c>
      <c r="H2502" s="748" t="s">
        <v>321</v>
      </c>
      <c r="M2502" s="748">
        <v>7</v>
      </c>
      <c r="N2502" s="748" t="s">
        <v>3060</v>
      </c>
      <c r="O2502" s="748">
        <f>'Part IX A-Scoring Criteria'!O10</f>
        <v>0</v>
      </c>
      <c r="P2502" s="748">
        <f>'Part IX A-Scoring Criteria'!P10</f>
        <v>0</v>
      </c>
    </row>
    <row r="2503" spans="1:17">
      <c r="A2503" s="748" t="s">
        <v>3063</v>
      </c>
      <c r="B2503" s="748" t="s">
        <v>1216</v>
      </c>
      <c r="F2503" s="748" t="s">
        <v>3895</v>
      </c>
      <c r="G2503" s="748">
        <f>K2509</f>
        <v>0</v>
      </c>
      <c r="H2503" s="748" t="s">
        <v>4086</v>
      </c>
      <c r="M2503" s="748">
        <v>0</v>
      </c>
      <c r="N2503" s="748" t="s">
        <v>3063</v>
      </c>
      <c r="O2503" s="748">
        <f>'Part IX A-Scoring Criteria'!O11</f>
        <v>0</v>
      </c>
      <c r="P2503" s="748">
        <f>'Part IX A-Scoring Criteria'!P11</f>
        <v>0</v>
      </c>
    </row>
    <row r="2504" spans="1:17">
      <c r="A2504" s="748" t="s">
        <v>1239</v>
      </c>
      <c r="B2504" s="748" t="s">
        <v>3210</v>
      </c>
      <c r="F2504" s="748" t="s">
        <v>3895</v>
      </c>
      <c r="G2504" s="748">
        <f>P2509</f>
        <v>0</v>
      </c>
      <c r="H2504" s="748" t="s">
        <v>323</v>
      </c>
      <c r="M2504" s="748">
        <v>1</v>
      </c>
      <c r="N2504" s="748" t="s">
        <v>1239</v>
      </c>
      <c r="O2504" s="748">
        <f>'Part IX A-Scoring Criteria'!O12</f>
        <v>0</v>
      </c>
      <c r="P2504" s="748">
        <f>'Part IX A-Scoring Criteria'!P12</f>
        <v>0</v>
      </c>
    </row>
    <row r="2505" spans="1:17">
      <c r="A2505" s="748" t="s">
        <v>333</v>
      </c>
    </row>
    <row r="2506" spans="1:17">
      <c r="A2506" s="748" t="str">
        <f>'Part IX A-Scoring Criteria'!A14</f>
        <v>The application is organized correctly and we do not anticipate any financial adjustments</v>
      </c>
      <c r="Q2506" s="748" t="s">
        <v>1933</v>
      </c>
    </row>
    <row r="2507" spans="1:17" ht="13.15" customHeight="1">
      <c r="A2507" s="748">
        <f>'Part IX A-Scoring Criteria'!A15</f>
        <v>0</v>
      </c>
    </row>
    <row r="2508" spans="1:17" ht="13.15" customHeight="1">
      <c r="A2508" s="748" t="s">
        <v>2922</v>
      </c>
      <c r="F2508" s="748" t="s">
        <v>2740</v>
      </c>
      <c r="K2508" s="748" t="s">
        <v>2740</v>
      </c>
      <c r="P2508" s="748" t="s">
        <v>2740</v>
      </c>
    </row>
    <row r="2509" spans="1:17">
      <c r="A2509" s="748" t="s">
        <v>3639</v>
      </c>
      <c r="E2509" s="748" t="s">
        <v>786</v>
      </c>
      <c r="F2509" s="748">
        <f>SUM(F2510:F2521)</f>
        <v>0</v>
      </c>
      <c r="G2509" s="748" t="s">
        <v>3640</v>
      </c>
      <c r="J2509" s="748" t="s">
        <v>786</v>
      </c>
      <c r="K2509" s="748">
        <f>SUM(K2510:K2521)</f>
        <v>0</v>
      </c>
      <c r="L2509" s="748" t="s">
        <v>3610</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1933</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3066</v>
      </c>
      <c r="B2523" s="748" t="s">
        <v>1632</v>
      </c>
      <c r="L2523" s="748" t="str">
        <f>IF($O2523&gt;$M2523,"* * Check Score! * *","")</f>
        <v/>
      </c>
      <c r="M2523" s="748">
        <v>3</v>
      </c>
      <c r="O2523" s="748">
        <f>'Part IX A-Scoring Criteria'!O31</f>
        <v>3</v>
      </c>
      <c r="P2523" s="748">
        <f>'Part IX A-Scoring Criteria'!P31</f>
        <v>0</v>
      </c>
      <c r="Q2523" s="748" t="s">
        <v>652</v>
      </c>
      <c r="R2523" s="748" t="str">
        <f>IF(OR($O2523=$M2523,$O2523=0,$O2523=""),"","* * Check Score! * *")</f>
        <v/>
      </c>
    </row>
    <row r="2524" spans="1:18">
      <c r="B2524" s="748" t="s">
        <v>1939</v>
      </c>
      <c r="H2524" s="748" t="s">
        <v>130</v>
      </c>
      <c r="J2524" s="748">
        <f>'Part IX A-Scoring Criteria'!J32</f>
        <v>10</v>
      </c>
      <c r="L2524" s="748" t="s">
        <v>1940</v>
      </c>
      <c r="M2524" s="748">
        <f>IF(OR('Part VI-Revenues &amp; Expenses'!$M$61="", 'Part VI-Revenues &amp; Expenses'!$M$61=0),"",J2524/'Part VI-Revenues &amp; Expenses'!$M$61)</f>
        <v>0.16129032258064516</v>
      </c>
    </row>
    <row r="2525" spans="1:18">
      <c r="B2525" s="748" t="s">
        <v>333</v>
      </c>
    </row>
    <row r="2526" spans="1:18">
      <c r="A2526" s="748" t="str">
        <f>'Part IX A-Scoring Criteria'!A34</f>
        <v>To receive 3 points in this category at least 15% of the units must be restricted to 50% AMI ; we will be restricting 16.1% to 50%, thereby exceeding this standard.</v>
      </c>
    </row>
    <row r="2527" spans="1:18">
      <c r="B2527" s="748" t="s">
        <v>2922</v>
      </c>
    </row>
    <row r="2528" spans="1:18">
      <c r="A2528" s="748">
        <f>'Part IX A-Scoring Criteria'!A36</f>
        <v>0</v>
      </c>
    </row>
    <row r="2530" spans="1:17">
      <c r="A2530" s="748" t="s">
        <v>3823</v>
      </c>
      <c r="B2530" s="748" t="s">
        <v>2930</v>
      </c>
      <c r="H2530" s="748" t="s">
        <v>927</v>
      </c>
      <c r="M2530" s="748">
        <v>12</v>
      </c>
      <c r="O2530" s="748">
        <f>'Part IX A-Scoring Criteria'!O38</f>
        <v>12</v>
      </c>
      <c r="P2530" s="748">
        <f>'Part IX A-Scoring Criteria'!P38</f>
        <v>0</v>
      </c>
      <c r="Q2530" s="748" t="s">
        <v>652</v>
      </c>
    </row>
    <row r="2532" spans="1:17">
      <c r="M2532" s="748">
        <v>10</v>
      </c>
      <c r="O2532" s="748">
        <f>'Part IX A-Scoring Criteria'!O40</f>
        <v>10</v>
      </c>
      <c r="P2532" s="748">
        <f>'Part IX A-Scoring Criteria'!P40</f>
        <v>0</v>
      </c>
      <c r="Q2532" s="748" t="s">
        <v>926</v>
      </c>
    </row>
    <row r="2533" spans="1:17">
      <c r="A2533" s="748" t="s">
        <v>3060</v>
      </c>
      <c r="B2533" s="748" t="s">
        <v>2932</v>
      </c>
      <c r="E2533" s="748" t="s">
        <v>2935</v>
      </c>
      <c r="G2533" s="748" t="s">
        <v>2931</v>
      </c>
      <c r="L2533" s="748">
        <f>'Part IX A-Scoring Criteria'!L41</f>
        <v>0</v>
      </c>
      <c r="M2533" s="748">
        <v>10</v>
      </c>
      <c r="N2533" s="748" t="s">
        <v>3060</v>
      </c>
      <c r="O2533" s="748">
        <f>'Part IX A-Scoring Criteria'!O41</f>
        <v>10</v>
      </c>
      <c r="P2533" s="748">
        <f>'Part IX A-Scoring Criteria'!P41</f>
        <v>0</v>
      </c>
    </row>
    <row r="2534" spans="1:17">
      <c r="A2534" s="748" t="s">
        <v>3063</v>
      </c>
      <c r="B2534" s="748" t="s">
        <v>2933</v>
      </c>
      <c r="E2534" s="748" t="s">
        <v>3557</v>
      </c>
      <c r="L2534" s="748" t="str">
        <f>IF(OR($O2534=$M2534,$O2534=0,$O2534=""),"","* * Check Score! * *")</f>
        <v/>
      </c>
      <c r="M2534" s="748">
        <v>2</v>
      </c>
      <c r="N2534" s="748" t="s">
        <v>3063</v>
      </c>
      <c r="O2534" s="748">
        <f>'Part IX A-Scoring Criteria'!O42</f>
        <v>2</v>
      </c>
      <c r="P2534" s="748">
        <f>'Part IX A-Scoring Criteria'!P42</f>
        <v>0</v>
      </c>
    </row>
    <row r="2535" spans="1:17">
      <c r="A2535" s="748" t="s">
        <v>1239</v>
      </c>
      <c r="B2535" s="748" t="s">
        <v>2934</v>
      </c>
      <c r="E2535" s="748" t="s">
        <v>625</v>
      </c>
      <c r="G2535" s="748" t="s">
        <v>626</v>
      </c>
      <c r="L2535" s="748">
        <f>'Part IX A-Scoring Criteria'!L43</f>
        <v>0</v>
      </c>
      <c r="M2535" s="748" t="s">
        <v>1901</v>
      </c>
      <c r="N2535" s="748" t="s">
        <v>1239</v>
      </c>
      <c r="O2535" s="748">
        <f>'Part IX A-Scoring Criteria'!O43</f>
        <v>0</v>
      </c>
      <c r="P2535" s="748">
        <f>'Part IX A-Scoring Criteria'!P43</f>
        <v>0</v>
      </c>
    </row>
    <row r="2537" spans="1:17">
      <c r="B2537" s="748" t="s">
        <v>333</v>
      </c>
    </row>
    <row r="2538" spans="1:17">
      <c r="A2538" s="748" t="str">
        <f>'Part IX A-Scoring Criteria'!A46</f>
        <v>There are more than 10 "desirable" activities within 2 miles of this rural site, and there are no undesirables.  Palmetto City Hall is a mile from the site, thus giving the project the 2 bonus points.</v>
      </c>
      <c r="Q2538" s="748" t="s">
        <v>1933</v>
      </c>
    </row>
    <row r="2539" spans="1:17" ht="13.15" customHeight="1">
      <c r="A2539" s="748">
        <f>'Part IX A-Scoring Criteria'!A47</f>
        <v>0</v>
      </c>
    </row>
    <row r="2540" spans="1:17" ht="13.15" customHeight="1">
      <c r="A2540" s="748">
        <f>'Part IX A-Scoring Criteria'!A48</f>
        <v>0</v>
      </c>
    </row>
    <row r="2541" spans="1:17">
      <c r="B2541" s="748" t="s">
        <v>2922</v>
      </c>
    </row>
    <row r="2542" spans="1:17">
      <c r="A2542" s="748">
        <f>'Part IX A-Scoring Criteria'!A50</f>
        <v>0</v>
      </c>
      <c r="Q2542" s="748" t="s">
        <v>1933</v>
      </c>
    </row>
    <row r="2543" spans="1:17" ht="13.15" customHeight="1">
      <c r="A2543" s="748">
        <f>'Part IX A-Scoring Criteria'!A51</f>
        <v>0</v>
      </c>
    </row>
    <row r="2544" spans="1:17" ht="13.15" customHeight="1">
      <c r="A2544" s="748">
        <f>'Part IX A-Scoring Criteria'!A52</f>
        <v>0</v>
      </c>
    </row>
    <row r="2547" spans="1:17">
      <c r="A2547" s="748" t="s">
        <v>1886</v>
      </c>
      <c r="B2547" s="748" t="s">
        <v>1941</v>
      </c>
      <c r="H2547" s="748" t="s">
        <v>2941</v>
      </c>
      <c r="M2547" s="748">
        <v>2</v>
      </c>
      <c r="O2547" s="748">
        <f>MIN($M2547,(O2548+O2549))</f>
        <v>1</v>
      </c>
      <c r="P2547" s="748">
        <f>MIN($M2547,(P2548+P2549))</f>
        <v>0</v>
      </c>
      <c r="Q2547" s="748" t="s">
        <v>652</v>
      </c>
    </row>
    <row r="2548" spans="1:17">
      <c r="A2548" s="748" t="s">
        <v>3060</v>
      </c>
      <c r="B2548" s="748" t="s">
        <v>1710</v>
      </c>
      <c r="L2548" s="748" t="str">
        <f>IF(OR($O2548=$M2548,$O2548=0,$O2548=""),"","* * Check Score! * *")</f>
        <v/>
      </c>
      <c r="M2548" s="748">
        <v>2</v>
      </c>
      <c r="N2548" s="748" t="s">
        <v>3060</v>
      </c>
      <c r="O2548" s="748">
        <f>'Part IX A-Scoring Criteria'!O56</f>
        <v>0</v>
      </c>
      <c r="P2548" s="748">
        <f>'Part IX A-Scoring Criteria'!P56</f>
        <v>0</v>
      </c>
    </row>
    <row r="2549" spans="1:17">
      <c r="A2549" s="748" t="s">
        <v>3063</v>
      </c>
      <c r="B2549" s="748" t="s">
        <v>1711</v>
      </c>
      <c r="L2549" s="748" t="str">
        <f>IF(OR($O2549=$M2549,$O2549=0,$O2549=""),"","* * Check Score! * *")</f>
        <v/>
      </c>
      <c r="M2549" s="748">
        <v>1</v>
      </c>
      <c r="N2549" s="748" t="s">
        <v>3063</v>
      </c>
      <c r="O2549" s="748">
        <f>'Part IX A-Scoring Criteria'!O57</f>
        <v>1</v>
      </c>
      <c r="P2549" s="748">
        <f>'Part IX A-Scoring Criteria'!P57</f>
        <v>0</v>
      </c>
    </row>
    <row r="2550" spans="1:17">
      <c r="B2550" s="748" t="s">
        <v>333</v>
      </c>
    </row>
    <row r="2551" spans="1:17">
      <c r="A2551" s="748" t="str">
        <f>'Part IX A-Scoring Criteria'!A59</f>
        <v>MARTA bus route 180 travels down Roosevelt Hwy, with a bus stop at Main Street and Griffith Dirve (.34 miles from the site entrance) and at Roosevelt Hwy and Walnut Way (.49 miles from the site entrance).</v>
      </c>
    </row>
    <row r="2552" spans="1:17">
      <c r="B2552" s="748" t="s">
        <v>2922</v>
      </c>
    </row>
    <row r="2553" spans="1:17">
      <c r="A2553" s="748">
        <f>'Part IX A-Scoring Criteria'!A61</f>
        <v>0</v>
      </c>
    </row>
    <row r="2554" spans="1:17">
      <c r="A2554" s="748">
        <f>'Part IX A-Scoring Criteria'!A62</f>
        <v>0</v>
      </c>
    </row>
    <row r="2556" spans="1:17" ht="12.6" customHeight="1">
      <c r="A2556" s="748" t="s">
        <v>1887</v>
      </c>
      <c r="B2556" s="748" t="s">
        <v>3704</v>
      </c>
      <c r="E2556" s="748" t="s">
        <v>3706</v>
      </c>
      <c r="I2556" s="748" t="s">
        <v>2941</v>
      </c>
      <c r="M2556" s="748">
        <v>1</v>
      </c>
      <c r="N2556" s="748" t="str">
        <f>IF(OR($O2556=$M2556,$O2556=0,$O2556=""),"","***")</f>
        <v/>
      </c>
      <c r="O2556" s="748">
        <f>'Part IX A-Scoring Criteria'!O64</f>
        <v>0</v>
      </c>
      <c r="P2556" s="748">
        <f>'Part IX A-Scoring Criteria'!P64</f>
        <v>0</v>
      </c>
      <c r="Q2556" s="748" t="s">
        <v>652</v>
      </c>
    </row>
    <row r="2557" spans="1:17" ht="12.6" customHeight="1">
      <c r="B2557" s="748" t="s">
        <v>1212</v>
      </c>
      <c r="O2557" s="748">
        <f>'Part IX A-Scoring Criteria'!O65</f>
        <v>0</v>
      </c>
      <c r="P2557" s="748">
        <f>'Part IX A-Scoring Criteria'!P65</f>
        <v>0</v>
      </c>
    </row>
    <row r="2558" spans="1:17" ht="12.6" customHeight="1">
      <c r="B2558" s="748" t="s">
        <v>1211</v>
      </c>
      <c r="I2558" s="748">
        <f>'Part IX A-Scoring Criteria'!I66</f>
        <v>0</v>
      </c>
    </row>
    <row r="2559" spans="1:17" ht="12.6" customHeight="1">
      <c r="B2559" s="748" t="s">
        <v>1213</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2922</v>
      </c>
    </row>
    <row r="2563" spans="1:18">
      <c r="A2563" s="748">
        <f>'Part IX A-Scoring Criteria'!A71</f>
        <v>0</v>
      </c>
    </row>
    <row r="2564" spans="1:18">
      <c r="A2564" s="748">
        <f>'Part IX A-Scoring Criteria'!A72</f>
        <v>0</v>
      </c>
    </row>
    <row r="2566" spans="1:18" ht="12.6" customHeight="1">
      <c r="A2566" s="748" t="s">
        <v>2943</v>
      </c>
      <c r="B2566" s="748" t="s">
        <v>3705</v>
      </c>
      <c r="E2566" s="748" t="s">
        <v>2091</v>
      </c>
      <c r="I2566" s="748" t="s">
        <v>2941</v>
      </c>
      <c r="M2566" s="748">
        <v>2</v>
      </c>
      <c r="O2566" s="748">
        <f>'Part IX A-Scoring Criteria'!O74</f>
        <v>0</v>
      </c>
      <c r="P2566" s="748">
        <f>'Part IX A-Scoring Criteria'!P74</f>
        <v>0</v>
      </c>
      <c r="Q2566" s="748" t="s">
        <v>652</v>
      </c>
    </row>
    <row r="2567" spans="1:18" ht="12.6" customHeight="1">
      <c r="B2567" s="748" t="s">
        <v>1214</v>
      </c>
      <c r="I2567" s="748">
        <f>'Part IX A-Scoring Criteria'!I75</f>
        <v>0</v>
      </c>
    </row>
    <row r="2568" spans="1:18" ht="11.45" customHeight="1">
      <c r="B2568" s="748" t="s">
        <v>333</v>
      </c>
    </row>
    <row r="2569" spans="1:18">
      <c r="A2569" s="748">
        <f>'Part IX A-Scoring Criteria'!A77</f>
        <v>0</v>
      </c>
    </row>
    <row r="2570" spans="1:18">
      <c r="B2570" s="748" t="s">
        <v>2922</v>
      </c>
    </row>
    <row r="2571" spans="1:18">
      <c r="A2571" s="748">
        <f>'Part IX A-Scoring Criteria'!A79</f>
        <v>0</v>
      </c>
    </row>
    <row r="2572" spans="1:18">
      <c r="A2572" s="748">
        <f>'Part IX A-Scoring Criteria'!A80</f>
        <v>0</v>
      </c>
    </row>
    <row r="2574" spans="1:18">
      <c r="A2574" s="748" t="s">
        <v>744</v>
      </c>
      <c r="B2574" s="748" t="s">
        <v>277</v>
      </c>
      <c r="F2574" s="748" t="s">
        <v>627</v>
      </c>
      <c r="I2574" s="748" t="str">
        <f>'Part IX A-Scoring Criteria'!I82</f>
        <v>Earth Craft House</v>
      </c>
      <c r="M2574" s="748">
        <v>3</v>
      </c>
      <c r="O2574" s="748">
        <f>'Part IX A-Scoring Criteria'!O82</f>
        <v>2</v>
      </c>
      <c r="P2574" s="748">
        <f>'Part IX A-Scoring Criteria'!P82</f>
        <v>0</v>
      </c>
      <c r="Q2574" s="748" t="s">
        <v>652</v>
      </c>
      <c r="R2574" s="748" t="str">
        <f>IF(OR($O2574=$M2574,$O2574=0,$O2574=""),"","* * Check Score! * *")</f>
        <v>* * Check Score! * *</v>
      </c>
    </row>
    <row r="2575" spans="1:18" ht="13.15" customHeight="1">
      <c r="B2575" s="748" t="s">
        <v>2659</v>
      </c>
      <c r="O2575" s="748" t="str">
        <f>'Part IX A-Scoring Criteria'!O83</f>
        <v>Yes</v>
      </c>
      <c r="P2575" s="748">
        <f>'Part IX A-Scoring Criteria'!P83</f>
        <v>0</v>
      </c>
    </row>
    <row r="2576" spans="1:18" ht="14.45" customHeight="1">
      <c r="B2576" s="748" t="s">
        <v>3060</v>
      </c>
      <c r="C2576" s="748" t="s">
        <v>1570</v>
      </c>
      <c r="M2576" s="748" t="str">
        <f>IF(AND($I$89="Stable Communities &lt; 10%",O2576=""), "X","")</f>
        <v/>
      </c>
      <c r="N2576" s="748" t="s">
        <v>3060</v>
      </c>
      <c r="O2576" s="748" t="str">
        <f>'Part IX A-Scoring Criteria'!O84</f>
        <v>Agree</v>
      </c>
      <c r="P2576" s="748">
        <f>'Part IX A-Scoring Criteria'!P84</f>
        <v>0</v>
      </c>
    </row>
    <row r="2577" spans="1:17" ht="13.15" customHeight="1">
      <c r="B2577" s="748" t="s">
        <v>3063</v>
      </c>
      <c r="C2577" s="748" t="s">
        <v>1571</v>
      </c>
      <c r="M2577" s="748" t="str">
        <f>IF(AND($I$89="Stable Communities &lt; 10%",O2577=""), "X","")</f>
        <v/>
      </c>
      <c r="N2577" s="748" t="s">
        <v>3063</v>
      </c>
      <c r="O2577" s="748" t="str">
        <f>'Part IX A-Scoring Criteria'!O85</f>
        <v>Agree</v>
      </c>
      <c r="P2577" s="748">
        <f>'Part IX A-Scoring Criteria'!P85</f>
        <v>0</v>
      </c>
    </row>
    <row r="2578" spans="1:17" ht="13.15" customHeight="1">
      <c r="B2578" s="748" t="s">
        <v>333</v>
      </c>
    </row>
    <row r="2579" spans="1:17">
      <c r="A2579" s="748" t="str">
        <f>'Part IX A-Scoring Criteria'!A87</f>
        <v>We will be building Calypso to Earthcraft for Multifamily property standards.</v>
      </c>
    </row>
    <row r="2580" spans="1:17">
      <c r="A2580" s="748">
        <f>'Part IX A-Scoring Criteria'!A88</f>
        <v>0</v>
      </c>
    </row>
    <row r="2581" spans="1:17">
      <c r="B2581" s="748" t="s">
        <v>2922</v>
      </c>
    </row>
    <row r="2582" spans="1:17">
      <c r="A2582" s="748">
        <f>'Part IX A-Scoring Criteria'!A90</f>
        <v>0</v>
      </c>
    </row>
    <row r="2583" spans="1:17">
      <c r="A2583" s="748">
        <f>'Part IX A-Scoring Criteria'!A91</f>
        <v>0</v>
      </c>
    </row>
    <row r="2585" spans="1:17">
      <c r="A2585" s="748" t="s">
        <v>745</v>
      </c>
      <c r="B2585" s="748" t="s">
        <v>3641</v>
      </c>
      <c r="I2585" s="748" t="str">
        <f>'Part IX A-Scoring Criteria'!I93</f>
        <v>Stable Communities &lt; 10%</v>
      </c>
      <c r="M2585" s="748">
        <v>6</v>
      </c>
      <c r="O2585" s="748">
        <f>'Part IX A-Scoring Criteria'!O93</f>
        <v>4</v>
      </c>
      <c r="P2585" s="748">
        <f>'Part IX A-Scoring Criteria'!P93</f>
        <v>0</v>
      </c>
      <c r="Q2585" s="748" t="s">
        <v>652</v>
      </c>
    </row>
    <row r="2586" spans="1:17">
      <c r="A2586" s="748" t="s">
        <v>509</v>
      </c>
    </row>
    <row r="2587" spans="1:17">
      <c r="A2587" s="748" t="s">
        <v>3060</v>
      </c>
      <c r="B2587" s="748" t="s">
        <v>3794</v>
      </c>
      <c r="M2587" s="748">
        <v>4</v>
      </c>
    </row>
    <row r="2588" spans="1:17">
      <c r="A2588" s="748" t="str">
        <f>'Part IX A-Scoring Criteria'!A96</f>
        <v>X</v>
      </c>
      <c r="B2588" s="748" t="s">
        <v>3064</v>
      </c>
      <c r="C2588" s="748" t="s">
        <v>868</v>
      </c>
      <c r="O2588" s="748" t="s">
        <v>3795</v>
      </c>
      <c r="P2588" s="748" t="s">
        <v>3795</v>
      </c>
    </row>
    <row r="2589" spans="1:17">
      <c r="B2589" s="748" t="s">
        <v>3682</v>
      </c>
      <c r="C2589" s="748" t="s">
        <v>3622</v>
      </c>
      <c r="G2589" s="748" t="s">
        <v>3623</v>
      </c>
      <c r="M2589" s="748" t="str">
        <f>IF(AND($I$89="Stable Communities &lt; 10%",O2589=""), "X","")</f>
        <v/>
      </c>
      <c r="N2589" s="748" t="s">
        <v>3682</v>
      </c>
      <c r="O2589" s="748" t="str">
        <f>'Part IX A-Scoring Criteria'!O97</f>
        <v>Yes</v>
      </c>
      <c r="P2589" s="748">
        <f>'Part IX A-Scoring Criteria'!P97</f>
        <v>0</v>
      </c>
    </row>
    <row r="2590" spans="1:17">
      <c r="B2590" s="748" t="s">
        <v>3683</v>
      </c>
      <c r="C2590" s="748" t="s">
        <v>3624</v>
      </c>
      <c r="G2590" s="748" t="s">
        <v>3625</v>
      </c>
      <c r="M2590" s="748" t="str">
        <f>IF(AND($I$89="Stable Communities &lt; 10%",O2590=""), "X","")</f>
        <v/>
      </c>
      <c r="N2590" s="748" t="s">
        <v>3683</v>
      </c>
      <c r="O2590" s="748" t="str">
        <f>'Part IX A-Scoring Criteria'!O98</f>
        <v>Yes</v>
      </c>
      <c r="P2590" s="748">
        <f>'Part IX A-Scoring Criteria'!P98</f>
        <v>0</v>
      </c>
    </row>
    <row r="2591" spans="1:17">
      <c r="B2591" s="748" t="s">
        <v>3686</v>
      </c>
      <c r="C2591" s="748" t="s">
        <v>2191</v>
      </c>
      <c r="M2591" s="748" t="str">
        <f>IF(AND($I$89="Stable Communities &lt; 10%",O2591=""), "X","")</f>
        <v/>
      </c>
      <c r="N2591" s="748" t="s">
        <v>3686</v>
      </c>
      <c r="O2591" s="748" t="str">
        <f>'Part IX A-Scoring Criteria'!O99</f>
        <v>Yes</v>
      </c>
      <c r="P2591" s="748">
        <f>'Part IX A-Scoring Criteria'!P99</f>
        <v>0</v>
      </c>
    </row>
    <row r="2592" spans="1:17">
      <c r="A2592" s="748" t="str">
        <f>'Part IX A-Scoring Criteria'!A100</f>
        <v/>
      </c>
      <c r="B2592" s="748" t="s">
        <v>3066</v>
      </c>
      <c r="C2592" s="748" t="s">
        <v>868</v>
      </c>
      <c r="O2592" s="748" t="s">
        <v>3795</v>
      </c>
      <c r="P2592" s="748" t="s">
        <v>3795</v>
      </c>
    </row>
    <row r="2593" spans="1:16">
      <c r="B2593" s="748" t="s">
        <v>3682</v>
      </c>
      <c r="C2593" s="748" t="s">
        <v>3707</v>
      </c>
      <c r="G2593" s="748" t="s">
        <v>3626</v>
      </c>
      <c r="M2593" s="748" t="str">
        <f>IF(AND($I$89="Stable Communities &lt; 20%",O2593=""), "X","")</f>
        <v/>
      </c>
      <c r="N2593" s="748" t="s">
        <v>3682</v>
      </c>
      <c r="O2593" s="748" t="str">
        <f>'Part IX A-Scoring Criteria'!O101</f>
        <v>Yes</v>
      </c>
      <c r="P2593" s="748">
        <f>'Part IX A-Scoring Criteria'!P101</f>
        <v>0</v>
      </c>
    </row>
    <row r="2594" spans="1:16">
      <c r="B2594" s="748" t="s">
        <v>3683</v>
      </c>
      <c r="C2594" s="748" t="s">
        <v>3624</v>
      </c>
      <c r="G2594" s="748" t="s">
        <v>3625</v>
      </c>
      <c r="M2594" s="748" t="str">
        <f>IF(AND($I$89="Stable Communities &lt; 20%",O2594=""), "X","")</f>
        <v/>
      </c>
      <c r="N2594" s="748" t="s">
        <v>3683</v>
      </c>
      <c r="O2594" s="748" t="str">
        <f>'Part IX A-Scoring Criteria'!O102</f>
        <v>Yes</v>
      </c>
      <c r="P2594" s="748">
        <f>'Part IX A-Scoring Criteria'!P102</f>
        <v>0</v>
      </c>
    </row>
    <row r="2595" spans="1:16">
      <c r="B2595" s="748" t="s">
        <v>3686</v>
      </c>
      <c r="C2595" s="748" t="s">
        <v>2191</v>
      </c>
      <c r="M2595" s="748" t="str">
        <f>IF(AND($I$89="Stable Communities &lt; 20%",O2595=""), "X","")</f>
        <v/>
      </c>
      <c r="N2595" s="748" t="s">
        <v>3686</v>
      </c>
      <c r="O2595" s="748" t="str">
        <f>'Part IX A-Scoring Criteria'!O103</f>
        <v>Yes</v>
      </c>
      <c r="P2595" s="748">
        <f>'Part IX A-Scoring Criteria'!P103</f>
        <v>0</v>
      </c>
    </row>
    <row r="2596" spans="1:16">
      <c r="A2596" s="748" t="s">
        <v>3063</v>
      </c>
      <c r="B2596" s="748" t="s">
        <v>346</v>
      </c>
      <c r="M2596" s="748">
        <v>6</v>
      </c>
    </row>
    <row r="2597" spans="1:16">
      <c r="A2597" s="748" t="str">
        <f>'Part IX A-Scoring Criteria'!A105</f>
        <v/>
      </c>
      <c r="B2597" s="748" t="s">
        <v>3064</v>
      </c>
      <c r="C2597" s="748" t="s">
        <v>4087</v>
      </c>
      <c r="O2597" s="748" t="s">
        <v>3795</v>
      </c>
      <c r="P2597" s="748" t="s">
        <v>3795</v>
      </c>
    </row>
    <row r="2598" spans="1:16">
      <c r="B2598" s="748" t="s">
        <v>3682</v>
      </c>
      <c r="C2598" s="748" t="s">
        <v>914</v>
      </c>
      <c r="M2598" s="748" t="str">
        <f>IF(AND($I$89="HOPE VI Initiative",O2598=""), "X","")</f>
        <v/>
      </c>
      <c r="N2598" s="748" t="s">
        <v>3682</v>
      </c>
      <c r="O2598" s="748">
        <f>'Part IX A-Scoring Criteria'!O106</f>
        <v>0</v>
      </c>
      <c r="P2598" s="748">
        <f>'Part IX A-Scoring Criteria'!P106</f>
        <v>0</v>
      </c>
    </row>
    <row r="2599" spans="1:16">
      <c r="B2599" s="748" t="s">
        <v>3683</v>
      </c>
      <c r="C2599" s="748" t="s">
        <v>915</v>
      </c>
      <c r="M2599" s="748" t="str">
        <f>IF(AND($I$89="HOPE VI Initiative",O2599=""), "X","")</f>
        <v/>
      </c>
      <c r="N2599" s="748" t="s">
        <v>3683</v>
      </c>
      <c r="O2599" s="748">
        <f>'Part IX A-Scoring Criteria'!O107</f>
        <v>0</v>
      </c>
      <c r="P2599" s="748">
        <f>'Part IX A-Scoring Criteria'!P107</f>
        <v>0</v>
      </c>
    </row>
    <row r="2600" spans="1:16">
      <c r="B2600" s="748" t="s">
        <v>3684</v>
      </c>
      <c r="C2600" s="748" t="s">
        <v>916</v>
      </c>
      <c r="M2600" s="748" t="str">
        <f>IF(AND($I$89="HOPE VI Initiative",O2600=""), "X","")</f>
        <v/>
      </c>
      <c r="N2600" s="748" t="s">
        <v>3684</v>
      </c>
      <c r="O2600" s="748">
        <f>'Part IX A-Scoring Criteria'!O108</f>
        <v>0</v>
      </c>
      <c r="P2600" s="748">
        <f>'Part IX A-Scoring Criteria'!P108</f>
        <v>0</v>
      </c>
    </row>
    <row r="2601" spans="1:16">
      <c r="B2601" s="748" t="s">
        <v>3685</v>
      </c>
      <c r="C2601" s="748" t="s">
        <v>917</v>
      </c>
      <c r="M2601" s="748" t="str">
        <f>IF(AND($I$89="HOPE VI Initiative",O2601=""), "X","")</f>
        <v/>
      </c>
      <c r="N2601" s="748" t="s">
        <v>3685</v>
      </c>
      <c r="O2601" s="748">
        <f>'Part IX A-Scoring Criteria'!O109</f>
        <v>0</v>
      </c>
      <c r="P2601" s="748">
        <f>'Part IX A-Scoring Criteria'!P109</f>
        <v>0</v>
      </c>
    </row>
    <row r="2602" spans="1:16">
      <c r="B2602" s="748" t="s">
        <v>3066</v>
      </c>
      <c r="C2602" s="748" t="s">
        <v>540</v>
      </c>
      <c r="G2602" s="748" t="s">
        <v>921</v>
      </c>
      <c r="N2602" s="748" t="s">
        <v>3066</v>
      </c>
      <c r="O2602" s="748">
        <f>'Part IX A-Scoring Criteria'!O110</f>
        <v>0</v>
      </c>
      <c r="P2602" s="748">
        <f>'Part IX A-Scoring Criteria'!P110</f>
        <v>0</v>
      </c>
    </row>
    <row r="2603" spans="1:16">
      <c r="A2603" s="748" t="str">
        <f>'Part IX A-Scoring Criteria'!A111</f>
        <v/>
      </c>
      <c r="B2603" s="748" t="s">
        <v>3823</v>
      </c>
      <c r="C2603" s="748" t="s">
        <v>541</v>
      </c>
      <c r="G2603" s="748" t="s">
        <v>1651</v>
      </c>
      <c r="H2603" s="748" t="str">
        <f>'Part IX A-Scoring Criteria'!H111</f>
        <v>&lt;&lt;Select&gt;&gt;</v>
      </c>
      <c r="I2603" s="748" t="s">
        <v>1563</v>
      </c>
      <c r="J2603" s="748">
        <f>'Part IX A-Scoring Criteria'!J111</f>
        <v>0</v>
      </c>
      <c r="N2603" s="748" t="s">
        <v>3823</v>
      </c>
      <c r="O2603" s="748">
        <f>'Part IX A-Scoring Criteria'!O111</f>
        <v>0</v>
      </c>
      <c r="P2603" s="748">
        <f>'Part IX A-Scoring Criteria'!P111</f>
        <v>0</v>
      </c>
    </row>
    <row r="2604" spans="1:16">
      <c r="A2604" s="748" t="str">
        <f>'Part IX A-Scoring Criteria'!A112</f>
        <v/>
      </c>
      <c r="B2604" s="748" t="s">
        <v>1886</v>
      </c>
      <c r="C2604" s="748" t="s">
        <v>3611</v>
      </c>
      <c r="G2604" s="748" t="s">
        <v>637</v>
      </c>
      <c r="H2604" s="748">
        <f>'Part IX A-Scoring Criteria'!H112</f>
        <v>0</v>
      </c>
      <c r="N2604" s="748" t="s">
        <v>1886</v>
      </c>
      <c r="O2604" s="748">
        <f>'Part IX A-Scoring Criteria'!O112</f>
        <v>0</v>
      </c>
      <c r="P2604" s="748">
        <f>'Part IX A-Scoring Criteria'!P112</f>
        <v>0</v>
      </c>
    </row>
    <row r="2605" spans="1:16">
      <c r="B2605" s="748" t="s">
        <v>3682</v>
      </c>
      <c r="C2605" s="748" t="s">
        <v>922</v>
      </c>
      <c r="G2605" s="748" t="s">
        <v>920</v>
      </c>
      <c r="H2605" s="748">
        <f>'Part IX A-Scoring Criteria'!H113</f>
        <v>0</v>
      </c>
      <c r="M2605" s="748" t="str">
        <f>IF(AND($I$89="Local Redevelopment Plan",O2605=""), "X","")</f>
        <v/>
      </c>
      <c r="N2605" s="748" t="s">
        <v>3682</v>
      </c>
      <c r="O2605" s="748">
        <f>'Part IX A-Scoring Criteria'!O113</f>
        <v>0</v>
      </c>
      <c r="P2605" s="748">
        <f>'Part IX A-Scoring Criteria'!P113</f>
        <v>0</v>
      </c>
    </row>
    <row r="2606" spans="1:16">
      <c r="B2606" s="748" t="s">
        <v>3683</v>
      </c>
      <c r="C2606" s="748" t="s">
        <v>3711</v>
      </c>
      <c r="N2606" s="748" t="s">
        <v>3683</v>
      </c>
      <c r="O2606" s="748">
        <f>'Part IX A-Scoring Criteria'!O114</f>
        <v>0</v>
      </c>
      <c r="P2606" s="748">
        <f>'Part IX A-Scoring Criteria'!P114</f>
        <v>0</v>
      </c>
    </row>
    <row r="2607" spans="1:16">
      <c r="B2607" s="748" t="s">
        <v>3684</v>
      </c>
      <c r="C2607" s="748" t="s">
        <v>3712</v>
      </c>
      <c r="M2607" s="748" t="str">
        <f t="shared" ref="M2607:M2616" si="374">IF(AND($I$89="Local Redevelopment Plan",O2607=""), "X","")</f>
        <v/>
      </c>
      <c r="N2607" s="748" t="s">
        <v>3684</v>
      </c>
      <c r="O2607" s="748">
        <f>'Part IX A-Scoring Criteria'!O115</f>
        <v>0</v>
      </c>
      <c r="P2607" s="748">
        <f>'Part IX A-Scoring Criteria'!P115</f>
        <v>0</v>
      </c>
    </row>
    <row r="2608" spans="1:16">
      <c r="B2608" s="748" t="s">
        <v>3685</v>
      </c>
      <c r="C2608" s="748" t="s">
        <v>3713</v>
      </c>
      <c r="M2608" s="748" t="str">
        <f t="shared" si="374"/>
        <v/>
      </c>
      <c r="N2608" s="748" t="s">
        <v>3685</v>
      </c>
      <c r="O2608" s="748">
        <f>'Part IX A-Scoring Criteria'!O116</f>
        <v>0</v>
      </c>
      <c r="P2608" s="748">
        <f>'Part IX A-Scoring Criteria'!P116</f>
        <v>0</v>
      </c>
    </row>
    <row r="2609" spans="1:17">
      <c r="B2609" s="748" t="s">
        <v>3686</v>
      </c>
      <c r="C2609" s="748" t="s">
        <v>3714</v>
      </c>
      <c r="M2609" s="748" t="str">
        <f t="shared" si="374"/>
        <v/>
      </c>
      <c r="N2609" s="748" t="s">
        <v>3686</v>
      </c>
      <c r="O2609" s="748">
        <f>'Part IX A-Scoring Criteria'!O117</f>
        <v>0</v>
      </c>
      <c r="P2609" s="748">
        <f>'Part IX A-Scoring Criteria'!P117</f>
        <v>0</v>
      </c>
    </row>
    <row r="2610" spans="1:17">
      <c r="B2610" s="748" t="s">
        <v>3709</v>
      </c>
      <c r="C2610" s="748" t="s">
        <v>3715</v>
      </c>
      <c r="M2610" s="748" t="str">
        <f t="shared" si="374"/>
        <v/>
      </c>
      <c r="N2610" s="748" t="s">
        <v>3709</v>
      </c>
      <c r="O2610" s="748">
        <f>'Part IX A-Scoring Criteria'!O118</f>
        <v>0</v>
      </c>
      <c r="P2610" s="748">
        <f>'Part IX A-Scoring Criteria'!P118</f>
        <v>0</v>
      </c>
    </row>
    <row r="2611" spans="1:17">
      <c r="B2611" s="748" t="s">
        <v>3710</v>
      </c>
      <c r="C2611" s="748" t="s">
        <v>3716</v>
      </c>
      <c r="M2611" s="748" t="str">
        <f t="shared" si="374"/>
        <v/>
      </c>
      <c r="N2611" s="748" t="s">
        <v>3710</v>
      </c>
      <c r="O2611" s="748">
        <f>'Part IX A-Scoring Criteria'!O119</f>
        <v>0</v>
      </c>
      <c r="P2611" s="748">
        <f>'Part IX A-Scoring Criteria'!P119</f>
        <v>0</v>
      </c>
    </row>
    <row r="2612" spans="1:17">
      <c r="A2612" s="748" t="str">
        <f>'Part IX A-Scoring Criteria'!A120</f>
        <v/>
      </c>
      <c r="B2612" s="748" t="s">
        <v>3720</v>
      </c>
      <c r="O2612" s="748" t="s">
        <v>3795</v>
      </c>
      <c r="P2612" s="748" t="s">
        <v>3795</v>
      </c>
    </row>
    <row r="2613" spans="1:17">
      <c r="B2613" s="748" t="s">
        <v>3717</v>
      </c>
      <c r="C2613" s="748" t="s">
        <v>3721</v>
      </c>
      <c r="M2613" s="748" t="str">
        <f t="shared" si="374"/>
        <v/>
      </c>
      <c r="N2613" s="748" t="s">
        <v>3717</v>
      </c>
      <c r="O2613" s="748">
        <f>'Part IX A-Scoring Criteria'!O121</f>
        <v>0</v>
      </c>
      <c r="P2613" s="748">
        <f>'Part IX A-Scoring Criteria'!P121</f>
        <v>0</v>
      </c>
    </row>
    <row r="2614" spans="1:17">
      <c r="B2614" s="748" t="s">
        <v>3718</v>
      </c>
      <c r="C2614" s="748" t="s">
        <v>3722</v>
      </c>
      <c r="M2614" s="748" t="str">
        <f t="shared" si="374"/>
        <v/>
      </c>
      <c r="N2614" s="748" t="s">
        <v>3718</v>
      </c>
      <c r="O2614" s="748">
        <f>'Part IX A-Scoring Criteria'!O122</f>
        <v>0</v>
      </c>
      <c r="P2614" s="748">
        <f>'Part IX A-Scoring Criteria'!P122</f>
        <v>0</v>
      </c>
    </row>
    <row r="2615" spans="1:17">
      <c r="B2615" s="748" t="s">
        <v>3719</v>
      </c>
      <c r="C2615" s="748" t="s">
        <v>3723</v>
      </c>
      <c r="M2615" s="748" t="str">
        <f t="shared" si="374"/>
        <v/>
      </c>
      <c r="N2615" s="748" t="s">
        <v>3719</v>
      </c>
      <c r="O2615" s="748">
        <f>'Part IX A-Scoring Criteria'!O123</f>
        <v>0</v>
      </c>
      <c r="P2615" s="748">
        <f>'Part IX A-Scoring Criteria'!P123</f>
        <v>0</v>
      </c>
    </row>
    <row r="2616" spans="1:17">
      <c r="B2616" s="748" t="s">
        <v>919</v>
      </c>
      <c r="C2616" s="748" t="s">
        <v>3724</v>
      </c>
      <c r="M2616" s="748" t="str">
        <f t="shared" si="374"/>
        <v/>
      </c>
      <c r="N2616" s="748" t="s">
        <v>919</v>
      </c>
      <c r="O2616" s="748">
        <f>'Part IX A-Scoring Criteria'!O124</f>
        <v>0</v>
      </c>
      <c r="P2616" s="748">
        <f>'Part IX A-Scoring Criteria'!P124</f>
        <v>0</v>
      </c>
    </row>
    <row r="2617" spans="1:17">
      <c r="B2617" s="748" t="s">
        <v>333</v>
      </c>
    </row>
    <row r="2618" spans="1:17">
      <c r="A2618" s="748" t="str">
        <f>'Part IX A-Scoring Criteria'!A126</f>
        <v>Less than 10% of the population of this census tract is below Poverty Level.</v>
      </c>
    </row>
    <row r="2619" spans="1:17">
      <c r="A2619" s="748">
        <f>'Part IX A-Scoring Criteria'!A127</f>
        <v>0</v>
      </c>
    </row>
    <row r="2620" spans="1:17">
      <c r="B2620" s="748" t="s">
        <v>2922</v>
      </c>
    </row>
    <row r="2621" spans="1:17">
      <c r="A2621" s="748">
        <f>'Part IX A-Scoring Criteria'!A129</f>
        <v>0</v>
      </c>
    </row>
    <row r="2622" spans="1:17">
      <c r="A2622" s="748">
        <f>'Part IX A-Scoring Criteria'!A130</f>
        <v>0</v>
      </c>
    </row>
    <row r="2624" spans="1:17">
      <c r="A2624" s="748" t="s">
        <v>279</v>
      </c>
      <c r="B2624" s="748" t="s">
        <v>3725</v>
      </c>
      <c r="J2624" s="748" t="s">
        <v>505</v>
      </c>
      <c r="M2624" s="748">
        <v>3</v>
      </c>
      <c r="O2624" s="748">
        <f>MIN($M2624,(O2625+O2631))</f>
        <v>3</v>
      </c>
      <c r="P2624" s="748">
        <f>MIN($M2624,(P2625+P2631))</f>
        <v>3</v>
      </c>
      <c r="Q2624" s="748" t="s">
        <v>652</v>
      </c>
    </row>
    <row r="2625" spans="1:17">
      <c r="B2625" s="748" t="s">
        <v>3060</v>
      </c>
      <c r="C2625" s="748" t="s">
        <v>3358</v>
      </c>
      <c r="G2625" s="748" t="str">
        <f>IF(AND(O2625&lt;0,M2632&lt;0),"Select either A or B but not both!&gt;","")</f>
        <v/>
      </c>
      <c r="L2625" s="748" t="str">
        <f>IF(OR($O2625=$M2625,$O2625=0,$O2625=""),"","* * Check Score! * *")</f>
        <v/>
      </c>
      <c r="M2625" s="748">
        <v>3</v>
      </c>
      <c r="N2625" s="748" t="s">
        <v>3060</v>
      </c>
      <c r="O2625" s="748">
        <f>'Part IX A-Scoring Criteria'!O133</f>
        <v>0</v>
      </c>
      <c r="P2625" s="748">
        <f>'Part IX A-Scoring Criteria'!P133</f>
        <v>0</v>
      </c>
    </row>
    <row r="2626" spans="1:17" ht="13.15" customHeight="1">
      <c r="B2626" s="748" t="s">
        <v>3064</v>
      </c>
      <c r="C2626" s="748" t="s">
        <v>1565</v>
      </c>
      <c r="N2626" s="748" t="s">
        <v>3064</v>
      </c>
      <c r="O2626" s="748">
        <f>'Part IX A-Scoring Criteria'!O134</f>
        <v>0</v>
      </c>
      <c r="P2626" s="748">
        <f>'Part IX A-Scoring Criteria'!P134</f>
        <v>0</v>
      </c>
    </row>
    <row r="2627" spans="1:17" ht="13.15" customHeight="1">
      <c r="C2627" s="748" t="s">
        <v>1566</v>
      </c>
      <c r="H2627" s="748" t="s">
        <v>1564</v>
      </c>
      <c r="I2627" s="748">
        <f>'Part IX A-Scoring Criteria'!I135</f>
        <v>0</v>
      </c>
      <c r="J2627" s="748" t="s">
        <v>952</v>
      </c>
      <c r="K2627" s="748">
        <f>'Part IX A-Scoring Criteria'!K135</f>
        <v>0</v>
      </c>
    </row>
    <row r="2628" spans="1:17">
      <c r="B2628" s="748" t="s">
        <v>3066</v>
      </c>
      <c r="C2628" s="748" t="s">
        <v>1567</v>
      </c>
      <c r="L2628" s="748" t="str">
        <f>IF(OR($O2628=$M2628,$O2628=0,$O2628=""),"","* * Check Score! * *")</f>
        <v/>
      </c>
      <c r="N2628" s="748" t="s">
        <v>3066</v>
      </c>
      <c r="O2628" s="748">
        <f>'Part IX A-Scoring Criteria'!O136</f>
        <v>0</v>
      </c>
      <c r="P2628" s="748">
        <f>'Part IX A-Scoring Criteria'!P136</f>
        <v>0</v>
      </c>
    </row>
    <row r="2629" spans="1:17">
      <c r="B2629" s="748" t="s">
        <v>3823</v>
      </c>
      <c r="C2629" s="748" t="s">
        <v>1568</v>
      </c>
      <c r="L2629" s="748" t="str">
        <f>IF(OR($O2629=$M2629,$O2629=0,$O2629=""),"","* * Check Score! * *")</f>
        <v/>
      </c>
      <c r="N2629" s="748" t="s">
        <v>3823</v>
      </c>
      <c r="O2629" s="748">
        <f>'Part IX A-Scoring Criteria'!O137</f>
        <v>0</v>
      </c>
      <c r="P2629" s="748">
        <f>'Part IX A-Scoring Criteria'!P137</f>
        <v>0</v>
      </c>
    </row>
    <row r="2630" spans="1:17">
      <c r="B2630" s="748" t="s">
        <v>1886</v>
      </c>
      <c r="C2630" s="748" t="s">
        <v>1569</v>
      </c>
      <c r="L2630" s="748" t="str">
        <f>IF(OR($O2630=$M2630,$O2630=0,$O2630=""),"","* * Check Score! * *")</f>
        <v/>
      </c>
      <c r="N2630" s="748" t="s">
        <v>1886</v>
      </c>
      <c r="O2630" s="748">
        <f>'Part IX A-Scoring Criteria'!O138</f>
        <v>0</v>
      </c>
      <c r="P2630" s="748">
        <f>'Part IX A-Scoring Criteria'!P138</f>
        <v>0</v>
      </c>
    </row>
    <row r="2631" spans="1:17">
      <c r="A2631" s="748" t="s">
        <v>2056</v>
      </c>
      <c r="B2631" s="748" t="s">
        <v>3063</v>
      </c>
      <c r="C2631" s="748" t="s">
        <v>3359</v>
      </c>
      <c r="M2631" s="748">
        <v>3</v>
      </c>
      <c r="N2631" s="748" t="s">
        <v>3063</v>
      </c>
      <c r="O2631" s="748">
        <f>IF($M2632=4,3,IF($M2632=3,2,IF($M2632=2,1,0)))</f>
        <v>3</v>
      </c>
      <c r="P2631" s="748">
        <f>IF($M2632=4,3,IF($M2632=3,2,IF($M2632=2,1,0)))</f>
        <v>3</v>
      </c>
    </row>
    <row r="2632" spans="1:17">
      <c r="L2632" s="748" t="s">
        <v>735</v>
      </c>
      <c r="M2632" s="748">
        <f>'Part IX A-Scoring Criteria'!M140</f>
        <v>4</v>
      </c>
      <c r="N2632" s="748" t="s">
        <v>736</v>
      </c>
    </row>
    <row r="2633" spans="1:17">
      <c r="B2633" s="748" t="s">
        <v>333</v>
      </c>
    </row>
    <row r="2634" spans="1:17">
      <c r="A2634" s="748">
        <f>'Part IX A-Scoring Criteria'!A142</f>
        <v>0</v>
      </c>
    </row>
    <row r="2635" spans="1:17">
      <c r="B2635" s="748" t="s">
        <v>2922</v>
      </c>
    </row>
    <row r="2636" spans="1:17">
      <c r="A2636" s="748">
        <f>'Part IX A-Scoring Criteria'!A144</f>
        <v>0</v>
      </c>
    </row>
    <row r="2638" spans="1:17">
      <c r="A2638" s="748" t="s">
        <v>280</v>
      </c>
      <c r="B2638" s="748" t="s">
        <v>3726</v>
      </c>
      <c r="L2638" s="748" t="str">
        <f>IF(OR($O2638=$M2638,$O2638=0,$O2638=""),"","* * Check Score! * *")</f>
        <v/>
      </c>
      <c r="M2638" s="748">
        <v>2</v>
      </c>
      <c r="O2638" s="748">
        <f>'Part IX A-Scoring Criteria'!O146</f>
        <v>2</v>
      </c>
      <c r="P2638" s="748">
        <f>'Part IX A-Scoring Criteria'!P146</f>
        <v>0</v>
      </c>
      <c r="Q2638" s="748" t="s">
        <v>652</v>
      </c>
    </row>
    <row r="2639" spans="1:17">
      <c r="B2639" s="748" t="s">
        <v>2667</v>
      </c>
      <c r="P2639" s="748" t="s">
        <v>3795</v>
      </c>
    </row>
    <row r="2640" spans="1:17">
      <c r="A2640" s="748" t="s">
        <v>3682</v>
      </c>
      <c r="B2640" s="748" t="s">
        <v>3727</v>
      </c>
      <c r="O2640" s="748" t="s">
        <v>3682</v>
      </c>
      <c r="P2640" s="748">
        <f>'Part IX A-Scoring Criteria'!P148</f>
        <v>0</v>
      </c>
    </row>
    <row r="2641" spans="1:16" ht="13.15" customHeight="1">
      <c r="A2641" s="748" t="s">
        <v>3683</v>
      </c>
      <c r="B2641" s="748" t="s">
        <v>3728</v>
      </c>
      <c r="O2641" s="748" t="s">
        <v>3683</v>
      </c>
      <c r="P2641" s="748">
        <f>'Part IX A-Scoring Criteria'!P149</f>
        <v>0</v>
      </c>
    </row>
    <row r="2642" spans="1:16" ht="13.15" customHeight="1">
      <c r="A2642" s="748" t="s">
        <v>3684</v>
      </c>
      <c r="B2642" s="748" t="s">
        <v>3729</v>
      </c>
      <c r="O2642" s="748" t="s">
        <v>3684</v>
      </c>
      <c r="P2642" s="748">
        <f>'Part IX A-Scoring Criteria'!P150</f>
        <v>0</v>
      </c>
    </row>
    <row r="2643" spans="1:16">
      <c r="A2643" s="748" t="s">
        <v>3685</v>
      </c>
      <c r="B2643" s="748" t="s">
        <v>3340</v>
      </c>
      <c r="O2643" s="748" t="s">
        <v>3685</v>
      </c>
      <c r="P2643" s="748">
        <f>'Part IX A-Scoring Criteria'!P151</f>
        <v>0</v>
      </c>
    </row>
    <row r="2644" spans="1:16" ht="13.15" customHeight="1">
      <c r="A2644" s="748" t="s">
        <v>3686</v>
      </c>
      <c r="B2644" s="748" t="s">
        <v>3341</v>
      </c>
      <c r="O2644" s="748" t="s">
        <v>3686</v>
      </c>
      <c r="P2644" s="748">
        <f>'Part IX A-Scoring Criteria'!P152</f>
        <v>0</v>
      </c>
    </row>
    <row r="2645" spans="1:16" ht="13.15" customHeight="1">
      <c r="A2645" s="748" t="s">
        <v>3709</v>
      </c>
      <c r="B2645" s="748" t="s">
        <v>3342</v>
      </c>
      <c r="O2645" s="748" t="s">
        <v>3709</v>
      </c>
      <c r="P2645" s="748">
        <f>'Part IX A-Scoring Criteria'!P153</f>
        <v>0</v>
      </c>
    </row>
    <row r="2646" spans="1:16">
      <c r="A2646" s="748" t="s">
        <v>3710</v>
      </c>
      <c r="B2646" s="748" t="s">
        <v>2668</v>
      </c>
      <c r="O2646" s="748" t="s">
        <v>3710</v>
      </c>
      <c r="P2646" s="748">
        <f>'Part IX A-Scoring Criteria'!P154</f>
        <v>0</v>
      </c>
    </row>
    <row r="2647" spans="1:16">
      <c r="A2647" s="748" t="s">
        <v>3717</v>
      </c>
      <c r="B2647" s="748" t="s">
        <v>2669</v>
      </c>
      <c r="O2647" s="748" t="s">
        <v>3717</v>
      </c>
      <c r="P2647" s="748">
        <f>'Part IX A-Scoring Criteria'!P155</f>
        <v>0</v>
      </c>
    </row>
    <row r="2648" spans="1:16">
      <c r="B2648" s="748" t="s">
        <v>333</v>
      </c>
    </row>
    <row r="2649" spans="1:16">
      <c r="A2649" s="748" t="str">
        <f>'Part IX A-Scoring Criteria'!A157</f>
        <v>The comparable DCA properties in the PMA do not have occupancies less than 90%.  The market study indicates stabilized occupancy will be met within 9 months, much quicker than the maximum 24 months.  There are no DCA projects within the PMA that have been unable to convert to permanent financing.  The market study does not indicate that foreclosures in the PMA detrimentally affect the proposed project.  The proposed rents are well below the comparable rents.  We do not feel that the proposed PMA is overestimated.</v>
      </c>
    </row>
    <row r="2650" spans="1:16">
      <c r="A2650" s="748">
        <f>'Part IX A-Scoring Criteria'!A158</f>
        <v>0</v>
      </c>
    </row>
    <row r="2651" spans="1:16">
      <c r="B2651" s="748" t="s">
        <v>2922</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3360</v>
      </c>
      <c r="J2658" s="748" t="s">
        <v>505</v>
      </c>
      <c r="M2658" s="748">
        <v>1</v>
      </c>
      <c r="O2658" s="748">
        <f>MIN($M2658,SUM(O2659:O2660))</f>
        <v>1</v>
      </c>
      <c r="P2658" s="748">
        <f>MIN($M2658,SUM(P2659:P2660))</f>
        <v>0</v>
      </c>
      <c r="Q2658" s="748" t="s">
        <v>652</v>
      </c>
    </row>
    <row r="2659" spans="1:18">
      <c r="B2659" s="748" t="s">
        <v>3060</v>
      </c>
      <c r="C2659" s="748" t="s">
        <v>3361</v>
      </c>
      <c r="K2659" s="748" t="s">
        <v>2216</v>
      </c>
      <c r="L2659" s="748" t="str">
        <f>'Part IX A-Scoring Criteria'!L167</f>
        <v>Yes</v>
      </c>
      <c r="M2659" s="748">
        <v>1</v>
      </c>
      <c r="N2659" s="748" t="s">
        <v>3060</v>
      </c>
      <c r="O2659" s="748">
        <f>'Part IX A-Scoring Criteria'!O167</f>
        <v>1</v>
      </c>
      <c r="P2659" s="748">
        <f>'Part IX A-Scoring Criteria'!P167</f>
        <v>0</v>
      </c>
      <c r="R2659" s="748" t="str">
        <f>IF(OR($O2659=$M2659,$O2659=0,$O2659=""),"","* * Check Score! * *")</f>
        <v/>
      </c>
    </row>
    <row r="2660" spans="1:18">
      <c r="B2660" s="748" t="s">
        <v>3063</v>
      </c>
      <c r="C2660" s="748" t="s">
        <v>3362</v>
      </c>
      <c r="L2660" s="748" t="str">
        <f>IF(OR($O2660=$M2660,$O2660=0,$O2660=""),"","* * Check Score! * *")</f>
        <v/>
      </c>
      <c r="M2660" s="748">
        <v>1</v>
      </c>
      <c r="N2660" s="748" t="s">
        <v>3063</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Please note that we agreed to the waiver of qualified contract right for at least 5 years.  However, at the end of the extended compliance period, after going through whatever processes are necessary at that time, we hope to convert this property to Fee Simple Home Ownership for the tenants.  DCA does not award points for "Tenant Ownership" this year unless the property is a single-family style development.  Therefore we are not requesting points for Homeownership ,and will instead agree to the Waiver of Qualified Contract Right.</v>
      </c>
    </row>
    <row r="2663" spans="1:18">
      <c r="B2663" s="748" t="s">
        <v>2922</v>
      </c>
    </row>
    <row r="2664" spans="1:18">
      <c r="A2664" s="748">
        <f>'Part IX A-Scoring Criteria'!A172</f>
        <v>0</v>
      </c>
    </row>
    <row r="2665" spans="1:18">
      <c r="A2665" s="748">
        <f>'Part IX A-Scoring Criteria'!A173</f>
        <v>0</v>
      </c>
    </row>
    <row r="2667" spans="1:18">
      <c r="A2667" s="748" t="s">
        <v>300</v>
      </c>
      <c r="B2667" s="748" t="s">
        <v>3665</v>
      </c>
      <c r="J2667" s="748" t="s">
        <v>505</v>
      </c>
      <c r="M2667" s="748">
        <v>6</v>
      </c>
      <c r="O2667" s="748">
        <f>MIN($M2667,(O2668+O2672))</f>
        <v>0</v>
      </c>
      <c r="P2667" s="748">
        <f>MIN($M2667,(P2668+P2672))</f>
        <v>0</v>
      </c>
      <c r="Q2667" s="748" t="s">
        <v>652</v>
      </c>
    </row>
    <row r="2668" spans="1:18">
      <c r="B2668" s="748" t="s">
        <v>3060</v>
      </c>
      <c r="C2668" s="748" t="s">
        <v>2842</v>
      </c>
      <c r="L2668" s="748" t="str">
        <f>IF($O2668&lt;=$M2668,"","* * Check Score! * *")</f>
        <v/>
      </c>
      <c r="M2668" s="748">
        <v>3</v>
      </c>
      <c r="N2668" s="748" t="s">
        <v>3060</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3064</v>
      </c>
      <c r="C2670" s="748" t="s">
        <v>3612</v>
      </c>
      <c r="M2670" s="748">
        <v>3</v>
      </c>
    </row>
    <row r="2671" spans="1:18" ht="14.45" customHeight="1">
      <c r="A2671" s="748" t="str">
        <f>IF($I$89="HOPE VI Initiative", "X","")</f>
        <v/>
      </c>
      <c r="B2671" s="748" t="s">
        <v>3066</v>
      </c>
      <c r="C2671" s="748" t="s">
        <v>2902</v>
      </c>
      <c r="M2671" s="748">
        <v>1</v>
      </c>
    </row>
    <row r="2672" spans="1:18" ht="14.45" customHeight="1">
      <c r="B2672" s="748" t="s">
        <v>3063</v>
      </c>
      <c r="C2672" s="748" t="s">
        <v>2670</v>
      </c>
      <c r="M2672" s="748">
        <v>6</v>
      </c>
      <c r="N2672" s="748" t="s">
        <v>3063</v>
      </c>
      <c r="O2672" s="748">
        <f>'Part IX A-Scoring Criteria'!O180</f>
        <v>0</v>
      </c>
      <c r="P2672" s="748">
        <f>'Part IX A-Scoring Criteria'!P180</f>
        <v>0</v>
      </c>
      <c r="R2672" s="748" t="str">
        <f>IF(OR($O2672=$M2672,$O2672=0,$O2672=""),"","* * Check Score! * *")</f>
        <v/>
      </c>
    </row>
    <row r="2673" spans="1:18">
      <c r="B2673" s="748" t="s">
        <v>3064</v>
      </c>
      <c r="C2673" s="748" t="s">
        <v>2672</v>
      </c>
      <c r="M2673" s="748">
        <v>6</v>
      </c>
      <c r="N2673" s="748" t="s">
        <v>3064</v>
      </c>
      <c r="O2673" s="748">
        <f>'Part IX A-Scoring Criteria'!O181</f>
        <v>0</v>
      </c>
      <c r="P2673" s="748">
        <f>'Part IX A-Scoring Criteria'!P181</f>
        <v>0</v>
      </c>
    </row>
    <row r="2674" spans="1:18">
      <c r="B2674" s="748" t="s">
        <v>3066</v>
      </c>
      <c r="C2674" s="748" t="s">
        <v>2673</v>
      </c>
      <c r="L2674" s="748" t="str">
        <f>IF(OR($O2674=$M2674,$O2674=0,$O2674=""),"","* * Check Score! * *")</f>
        <v/>
      </c>
      <c r="M2674" s="748">
        <v>2</v>
      </c>
      <c r="N2674" s="748" t="s">
        <v>3066</v>
      </c>
      <c r="O2674" s="748">
        <f>'Part IX A-Scoring Criteria'!O182</f>
        <v>0</v>
      </c>
      <c r="P2674" s="748">
        <f>'Part IX A-Scoring Criteria'!P182</f>
        <v>0</v>
      </c>
    </row>
    <row r="2675" spans="1:18">
      <c r="B2675" s="748" t="s">
        <v>3823</v>
      </c>
      <c r="C2675" s="748" t="s">
        <v>2671</v>
      </c>
      <c r="L2675" s="748" t="str">
        <f>IF(OR($O2675=$M2675,$O2675=0,$O2675=""),"","* * Check Score! * *")</f>
        <v/>
      </c>
      <c r="M2675" s="748">
        <v>2</v>
      </c>
      <c r="N2675" s="748" t="s">
        <v>3823</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2922</v>
      </c>
    </row>
    <row r="2680" spans="1:18">
      <c r="A2680" s="748">
        <f>'Part IX A-Scoring Criteria'!A188</f>
        <v>0</v>
      </c>
    </row>
    <row r="2681" spans="1:18">
      <c r="A2681" s="748">
        <f>'Part IX A-Scoring Criteria'!A189</f>
        <v>0</v>
      </c>
    </row>
    <row r="2683" spans="1:18">
      <c r="A2683" s="748" t="s">
        <v>301</v>
      </c>
      <c r="B2683" s="748" t="s">
        <v>1037</v>
      </c>
      <c r="J2683" s="748" t="s">
        <v>505</v>
      </c>
      <c r="M2683" s="748">
        <v>3</v>
      </c>
      <c r="O2683" s="748">
        <f>MIN($M2683,O2685+O2684)</f>
        <v>0</v>
      </c>
      <c r="P2683" s="748">
        <f>MIN($M2683,P2685+P2684)</f>
        <v>0</v>
      </c>
      <c r="Q2683" s="748" t="s">
        <v>652</v>
      </c>
    </row>
    <row r="2684" spans="1:18">
      <c r="A2684" s="748" t="s">
        <v>3060</v>
      </c>
      <c r="B2684" s="748" t="s">
        <v>923</v>
      </c>
      <c r="L2684" s="748" t="str">
        <f>IF(OR($O2684=$M2684,$O2684=0,$O2684=""),"","* * Check Score! * *")</f>
        <v/>
      </c>
      <c r="M2684" s="748">
        <v>3</v>
      </c>
      <c r="N2684" s="748" t="s">
        <v>3060</v>
      </c>
      <c r="O2684" s="748">
        <f>'Part IX A-Scoring Criteria'!O192</f>
        <v>0</v>
      </c>
      <c r="P2684" s="748">
        <f>'Part IX A-Scoring Criteria'!P192</f>
        <v>0</v>
      </c>
      <c r="R2684" s="748" t="str">
        <f>IF(OR($O2684=$M2684,$O2684=0,$O2684=""),"","* * Check Score! * *")</f>
        <v/>
      </c>
    </row>
    <row r="2685" spans="1:18">
      <c r="A2685" s="748" t="s">
        <v>3063</v>
      </c>
      <c r="B2685" s="748" t="s">
        <v>2868</v>
      </c>
      <c r="L2685" s="748" t="str">
        <f>IF(OR($O2685=$M2685,$O2685=0,$O2685=""),"","* * Check Score! * *")</f>
        <v/>
      </c>
      <c r="M2685" s="748">
        <v>2</v>
      </c>
      <c r="N2685" s="748" t="s">
        <v>3063</v>
      </c>
      <c r="O2685" s="748">
        <f>'Part IX A-Scoring Criteria'!O193</f>
        <v>0</v>
      </c>
      <c r="P2685" s="748">
        <f>'Part IX A-Scoring Criteria'!P193</f>
        <v>0</v>
      </c>
      <c r="R2685" s="748" t="str">
        <f>IF(OR($O2685=$M2685,$O2685=0,$O2685=""),"","* * Check Score! * *")</f>
        <v/>
      </c>
    </row>
    <row r="2686" spans="1:18">
      <c r="B2686" s="748" t="s">
        <v>333</v>
      </c>
    </row>
    <row r="2687" spans="1:18">
      <c r="A2687" s="748" t="str">
        <f>'Part IX A-Scoring Criteria'!A195</f>
        <v>While VOASE, Inc. is a strong, reputable non-profit group with at least 2 qualified successful LIHTC properties, they will be only 51% owner and MGP, therefore this project cannot qualify for these experienced NP points.</v>
      </c>
    </row>
    <row r="2688" spans="1:18">
      <c r="B2688" s="748" t="s">
        <v>2922</v>
      </c>
    </row>
    <row r="2689" spans="1:18">
      <c r="A2689" s="748">
        <f>'Part IX A-Scoring Criteria'!A197</f>
        <v>0</v>
      </c>
    </row>
    <row r="2691" spans="1:18">
      <c r="A2691" s="748" t="s">
        <v>2113</v>
      </c>
      <c r="B2691" s="748" t="s">
        <v>2674</v>
      </c>
      <c r="J2691" s="748" t="s">
        <v>505</v>
      </c>
      <c r="M2691" s="748">
        <v>2</v>
      </c>
      <c r="O2691" s="748">
        <f>MIN($M2691,O2693+O2692)</f>
        <v>0</v>
      </c>
      <c r="P2691" s="748">
        <f>MIN($M2691,P2693+P2692)</f>
        <v>0</v>
      </c>
      <c r="Q2691" s="748" t="s">
        <v>652</v>
      </c>
    </row>
    <row r="2692" spans="1:18">
      <c r="A2692" s="748" t="s">
        <v>3060</v>
      </c>
      <c r="B2692" s="748" t="s">
        <v>4088</v>
      </c>
      <c r="L2692" s="748" t="str">
        <f>IF(OR($O2692=$M2692,$O2692=0,$O2692=""),"","* * Check Score! * *")</f>
        <v/>
      </c>
      <c r="M2692" s="748">
        <v>2</v>
      </c>
      <c r="N2692" s="748" t="s">
        <v>3060</v>
      </c>
      <c r="O2692" s="748">
        <f>'Part IX A-Scoring Criteria'!O200</f>
        <v>0</v>
      </c>
      <c r="P2692" s="748">
        <f>'Part IX A-Scoring Criteria'!P200</f>
        <v>0</v>
      </c>
      <c r="R2692" s="748" t="str">
        <f>IF(OR($O2692=$M2692,$O2692=0,$O2692=""),"","* * Check Score! * *")</f>
        <v/>
      </c>
    </row>
    <row r="2693" spans="1:18">
      <c r="A2693" s="748" t="s">
        <v>3063</v>
      </c>
      <c r="B2693" s="748" t="s">
        <v>4089</v>
      </c>
      <c r="M2693" s="748">
        <v>1</v>
      </c>
      <c r="N2693" s="748" t="s">
        <v>3063</v>
      </c>
      <c r="O2693" s="748">
        <f>'Part IX A-Scoring Criteria'!O201</f>
        <v>0</v>
      </c>
      <c r="P2693" s="748">
        <f>'Part IX A-Scoring Criteria'!P201</f>
        <v>0</v>
      </c>
      <c r="R2693" s="748" t="str">
        <f>IF(OR($O2693=$M2693,$O2693=0,$O2693=""),"","* * Check Score! * *")</f>
        <v/>
      </c>
    </row>
    <row r="2694" spans="1:18">
      <c r="B2694" s="748" t="s">
        <v>333</v>
      </c>
    </row>
    <row r="2695" spans="1:18">
      <c r="A2695" s="748">
        <f>'Part IX A-Scoring Criteria'!A203</f>
        <v>0</v>
      </c>
    </row>
    <row r="2696" spans="1:18">
      <c r="B2696" s="748" t="s">
        <v>2922</v>
      </c>
    </row>
    <row r="2697" spans="1:18">
      <c r="A2697" s="748">
        <f>'Part IX A-Scoring Criteria'!A205</f>
        <v>0</v>
      </c>
    </row>
    <row r="2699" spans="1:18">
      <c r="A2699" s="748" t="s">
        <v>2677</v>
      </c>
      <c r="B2699" s="748" t="s">
        <v>1038</v>
      </c>
      <c r="J2699" s="748" t="s">
        <v>3642</v>
      </c>
      <c r="L2699" s="748" t="str">
        <f>IF(OR($O2699=$M2699,$O2699=0,$O2699=2,$O2699=""),"","* * Check Score! * *")</f>
        <v/>
      </c>
      <c r="M2699" s="748">
        <v>3</v>
      </c>
      <c r="O2699" s="748">
        <f>IF(OR(AND(J2701=2,M2701=3),AND(J2701=0,M2701=3)),3,IF(AND(J2701=3,M2701=2),2,0))</f>
        <v>3</v>
      </c>
      <c r="P2699" s="748">
        <f>'Part IX A-Scoring Criteria'!P207</f>
        <v>0</v>
      </c>
      <c r="Q2699" s="748" t="s">
        <v>652</v>
      </c>
    </row>
    <row r="2700" spans="1:18" ht="13.15" customHeight="1">
      <c r="B2700" s="748" t="s">
        <v>1572</v>
      </c>
    </row>
    <row r="2701" spans="1:18">
      <c r="C2701" s="748" t="s">
        <v>952</v>
      </c>
      <c r="D2701" s="748" t="str">
        <f>'Part IX A-Scoring Criteria'!D209</f>
        <v>none</v>
      </c>
      <c r="I2701" s="748" t="s">
        <v>1573</v>
      </c>
      <c r="J2701" s="748">
        <f>'Part IX A-Scoring Criteria'!J209</f>
        <v>0</v>
      </c>
      <c r="L2701" s="748" t="s">
        <v>4090</v>
      </c>
      <c r="M2701" s="748">
        <f>'Part IX A-Scoring Criteria'!M209</f>
        <v>3</v>
      </c>
    </row>
    <row r="2702" spans="1:18">
      <c r="B2702" s="748" t="s">
        <v>333</v>
      </c>
      <c r="J2702" s="748" t="s">
        <v>2922</v>
      </c>
    </row>
    <row r="2703" spans="1:18">
      <c r="A2703" s="748">
        <f>'Part IX A-Scoring Criteria'!A211</f>
        <v>0</v>
      </c>
      <c r="J2703" s="748">
        <f>'Part IX A-Scoring Criteria'!J211</f>
        <v>0</v>
      </c>
    </row>
    <row r="2705" spans="1:17">
      <c r="A2705" s="748" t="s">
        <v>2679</v>
      </c>
      <c r="B2705" s="748" t="s">
        <v>2678</v>
      </c>
      <c r="L2705" s="748" t="str">
        <f>IF(OR($O2705=$M2705,$O2705=0,$O2705=""),"","* * Check Score! * *")</f>
        <v/>
      </c>
      <c r="M2705" s="748">
        <v>1</v>
      </c>
      <c r="O2705" s="748">
        <f>'Part IX A-Scoring Criteria'!O213</f>
        <v>0</v>
      </c>
      <c r="P2705" s="748">
        <f>'Part IX A-Scoring Criteria'!P213</f>
        <v>0</v>
      </c>
      <c r="Q2705" s="748" t="s">
        <v>652</v>
      </c>
    </row>
    <row r="2706" spans="1:17">
      <c r="B2706" s="748" t="s">
        <v>2893</v>
      </c>
      <c r="E2706" s="748" t="str">
        <f>'Part IX A-Scoring Criteria'!E214</f>
        <v>&lt;&lt;Select a DCA Community Initiative&gt;&gt;</v>
      </c>
      <c r="I2706" s="748" t="s">
        <v>2892</v>
      </c>
      <c r="O2706" s="748" t="s">
        <v>3795</v>
      </c>
      <c r="P2706" s="748" t="s">
        <v>3795</v>
      </c>
    </row>
    <row r="2707" spans="1:17">
      <c r="B2707" s="748" t="s">
        <v>3682</v>
      </c>
      <c r="C2707" s="748" t="s">
        <v>2680</v>
      </c>
      <c r="G2707" s="748" t="str">
        <f>'Part IX A-Scoring Criteria'!G215</f>
        <v>&lt; Select applicable GICH &gt;</v>
      </c>
      <c r="J2707" s="748" t="str">
        <f>'Part IX A-Scoring Criteria'!J215</f>
        <v>&lt;Select Community of Opportunity&gt;</v>
      </c>
      <c r="N2707" s="748" t="s">
        <v>3682</v>
      </c>
      <c r="O2707" s="748">
        <f>'Part IX A-Scoring Criteria'!O215</f>
        <v>0</v>
      </c>
      <c r="P2707" s="748">
        <f>'Part IX A-Scoring Criteria'!P215</f>
        <v>0</v>
      </c>
    </row>
    <row r="2708" spans="1:17">
      <c r="B2708" s="748" t="s">
        <v>3683</v>
      </c>
      <c r="C2708" s="748" t="s">
        <v>506</v>
      </c>
      <c r="N2708" s="748" t="s">
        <v>3683</v>
      </c>
      <c r="O2708" s="748">
        <f>'Part IX A-Scoring Criteria'!O216</f>
        <v>0</v>
      </c>
      <c r="P2708" s="748">
        <f>'Part IX A-Scoring Criteria'!P216</f>
        <v>0</v>
      </c>
    </row>
    <row r="2709" spans="1:17">
      <c r="B2709" s="748" t="s">
        <v>3684</v>
      </c>
      <c r="C2709" s="748" t="s">
        <v>2625</v>
      </c>
      <c r="N2709" s="748" t="s">
        <v>3684</v>
      </c>
      <c r="O2709" s="748">
        <f>'Part IX A-Scoring Criteria'!O217</f>
        <v>0</v>
      </c>
      <c r="P2709" s="748">
        <f>'Part IX A-Scoring Criteria'!P217</f>
        <v>0</v>
      </c>
    </row>
    <row r="2710" spans="1:17">
      <c r="B2710" s="748" t="s">
        <v>3685</v>
      </c>
      <c r="C2710" s="748" t="s">
        <v>3491</v>
      </c>
      <c r="N2710" s="748" t="s">
        <v>3685</v>
      </c>
      <c r="O2710" s="748">
        <f>'Part IX A-Scoring Criteria'!O218</f>
        <v>0</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2922</v>
      </c>
    </row>
    <row r="2716" spans="1:17">
      <c r="A2716" s="748">
        <f>'Part IX A-Scoring Criteria'!A224</f>
        <v>0</v>
      </c>
    </row>
    <row r="2717" spans="1:17">
      <c r="A2717" s="748">
        <f>'Part IX A-Scoring Criteria'!A225</f>
        <v>0</v>
      </c>
    </row>
    <row r="2719" spans="1:17">
      <c r="A2719" s="748" t="s">
        <v>2681</v>
      </c>
      <c r="B2719" s="748" t="s">
        <v>2894</v>
      </c>
      <c r="L2719" s="748" t="str">
        <f>IF(M2719&gt;14,"Over limit!","")</f>
        <v/>
      </c>
      <c r="M2719" s="748">
        <v>8</v>
      </c>
      <c r="O2719" s="748">
        <f>MIN($M2719,(O2727+O2737+O2739))</f>
        <v>0</v>
      </c>
      <c r="P2719" s="748">
        <f>MIN($M2719,(P2727+P2737+P2739))</f>
        <v>0</v>
      </c>
      <c r="Q2719" s="748" t="s">
        <v>652</v>
      </c>
    </row>
    <row r="2720" spans="1:17">
      <c r="B2720" s="748" t="s">
        <v>869</v>
      </c>
      <c r="L2720" s="748" t="str">
        <f>IF(M2720&gt;14,"Over limit!","")</f>
        <v/>
      </c>
      <c r="O2720" s="748" t="s">
        <v>3795</v>
      </c>
      <c r="P2720" s="748" t="s">
        <v>3795</v>
      </c>
    </row>
    <row r="2721" spans="1:18">
      <c r="B2721" s="748" t="s">
        <v>3064</v>
      </c>
      <c r="C2721" s="748" t="s">
        <v>870</v>
      </c>
      <c r="L2721" s="748" t="str">
        <f>IF(M2721&gt;14,"Over limit!","")</f>
        <v/>
      </c>
      <c r="N2721" s="748" t="s">
        <v>3064</v>
      </c>
      <c r="O2721" s="748">
        <f>'Part IX A-Scoring Criteria'!O229</f>
        <v>0</v>
      </c>
      <c r="P2721" s="748">
        <f>'Part IX A-Scoring Criteria'!P229</f>
        <v>0</v>
      </c>
    </row>
    <row r="2722" spans="1:18">
      <c r="B2722" s="748" t="s">
        <v>3066</v>
      </c>
      <c r="C2722" s="748" t="s">
        <v>871</v>
      </c>
      <c r="N2722" s="748" t="s">
        <v>3066</v>
      </c>
      <c r="O2722" s="748">
        <f>'Part IX A-Scoring Criteria'!O230</f>
        <v>0</v>
      </c>
      <c r="P2722" s="748">
        <f>'Part IX A-Scoring Criteria'!P230</f>
        <v>0</v>
      </c>
    </row>
    <row r="2723" spans="1:18">
      <c r="B2723" s="748" t="s">
        <v>3823</v>
      </c>
      <c r="C2723" s="748" t="s">
        <v>872</v>
      </c>
      <c r="N2723" s="748" t="s">
        <v>3823</v>
      </c>
      <c r="O2723" s="748">
        <f>'Part IX A-Scoring Criteria'!O231</f>
        <v>0</v>
      </c>
      <c r="P2723" s="748">
        <f>'Part IX A-Scoring Criteria'!P231</f>
        <v>0</v>
      </c>
    </row>
    <row r="2724" spans="1:18">
      <c r="B2724" s="748" t="s">
        <v>1886</v>
      </c>
      <c r="C2724" s="748" t="s">
        <v>873</v>
      </c>
      <c r="N2724" s="748" t="s">
        <v>1886</v>
      </c>
      <c r="O2724" s="748">
        <f>'Part IX A-Scoring Criteria'!O232</f>
        <v>0</v>
      </c>
      <c r="P2724" s="748">
        <f>'Part IX A-Scoring Criteria'!P232</f>
        <v>0</v>
      </c>
    </row>
    <row r="2725" spans="1:18">
      <c r="B2725" s="748" t="s">
        <v>1887</v>
      </c>
      <c r="C2725" s="748" t="s">
        <v>885</v>
      </c>
      <c r="N2725" s="748" t="s">
        <v>1887</v>
      </c>
      <c r="O2725" s="748">
        <f>'Part IX A-Scoring Criteria'!O233</f>
        <v>0</v>
      </c>
      <c r="P2725" s="748">
        <f>'Part IX A-Scoring Criteria'!P233</f>
        <v>0</v>
      </c>
    </row>
    <row r="2726" spans="1:18">
      <c r="L2726" s="748" t="str">
        <f>IF(M2726&gt;14,"Over limit!","")</f>
        <v/>
      </c>
    </row>
    <row r="2727" spans="1:18">
      <c r="A2727" s="748" t="s">
        <v>3060</v>
      </c>
      <c r="B2727" s="748" t="s">
        <v>2895</v>
      </c>
      <c r="M2727" s="748">
        <v>3</v>
      </c>
      <c r="N2727" s="748" t="s">
        <v>3060</v>
      </c>
      <c r="O2727" s="748">
        <f>MIN($M2727,SUM(O2728:O2735))</f>
        <v>0</v>
      </c>
      <c r="P2727" s="748">
        <f>MIN($M2727,SUM(P2728:P2735))</f>
        <v>0</v>
      </c>
    </row>
    <row r="2728" spans="1:18">
      <c r="B2728" s="748" t="s">
        <v>3064</v>
      </c>
      <c r="C2728" s="748" t="s">
        <v>2217</v>
      </c>
      <c r="H2728" s="748" t="s">
        <v>2218</v>
      </c>
      <c r="L2728" s="748" t="str">
        <f t="shared" ref="L2728:L2735" si="375">IF(OR($O2728=$M2728,$O2728=0,$O2728=""),"","* * Check Score! * *")</f>
        <v/>
      </c>
      <c r="M2728" s="748">
        <v>1</v>
      </c>
      <c r="N2728" s="748" t="s">
        <v>3064</v>
      </c>
      <c r="O2728" s="748">
        <f>'Part IX A-Scoring Criteria'!O236</f>
        <v>0</v>
      </c>
      <c r="P2728" s="748">
        <f>'Part IX A-Scoring Criteria'!P236</f>
        <v>0</v>
      </c>
      <c r="R2728" s="748" t="str">
        <f>IF(OR($O2728=$M2728,$O2728=0,$O2728=""),"","* * Check Score! * *")</f>
        <v/>
      </c>
    </row>
    <row r="2729" spans="1:18">
      <c r="B2729" s="748" t="s">
        <v>3066</v>
      </c>
      <c r="C2729" s="748" t="s">
        <v>2221</v>
      </c>
      <c r="H2729" s="748" t="s">
        <v>2218</v>
      </c>
      <c r="L2729" s="748" t="str">
        <f t="shared" si="375"/>
        <v/>
      </c>
      <c r="M2729" s="748">
        <v>1</v>
      </c>
      <c r="N2729" s="748" t="s">
        <v>3066</v>
      </c>
      <c r="O2729" s="748">
        <f>'Part IX A-Scoring Criteria'!O237</f>
        <v>0</v>
      </c>
      <c r="P2729" s="748">
        <f>'Part IX A-Scoring Criteria'!P237</f>
        <v>0</v>
      </c>
      <c r="R2729" s="748" t="str">
        <f t="shared" ref="R2729:R2735" si="376">IF(OR($O2729=$M2729,$O2729=0,$O2729=""),"","* * Check Score! * *")</f>
        <v/>
      </c>
    </row>
    <row r="2730" spans="1:18">
      <c r="B2730" s="748" t="s">
        <v>3823</v>
      </c>
      <c r="C2730" s="748" t="s">
        <v>2225</v>
      </c>
      <c r="H2730" s="748" t="s">
        <v>2218</v>
      </c>
      <c r="L2730" s="748" t="str">
        <f>IF(OR($O2730=$M2730,$O2730=0,$O2730=""),"","* * Check Score! * *")</f>
        <v/>
      </c>
      <c r="M2730" s="748">
        <v>1</v>
      </c>
      <c r="N2730" s="748" t="s">
        <v>3823</v>
      </c>
      <c r="O2730" s="748">
        <f>'Part IX A-Scoring Criteria'!O238</f>
        <v>0</v>
      </c>
      <c r="P2730" s="748">
        <f>'Part IX A-Scoring Criteria'!P238</f>
        <v>0</v>
      </c>
      <c r="R2730" s="748" t="str">
        <f>IF(OR($O2730=$M2730,$O2730=0,$O2730=""),"","* * Check Score! * *")</f>
        <v/>
      </c>
    </row>
    <row r="2731" spans="1:18">
      <c r="B2731" s="748" t="s">
        <v>1886</v>
      </c>
      <c r="C2731" s="748" t="s">
        <v>874</v>
      </c>
      <c r="L2731" s="748" t="str">
        <f t="shared" si="375"/>
        <v/>
      </c>
      <c r="M2731" s="748">
        <v>1</v>
      </c>
      <c r="N2731" s="748" t="s">
        <v>1886</v>
      </c>
      <c r="O2731" s="748">
        <f>'Part IX A-Scoring Criteria'!O239</f>
        <v>0</v>
      </c>
      <c r="P2731" s="748">
        <f>'Part IX A-Scoring Criteria'!P239</f>
        <v>0</v>
      </c>
      <c r="R2731" s="748" t="str">
        <f t="shared" si="376"/>
        <v/>
      </c>
    </row>
    <row r="2732" spans="1:18">
      <c r="B2732" s="748" t="s">
        <v>1887</v>
      </c>
      <c r="C2732" s="748" t="s">
        <v>2222</v>
      </c>
      <c r="H2732" s="748" t="s">
        <v>2219</v>
      </c>
      <c r="L2732" s="748" t="str">
        <f t="shared" si="375"/>
        <v/>
      </c>
      <c r="M2732" s="748">
        <v>2</v>
      </c>
      <c r="N2732" s="748" t="s">
        <v>1887</v>
      </c>
      <c r="O2732" s="748">
        <f>'Part IX A-Scoring Criteria'!O240</f>
        <v>0</v>
      </c>
      <c r="P2732" s="748">
        <f>'Part IX A-Scoring Criteria'!P240</f>
        <v>0</v>
      </c>
      <c r="R2732" s="748" t="str">
        <f t="shared" si="376"/>
        <v/>
      </c>
    </row>
    <row r="2733" spans="1:18">
      <c r="B2733" s="748" t="s">
        <v>2943</v>
      </c>
      <c r="C2733" s="748" t="s">
        <v>2223</v>
      </c>
      <c r="H2733" s="748" t="s">
        <v>2219</v>
      </c>
      <c r="L2733" s="748" t="str">
        <f t="shared" si="375"/>
        <v/>
      </c>
      <c r="M2733" s="748">
        <v>2</v>
      </c>
      <c r="N2733" s="748" t="s">
        <v>2943</v>
      </c>
      <c r="O2733" s="748">
        <f>'Part IX A-Scoring Criteria'!O241</f>
        <v>0</v>
      </c>
      <c r="P2733" s="748">
        <f>'Part IX A-Scoring Criteria'!P241</f>
        <v>0</v>
      </c>
      <c r="R2733" s="748" t="str">
        <f t="shared" si="376"/>
        <v/>
      </c>
    </row>
    <row r="2734" spans="1:18">
      <c r="B2734" s="748" t="s">
        <v>744</v>
      </c>
      <c r="C2734" s="748" t="s">
        <v>2224</v>
      </c>
      <c r="H2734" s="748" t="s">
        <v>2219</v>
      </c>
      <c r="L2734" s="748" t="str">
        <f t="shared" si="375"/>
        <v/>
      </c>
      <c r="M2734" s="748">
        <v>2</v>
      </c>
      <c r="N2734" s="748" t="s">
        <v>744</v>
      </c>
      <c r="O2734" s="748">
        <f>'Part IX A-Scoring Criteria'!O242</f>
        <v>0</v>
      </c>
      <c r="P2734" s="748">
        <f>'Part IX A-Scoring Criteria'!P242</f>
        <v>0</v>
      </c>
      <c r="R2734" s="748" t="str">
        <f t="shared" si="376"/>
        <v/>
      </c>
    </row>
    <row r="2735" spans="1:18">
      <c r="B2735" s="748" t="s">
        <v>745</v>
      </c>
      <c r="C2735" s="748" t="s">
        <v>2226</v>
      </c>
      <c r="H2735" s="748" t="s">
        <v>2220</v>
      </c>
      <c r="L2735" s="748" t="str">
        <f t="shared" si="375"/>
        <v/>
      </c>
      <c r="M2735" s="748">
        <v>3</v>
      </c>
      <c r="N2735" s="748" t="s">
        <v>745</v>
      </c>
      <c r="O2735" s="748">
        <f>'Part IX A-Scoring Criteria'!O243</f>
        <v>0</v>
      </c>
      <c r="P2735" s="748">
        <f>'Part IX A-Scoring Criteria'!P243</f>
        <v>0</v>
      </c>
      <c r="R2735" s="748" t="str">
        <f t="shared" si="376"/>
        <v/>
      </c>
    </row>
    <row r="2737" spans="1:18">
      <c r="A2737" s="748" t="s">
        <v>3063</v>
      </c>
      <c r="B2737" s="748" t="s">
        <v>2896</v>
      </c>
      <c r="H2737" s="748" t="s">
        <v>2897</v>
      </c>
      <c r="M2737" s="748">
        <v>3</v>
      </c>
      <c r="N2737" s="748" t="s">
        <v>3063</v>
      </c>
      <c r="O2737" s="748">
        <f>'Part IX A-Scoring Criteria'!O245</f>
        <v>0</v>
      </c>
      <c r="P2737" s="748">
        <f>'Part IX A-Scoring Criteria'!P245</f>
        <v>0</v>
      </c>
    </row>
    <row r="2739" spans="1:18">
      <c r="A2739" s="748" t="s">
        <v>1239</v>
      </c>
      <c r="B2739" s="748" t="s">
        <v>983</v>
      </c>
      <c r="L2739" s="748" t="str">
        <f>IF(OR($O2739=$M2739,$O2739=0,$O2739=""),"","* * Check Score! * *")</f>
        <v/>
      </c>
      <c r="M2739" s="748">
        <v>2</v>
      </c>
      <c r="N2739" s="748" t="s">
        <v>1239</v>
      </c>
      <c r="O2739" s="748">
        <f>'Part IX A-Scoring Criteria'!O247</f>
        <v>0</v>
      </c>
      <c r="P2739" s="748">
        <f>'Part IX A-Scoring Criteria'!P247</f>
        <v>0</v>
      </c>
      <c r="R2739" s="748" t="str">
        <f>IF(OR($O2739=$M2739,$O2739=0,$O2739=""),"","* * Check Score! * *")</f>
        <v/>
      </c>
    </row>
    <row r="2740" spans="1:18">
      <c r="B2740" s="748" t="s">
        <v>3064</v>
      </c>
      <c r="C2740" s="748" t="s">
        <v>984</v>
      </c>
      <c r="E2740" s="748">
        <f>'Part IX A-Scoring Criteria'!E248</f>
        <v>0</v>
      </c>
    </row>
    <row r="2741" spans="1:18">
      <c r="B2741" s="748" t="s">
        <v>3066</v>
      </c>
      <c r="C2741" s="748" t="s">
        <v>3561</v>
      </c>
      <c r="E2741" s="748">
        <f>'Part IX A-Scoring Criteria'!E249</f>
        <v>0</v>
      </c>
    </row>
    <row r="2742" spans="1:18">
      <c r="B2742" s="748" t="s">
        <v>3823</v>
      </c>
      <c r="C2742" s="748" t="s">
        <v>985</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2922</v>
      </c>
    </row>
    <row r="2748" spans="1:18">
      <c r="A2748" s="748">
        <f>'Part IX A-Scoring Criteria'!A256</f>
        <v>0</v>
      </c>
    </row>
    <row r="2749" spans="1:18">
      <c r="A2749" s="748">
        <f>'Part IX A-Scoring Criteria'!A257</f>
        <v>0</v>
      </c>
    </row>
    <row r="2751" spans="1:18">
      <c r="A2751" s="748" t="s">
        <v>2682</v>
      </c>
      <c r="B2751" s="748" t="s">
        <v>2683</v>
      </c>
      <c r="L2751" s="748" t="str">
        <f>IF(OR($O2751=$M2751,$O2751=0,$O2751=""),"","* * Check Score! * *")</f>
        <v/>
      </c>
      <c r="M2751" s="748">
        <v>6</v>
      </c>
      <c r="P2751" s="748">
        <f>'Part IX A-Scoring Criteria'!P259</f>
        <v>0</v>
      </c>
      <c r="Q2751" s="748" t="s">
        <v>652</v>
      </c>
      <c r="R2751" s="748" t="str">
        <f>IF(OR($O2751=$M2751,$O2751=0,$O2751=""),"","* * Check Score! * *")</f>
        <v/>
      </c>
    </row>
    <row r="2752" spans="1:18">
      <c r="B2752" s="748" t="s">
        <v>3517</v>
      </c>
      <c r="O2752" s="748">
        <f>'Part IX A-Scoring Criteria'!O260</f>
        <v>0</v>
      </c>
      <c r="P2752" s="748">
        <f>'Part IX A-Scoring Criteria'!P260</f>
        <v>0</v>
      </c>
    </row>
    <row r="2753" spans="1:18" ht="14.45" customHeight="1">
      <c r="B2753" s="748" t="s">
        <v>3518</v>
      </c>
      <c r="O2753" s="748">
        <f>'Part IX A-Scoring Criteria'!O261</f>
        <v>0</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2922</v>
      </c>
    </row>
    <row r="2758" spans="1:18">
      <c r="A2758" s="748">
        <f>'Part IX A-Scoring Criteria'!A266</f>
        <v>0</v>
      </c>
    </row>
    <row r="2759" spans="1:18">
      <c r="A2759" s="748">
        <f>'Part IX A-Scoring Criteria'!A267</f>
        <v>0</v>
      </c>
    </row>
    <row r="2760" spans="1:18">
      <c r="A2760" s="748">
        <f>'Part IX A-Scoring Criteria'!A268</f>
        <v>0</v>
      </c>
    </row>
    <row r="2762" spans="1:18">
      <c r="A2762" s="748" t="s">
        <v>2684</v>
      </c>
      <c r="B2762" s="748" t="s">
        <v>2686</v>
      </c>
      <c r="M2762" s="748">
        <v>6</v>
      </c>
      <c r="O2762" s="748">
        <f>MIN($M2762,O2764+O2763)</f>
        <v>6</v>
      </c>
      <c r="P2762" s="748">
        <f>MIN($M2762,P2764+P2763)</f>
        <v>0</v>
      </c>
      <c r="Q2762" s="748" t="s">
        <v>652</v>
      </c>
    </row>
    <row r="2763" spans="1:18">
      <c r="A2763" s="748" t="s">
        <v>3060</v>
      </c>
      <c r="B2763" s="748" t="s">
        <v>2688</v>
      </c>
      <c r="L2763" s="748" t="str">
        <f>IF(OR($O2763=$M2763,$O2763=0,$O2763=""),"","* * Check Score! * *")</f>
        <v/>
      </c>
      <c r="M2763" s="748">
        <v>3</v>
      </c>
      <c r="N2763" s="748" t="s">
        <v>3060</v>
      </c>
      <c r="O2763" s="748">
        <f>'Part IX A-Scoring Criteria'!O271</f>
        <v>3</v>
      </c>
      <c r="P2763" s="748">
        <f>'Part IX A-Scoring Criteria'!P271</f>
        <v>0</v>
      </c>
      <c r="R2763" s="748" t="str">
        <f>IF(OR($O2763=$M2763,$O2763=0,$O2763=""),"","* * Check Score! * *")</f>
        <v/>
      </c>
    </row>
    <row r="2764" spans="1:18">
      <c r="A2764" s="748" t="s">
        <v>3063</v>
      </c>
      <c r="B2764" s="748" t="s">
        <v>2689</v>
      </c>
      <c r="M2764" s="748">
        <v>3</v>
      </c>
      <c r="N2764" s="748" t="s">
        <v>3063</v>
      </c>
      <c r="O2764" s="748">
        <f>'Part IX A-Scoring Criteria'!O272</f>
        <v>3</v>
      </c>
      <c r="P2764" s="748">
        <f>'Part IX A-Scoring Criteria'!P272</f>
        <v>0</v>
      </c>
      <c r="R2764" s="748" t="str">
        <f>IF(OR($O2764=$M2764,$O2764=0,$O2764=""),"","* * Check Score! * *")</f>
        <v/>
      </c>
    </row>
    <row r="2765" spans="1:18" ht="14.45" customHeight="1">
      <c r="B2765" s="748" t="s">
        <v>3519</v>
      </c>
      <c r="O2765" s="748" t="str">
        <f>'Part IX A-Scoring Criteria'!O273</f>
        <v>Agree</v>
      </c>
      <c r="P2765" s="748">
        <f>'Part IX A-Scoring Criteria'!P273</f>
        <v>0</v>
      </c>
    </row>
    <row r="2766" spans="1:18">
      <c r="B2766" s="748" t="s">
        <v>333</v>
      </c>
    </row>
    <row r="2767" spans="1:18">
      <c r="A2767" s="748" t="str">
        <f>'Part IX A-Scoring Criteria'!A275</f>
        <v>Neither VOASE or VDC have Georgia properties that have stabilized and would need to comply with MITAS.</v>
      </c>
    </row>
    <row r="2768" spans="1:18">
      <c r="B2768" s="748" t="s">
        <v>2922</v>
      </c>
    </row>
    <row r="2769" spans="1:17">
      <c r="A2769" s="748">
        <f>'Part IX A-Scoring Criteria'!A277</f>
        <v>0</v>
      </c>
    </row>
    <row r="2771" spans="1:17">
      <c r="A2771" s="748" t="s">
        <v>2685</v>
      </c>
      <c r="B2771" s="748" t="s">
        <v>2687</v>
      </c>
      <c r="L2771" s="748" t="str">
        <f>IF(OR($O2771=$M2771,$O2771&lt;=0,$O2771=""),"","* * Check Score! * *")</f>
        <v/>
      </c>
      <c r="M2771" s="748">
        <v>10</v>
      </c>
      <c r="O2771" s="748">
        <f>O2775</f>
        <v>10</v>
      </c>
      <c r="P2771" s="748">
        <f>P2775</f>
        <v>0</v>
      </c>
      <c r="Q2771" s="748" t="s">
        <v>652</v>
      </c>
    </row>
    <row r="2773" spans="1:17">
      <c r="B2773" s="748" t="s">
        <v>3837</v>
      </c>
      <c r="O2773" s="748" t="str">
        <f>'Part IX A-Scoring Criteria'!O281</f>
        <v>No</v>
      </c>
      <c r="P2773" s="748">
        <f>'Part IX A-Scoring Criteria'!P281</f>
        <v>0</v>
      </c>
    </row>
    <row r="2775" spans="1:17">
      <c r="B2775" s="748" t="s">
        <v>3060</v>
      </c>
      <c r="C2775" s="748" t="s">
        <v>2161</v>
      </c>
      <c r="N2775" s="748" t="s">
        <v>3060</v>
      </c>
      <c r="O2775" s="748">
        <f>'Part IX A-Scoring Criteria'!O283</f>
        <v>10</v>
      </c>
      <c r="P2775" s="748">
        <f>'Part IX A-Scoring Criteria'!P283</f>
        <v>0</v>
      </c>
    </row>
    <row r="2777" spans="1:17">
      <c r="B2777" s="748" t="s">
        <v>3063</v>
      </c>
      <c r="C2777" s="748" t="s">
        <v>347</v>
      </c>
      <c r="N2777" s="748" t="s">
        <v>3063</v>
      </c>
      <c r="O2777" s="748" t="str">
        <f>'Part IX A-Scoring Criteria'!O285</f>
        <v>Pass</v>
      </c>
      <c r="P2777" s="748">
        <f>'Part IX A-Scoring Criteria'!P285</f>
        <v>0</v>
      </c>
    </row>
    <row r="2779" spans="1:17">
      <c r="B2779" s="748" t="s">
        <v>333</v>
      </c>
    </row>
    <row r="2780" spans="1:17" ht="15.6" customHeight="1">
      <c r="A2780" s="748">
        <f>'Part IX A-Scoring Criteria'!A288</f>
        <v>0</v>
      </c>
      <c r="Q2780" s="748" t="s">
        <v>1933</v>
      </c>
    </row>
    <row r="2781" spans="1:17">
      <c r="A2781" s="748">
        <f>'Part IX A-Scoring Criteria'!A289</f>
        <v>0</v>
      </c>
    </row>
    <row r="2782" spans="1:17">
      <c r="B2782" s="748" t="s">
        <v>2922</v>
      </c>
    </row>
    <row r="2783" spans="1:17" ht="15.6" customHeight="1">
      <c r="A2783" s="748">
        <f>'Part IX A-Scoring Criteria'!A291</f>
        <v>0</v>
      </c>
      <c r="Q2783" s="748" t="s">
        <v>1933</v>
      </c>
    </row>
    <row r="2784" spans="1:17">
      <c r="A2784" s="748">
        <f>'Part IX A-Scoring Criteria'!A292</f>
        <v>0</v>
      </c>
    </row>
    <row r="2786" spans="1:16">
      <c r="H2786" s="748" t="s">
        <v>543</v>
      </c>
      <c r="M2786" s="748">
        <f>M2498</f>
        <v>108</v>
      </c>
      <c r="O2786" s="748">
        <f>O2500+O2523+O2530+O2547+O2556+O2566+O2574+O2585+O2624+O2638+O2658+O2667+O2683+O2691+O2699+O2705+O2719+O2762+O2771</f>
        <v>57</v>
      </c>
      <c r="P2786" s="748">
        <f>P2500+P2523+P2530+P2547+P2556+P2566+P2574+P2585+P2624+P2638+P2658+P2667+P2683+P2691+P2699+P2705+P2719+P2751+P2762+P2771</f>
        <v>13</v>
      </c>
    </row>
    <row r="2791" spans="1:16">
      <c r="A2791" s="748" t="s">
        <v>804</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7" workbookViewId="0">
      <selection activeCell="A13" sqref="A13"/>
    </sheetView>
  </sheetViews>
  <sheetFormatPr defaultRowHeight="12.75"/>
  <cols>
    <col min="1" max="1" width="88.42578125" style="31" customWidth="1"/>
    <col min="2" max="16384" width="9.140625" style="31"/>
  </cols>
  <sheetData>
    <row r="1" spans="1:6" ht="15.75">
      <c r="A1" s="1146" t="s">
        <v>1591</v>
      </c>
    </row>
    <row r="2" spans="1:6" ht="16.5">
      <c r="A2" s="1147" t="str">
        <f>'Part I-Project Information'!F22</f>
        <v>Calypso</v>
      </c>
    </row>
    <row r="3" spans="1:6" ht="16.5">
      <c r="A3" s="1147" t="str">
        <f>CONCATENATE('Part I-Project Information'!F24,", ", 'Part I-Project Information'!J25," County")</f>
        <v>Palmetto, Fulton County</v>
      </c>
    </row>
    <row r="4" spans="1:6" ht="12" customHeight="1"/>
    <row r="5" spans="1:6" ht="252" customHeight="1">
      <c r="A5" s="1148" t="s">
        <v>4014</v>
      </c>
      <c r="B5" s="774" t="s">
        <v>1592</v>
      </c>
      <c r="C5" s="774"/>
      <c r="D5" s="774"/>
      <c r="E5" s="774"/>
      <c r="F5" s="774"/>
    </row>
    <row r="6" spans="1:6" ht="6.6" customHeight="1">
      <c r="A6" s="1149"/>
      <c r="B6" s="774"/>
      <c r="C6" s="774"/>
      <c r="D6" s="774"/>
      <c r="E6" s="774"/>
      <c r="F6" s="774"/>
    </row>
    <row r="7" spans="1:6" ht="81.75" customHeight="1">
      <c r="A7" s="1148" t="s">
        <v>4015</v>
      </c>
    </row>
    <row r="8" spans="1:6" ht="6.6" customHeight="1">
      <c r="A8" s="1149"/>
    </row>
    <row r="9" spans="1:6" ht="63" customHeight="1">
      <c r="A9" s="1148" t="s">
        <v>4016</v>
      </c>
    </row>
    <row r="10" spans="1:6" ht="6.6" customHeight="1">
      <c r="A10" s="1149"/>
    </row>
    <row r="11" spans="1:6" ht="12.75" customHeight="1">
      <c r="A11" s="1148" t="s">
        <v>4017</v>
      </c>
    </row>
    <row r="12" spans="1:6" ht="0.75" customHeight="1">
      <c r="A12" s="1149"/>
    </row>
    <row r="13" spans="1:6" ht="111" customHeight="1">
      <c r="A13" s="1148" t="s">
        <v>4018</v>
      </c>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D99" sqref="D99"/>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4" t="str">
        <f>CONCATENATE("PART ONE - PROJECT INFORMATION"," - ",$O$4," ",$F$22,", ",'Part I-Project Information'!F24,", ",'Part I-Project Information'!J25," County")</f>
        <v>PART ONE - PROJECT INFORMATION - 2011-043 Calypso, Palmetto, Fulton County</v>
      </c>
      <c r="B1" s="795"/>
      <c r="C1" s="795"/>
      <c r="D1" s="795"/>
      <c r="E1" s="795"/>
      <c r="F1" s="795"/>
      <c r="G1" s="795"/>
      <c r="H1" s="795"/>
      <c r="I1" s="795"/>
      <c r="J1" s="795"/>
      <c r="K1" s="795"/>
      <c r="L1" s="795"/>
      <c r="M1" s="795"/>
      <c r="N1" s="795"/>
      <c r="O1" s="795"/>
      <c r="P1" s="796"/>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3570</v>
      </c>
      <c r="B3" s="459"/>
      <c r="C3" s="459"/>
      <c r="D3" s="460"/>
      <c r="E3" s="401" t="s">
        <v>654</v>
      </c>
      <c r="L3" s="459"/>
      <c r="M3" s="798" t="s">
        <v>2730</v>
      </c>
      <c r="N3" s="798"/>
      <c r="O3" s="798"/>
      <c r="P3" s="798"/>
    </row>
    <row r="4" spans="1:16" s="458" customFormat="1" ht="12" customHeight="1" thickBot="1">
      <c r="A4" s="733"/>
      <c r="B4" s="461"/>
      <c r="C4" s="461"/>
      <c r="D4" s="462"/>
      <c r="E4" s="401" t="s">
        <v>655</v>
      </c>
      <c r="H4" s="723"/>
      <c r="I4" s="723"/>
      <c r="J4" s="723"/>
      <c r="M4" s="723"/>
      <c r="O4" s="1526" t="s">
        <v>4057</v>
      </c>
      <c r="P4" s="1527"/>
    </row>
    <row r="5" spans="1:16" s="458" customFormat="1" ht="12" customHeight="1">
      <c r="A5" s="733"/>
      <c r="B5" s="461"/>
      <c r="C5" s="461"/>
      <c r="D5" s="461"/>
      <c r="E5" s="723"/>
      <c r="H5" s="723"/>
      <c r="I5" s="723"/>
      <c r="J5" s="723"/>
      <c r="K5" s="395"/>
      <c r="M5" s="723"/>
    </row>
    <row r="6" spans="1:16" s="458" customFormat="1" ht="13.15" customHeight="1">
      <c r="A6" s="461" t="s">
        <v>951</v>
      </c>
      <c r="C6" s="461" t="s">
        <v>3590</v>
      </c>
      <c r="D6" s="418"/>
      <c r="E6" s="463"/>
      <c r="F6" s="464" t="s">
        <v>2741</v>
      </c>
      <c r="J6" s="788">
        <f>'Part IV-Uses of Funds'!J165</f>
        <v>949999.99</v>
      </c>
      <c r="K6" s="789"/>
    </row>
    <row r="7" spans="1:16" s="2" customFormat="1" ht="13.15" customHeight="1">
      <c r="A7" s="5"/>
      <c r="C7" s="5"/>
      <c r="D7" s="31"/>
      <c r="E7" s="563"/>
      <c r="F7" s="458" t="s">
        <v>1983</v>
      </c>
      <c r="J7" s="782">
        <f>'Part III A-Sources of Funds'!J5</f>
        <v>0</v>
      </c>
      <c r="K7" s="783"/>
      <c r="M7" s="458"/>
      <c r="N7" s="458"/>
      <c r="O7" s="458"/>
      <c r="P7" s="458"/>
    </row>
    <row r="8" spans="1:16" s="458" customFormat="1" ht="7.15" customHeight="1">
      <c r="A8" s="461"/>
      <c r="C8" s="461"/>
      <c r="D8" s="418"/>
      <c r="E8" s="463"/>
      <c r="F8" s="463"/>
      <c r="I8" s="465"/>
      <c r="N8" s="466"/>
    </row>
    <row r="9" spans="1:16" s="458" customFormat="1" ht="13.15" customHeight="1">
      <c r="A9" s="465" t="s">
        <v>1230</v>
      </c>
      <c r="C9" s="461" t="s">
        <v>3132</v>
      </c>
      <c r="F9" s="1170" t="s">
        <v>3920</v>
      </c>
      <c r="G9" s="1171"/>
      <c r="H9" s="1172"/>
      <c r="I9" s="1528" t="s">
        <v>1231</v>
      </c>
      <c r="J9" s="1444"/>
      <c r="K9" s="1445"/>
      <c r="L9" s="1445"/>
      <c r="M9" s="1445"/>
      <c r="N9" s="1445"/>
      <c r="O9" s="1445"/>
      <c r="P9" s="1446"/>
    </row>
    <row r="10" spans="1:16" s="458" customFormat="1" ht="7.15" customHeight="1">
      <c r="I10" s="418"/>
      <c r="J10" s="418"/>
      <c r="K10" s="418"/>
      <c r="L10" s="418"/>
      <c r="M10" s="418"/>
      <c r="N10" s="418"/>
      <c r="O10" s="418"/>
      <c r="P10" s="418"/>
    </row>
    <row r="11" spans="1:16" s="458" customFormat="1" ht="13.15" customHeight="1">
      <c r="A11" s="465" t="s">
        <v>1232</v>
      </c>
      <c r="B11" s="463"/>
      <c r="C11" s="461" t="s">
        <v>2207</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3442</v>
      </c>
      <c r="F13" s="1444" t="s">
        <v>3946</v>
      </c>
      <c r="G13" s="1445"/>
      <c r="H13" s="1445"/>
      <c r="I13" s="1445"/>
      <c r="J13" s="1445"/>
      <c r="K13" s="1445"/>
      <c r="L13" s="1446"/>
      <c r="M13" s="713" t="s">
        <v>3057</v>
      </c>
      <c r="N13" s="1444" t="s">
        <v>4035</v>
      </c>
      <c r="O13" s="1445"/>
      <c r="P13" s="1446"/>
    </row>
    <row r="14" spans="1:16" s="458" customFormat="1" ht="13.15" customHeight="1">
      <c r="C14" s="464" t="s">
        <v>3058</v>
      </c>
      <c r="F14" s="1444" t="s">
        <v>3936</v>
      </c>
      <c r="G14" s="1445"/>
      <c r="H14" s="1445"/>
      <c r="I14" s="1445"/>
      <c r="J14" s="1445"/>
      <c r="K14" s="1445"/>
      <c r="L14" s="1446"/>
      <c r="M14" s="713" t="s">
        <v>2747</v>
      </c>
      <c r="O14" s="1529">
        <v>8008594431</v>
      </c>
      <c r="P14" s="1530"/>
    </row>
    <row r="15" spans="1:16" s="458" customFormat="1" ht="13.15" customHeight="1">
      <c r="C15" s="464" t="s">
        <v>954</v>
      </c>
      <c r="F15" s="1459" t="s">
        <v>3937</v>
      </c>
      <c r="G15" s="1394"/>
      <c r="H15" s="1395"/>
      <c r="M15" s="713" t="s">
        <v>2834</v>
      </c>
      <c r="O15" s="1476">
        <v>2516662836</v>
      </c>
      <c r="P15" s="1478"/>
    </row>
    <row r="16" spans="1:16" s="458" customFormat="1" ht="13.15" customHeight="1">
      <c r="C16" s="464" t="s">
        <v>2831</v>
      </c>
      <c r="F16" s="1531" t="s">
        <v>1429</v>
      </c>
      <c r="I16" s="723" t="s">
        <v>3354</v>
      </c>
      <c r="J16" s="1479">
        <v>366091528</v>
      </c>
      <c r="K16" s="1532"/>
      <c r="M16" s="713" t="s">
        <v>3056</v>
      </c>
      <c r="O16" s="1476"/>
      <c r="P16" s="1478"/>
    </row>
    <row r="17" spans="1:16" s="458" customFormat="1" ht="13.15" customHeight="1">
      <c r="B17" s="721"/>
      <c r="C17" s="464" t="s">
        <v>2746</v>
      </c>
      <c r="F17" s="1476">
        <v>8008594431</v>
      </c>
      <c r="G17" s="1477"/>
      <c r="H17" s="1478"/>
      <c r="I17" s="717" t="s">
        <v>2745</v>
      </c>
      <c r="J17" s="1441"/>
      <c r="K17" s="723" t="s">
        <v>3061</v>
      </c>
      <c r="L17" s="1444" t="s">
        <v>3947</v>
      </c>
      <c r="M17" s="1445"/>
      <c r="N17" s="1445"/>
      <c r="O17" s="1445"/>
      <c r="P17" s="1446"/>
    </row>
    <row r="18" spans="1:16" s="458" customFormat="1" ht="13.15" customHeight="1">
      <c r="A18" s="461"/>
      <c r="B18" s="463"/>
      <c r="C18" s="441" t="s">
        <v>998</v>
      </c>
      <c r="D18" s="463"/>
      <c r="G18" s="463"/>
      <c r="H18" s="463"/>
      <c r="I18" s="467"/>
    </row>
    <row r="19" spans="1:16" s="458" customFormat="1" ht="7.15" customHeight="1">
      <c r="A19" s="733"/>
      <c r="B19" s="733"/>
      <c r="C19" s="468"/>
      <c r="D19" s="721"/>
      <c r="E19" s="721"/>
      <c r="F19" s="721"/>
      <c r="H19" s="723"/>
      <c r="I19" s="721"/>
      <c r="J19" s="468"/>
      <c r="K19" s="721"/>
      <c r="P19" s="469"/>
    </row>
    <row r="20" spans="1:16" s="458" customFormat="1" ht="13.15" customHeight="1">
      <c r="A20" s="465" t="s">
        <v>2824</v>
      </c>
      <c r="B20" s="461"/>
      <c r="C20" s="461" t="s">
        <v>2208</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952</v>
      </c>
      <c r="D22" s="470"/>
      <c r="F22" s="1483" t="s">
        <v>3922</v>
      </c>
      <c r="G22" s="1484"/>
      <c r="H22" s="1484"/>
      <c r="I22" s="1484"/>
      <c r="J22" s="1484"/>
      <c r="K22" s="1484"/>
      <c r="L22" s="1485"/>
      <c r="M22" s="713" t="s">
        <v>3300</v>
      </c>
      <c r="O22" s="1444" t="s">
        <v>4054</v>
      </c>
      <c r="P22" s="1446"/>
    </row>
    <row r="23" spans="1:16" s="458" customFormat="1" ht="13.15" customHeight="1">
      <c r="A23" s="471"/>
      <c r="B23" s="461"/>
      <c r="C23" s="458" t="s">
        <v>953</v>
      </c>
      <c r="D23" s="472"/>
      <c r="F23" s="1444" t="s">
        <v>3923</v>
      </c>
      <c r="G23" s="1445"/>
      <c r="H23" s="1445"/>
      <c r="I23" s="1445"/>
      <c r="J23" s="1445"/>
      <c r="K23" s="1445"/>
      <c r="L23" s="1446"/>
      <c r="M23" s="713" t="s">
        <v>3146</v>
      </c>
      <c r="O23" s="1444" t="s">
        <v>3924</v>
      </c>
      <c r="P23" s="1446"/>
    </row>
    <row r="24" spans="1:16" s="458" customFormat="1" ht="13.15" customHeight="1">
      <c r="A24" s="733"/>
      <c r="B24" s="461"/>
      <c r="C24" s="458" t="s">
        <v>954</v>
      </c>
      <c r="F24" s="1444" t="s">
        <v>860</v>
      </c>
      <c r="G24" s="1445"/>
      <c r="H24" s="1446"/>
      <c r="I24" s="723" t="s">
        <v>446</v>
      </c>
      <c r="J24" s="1479">
        <v>302681052</v>
      </c>
      <c r="K24" s="1532"/>
      <c r="L24" s="550" t="str">
        <f>IF(AND(NOT(F22=""),NOT(F24="Select from list"),J24=""),"Enter Zip!","")</f>
        <v/>
      </c>
      <c r="M24" s="713" t="s">
        <v>3416</v>
      </c>
      <c r="O24" s="1444">
        <v>8.99</v>
      </c>
      <c r="P24" s="1446"/>
    </row>
    <row r="25" spans="1:16" s="458" customFormat="1" ht="13.15" customHeight="1">
      <c r="A25" s="733"/>
      <c r="B25" s="461"/>
      <c r="C25" s="781" t="s">
        <v>3145</v>
      </c>
      <c r="D25" s="781"/>
      <c r="F25" s="1533" t="s">
        <v>3925</v>
      </c>
      <c r="I25" s="504" t="s">
        <v>955</v>
      </c>
      <c r="J25" s="1534" t="str">
        <f>IF($F$24="","",VLOOKUP($F$24,$N$183:$O$786,2,FALSE))</f>
        <v>Fulton</v>
      </c>
      <c r="K25" s="1535"/>
      <c r="M25" s="474" t="s">
        <v>3435</v>
      </c>
      <c r="O25" s="1444">
        <v>104</v>
      </c>
      <c r="P25" s="1536"/>
    </row>
    <row r="26" spans="1:16" s="458" customFormat="1" ht="13.15" customHeight="1">
      <c r="A26" s="733"/>
      <c r="B26" s="461"/>
      <c r="C26" s="458" t="s">
        <v>2314</v>
      </c>
      <c r="F26" s="1537" t="s">
        <v>3925</v>
      </c>
      <c r="G26" s="475"/>
      <c r="I26" s="466" t="s">
        <v>886</v>
      </c>
      <c r="J26" s="1538" t="str">
        <f>IF($F$24="","",VLOOKUP($J$25,$C$183:$H$342,3,FALSE))</f>
        <v>Atlanta-Sandy Springs-Marietta</v>
      </c>
      <c r="K26" s="1539"/>
      <c r="L26" s="1540"/>
      <c r="M26" s="713" t="s">
        <v>666</v>
      </c>
      <c r="N26" s="1541" t="s">
        <v>3924</v>
      </c>
      <c r="O26" s="466" t="s">
        <v>667</v>
      </c>
      <c r="P26" s="1541" t="s">
        <v>3924</v>
      </c>
    </row>
    <row r="27" spans="1:16" s="458" customFormat="1" ht="3" customHeight="1">
      <c r="A27" s="733"/>
      <c r="B27" s="461"/>
      <c r="C27" s="461"/>
      <c r="I27" s="464"/>
      <c r="J27" s="721"/>
      <c r="L27" s="732"/>
      <c r="M27" s="732"/>
      <c r="N27" s="732"/>
      <c r="O27" s="732"/>
      <c r="P27" s="732"/>
    </row>
    <row r="28" spans="1:16" s="458" customFormat="1" ht="13.15" customHeight="1">
      <c r="A28" s="733"/>
      <c r="B28" s="461"/>
      <c r="F28" s="797" t="s">
        <v>447</v>
      </c>
      <c r="G28" s="797"/>
      <c r="H28" s="797" t="s">
        <v>1226</v>
      </c>
      <c r="I28" s="797"/>
      <c r="J28" s="797" t="s">
        <v>1227</v>
      </c>
      <c r="K28" s="797"/>
      <c r="L28" s="468"/>
    </row>
    <row r="29" spans="1:16" s="458" customFormat="1" ht="13.15" customHeight="1">
      <c r="A29" s="733"/>
      <c r="B29" s="461"/>
      <c r="C29" s="458" t="s">
        <v>956</v>
      </c>
      <c r="D29" s="461"/>
      <c r="F29" s="1542">
        <v>13</v>
      </c>
      <c r="G29" s="1543"/>
      <c r="H29" s="1542">
        <v>35</v>
      </c>
      <c r="I29" s="1543"/>
      <c r="J29" s="1542">
        <v>65</v>
      </c>
      <c r="K29" s="1543"/>
    </row>
    <row r="30" spans="1:16" s="458" customFormat="1" ht="13.15" customHeight="1">
      <c r="A30" s="733"/>
      <c r="B30" s="461"/>
      <c r="C30" s="464" t="s">
        <v>1228</v>
      </c>
      <c r="F30" s="1542"/>
      <c r="G30" s="1543"/>
      <c r="H30" s="1542"/>
      <c r="I30" s="1543"/>
      <c r="J30" s="1542"/>
      <c r="K30" s="1543"/>
    </row>
    <row r="31" spans="1:16" s="458" customFormat="1" ht="3" customHeight="1">
      <c r="A31" s="733"/>
      <c r="B31" s="461"/>
      <c r="I31" s="732"/>
      <c r="J31" s="732"/>
      <c r="K31" s="732"/>
      <c r="M31" s="721"/>
      <c r="N31" s="721"/>
      <c r="O31" s="721"/>
      <c r="P31" s="721"/>
    </row>
    <row r="32" spans="1:16" s="458" customFormat="1" ht="13.15" customHeight="1">
      <c r="A32" s="733"/>
      <c r="B32" s="733"/>
      <c r="C32" s="461" t="s">
        <v>974</v>
      </c>
      <c r="F32" s="1544" t="s">
        <v>3926</v>
      </c>
      <c r="G32" s="1545"/>
      <c r="H32" s="1545"/>
      <c r="I32" s="1545"/>
      <c r="J32" s="1545"/>
      <c r="K32" s="1546"/>
      <c r="L32" s="476"/>
      <c r="M32" s="476"/>
      <c r="N32" s="476"/>
    </row>
    <row r="33" spans="1:19" s="458" customFormat="1" ht="13.15" customHeight="1">
      <c r="A33" s="733"/>
      <c r="B33" s="733"/>
      <c r="C33" s="458" t="s">
        <v>975</v>
      </c>
      <c r="F33" s="1547" t="s">
        <v>3927</v>
      </c>
      <c r="G33" s="1548"/>
      <c r="H33" s="1548"/>
      <c r="I33" s="1548"/>
      <c r="J33" s="1549"/>
      <c r="K33" s="477" t="s">
        <v>3057</v>
      </c>
      <c r="L33" s="1544" t="s">
        <v>3929</v>
      </c>
      <c r="M33" s="1545"/>
      <c r="N33" s="1546"/>
    </row>
    <row r="34" spans="1:19" s="458" customFormat="1" ht="13.15" customHeight="1">
      <c r="A34" s="733"/>
      <c r="B34" s="733"/>
      <c r="C34" s="458" t="s">
        <v>3058</v>
      </c>
      <c r="F34" s="1544" t="s">
        <v>3928</v>
      </c>
      <c r="G34" s="1545"/>
      <c r="H34" s="1545"/>
      <c r="I34" s="1545"/>
      <c r="J34" s="1546"/>
      <c r="K34" s="478" t="s">
        <v>954</v>
      </c>
      <c r="L34" s="1444" t="s">
        <v>860</v>
      </c>
      <c r="M34" s="1445"/>
      <c r="N34" s="1446"/>
    </row>
    <row r="35" spans="1:19" s="458" customFormat="1" ht="13.15" customHeight="1">
      <c r="A35" s="733"/>
      <c r="B35" s="733"/>
      <c r="C35" s="713" t="s">
        <v>3354</v>
      </c>
      <c r="F35" s="1550">
        <v>302681214</v>
      </c>
      <c r="G35" s="1551"/>
      <c r="H35" s="717" t="s">
        <v>3059</v>
      </c>
      <c r="I35" s="1482">
        <v>7704633377</v>
      </c>
      <c r="J35" s="1552"/>
      <c r="K35" s="1553"/>
      <c r="L35" s="717" t="s">
        <v>2834</v>
      </c>
      <c r="M35" s="1482">
        <v>7704632890</v>
      </c>
      <c r="N35" s="1553"/>
    </row>
    <row r="36" spans="1:19" s="458" customFormat="1" ht="7.15" customHeight="1">
      <c r="A36" s="733"/>
      <c r="B36" s="733"/>
      <c r="C36" s="479"/>
      <c r="D36" s="480"/>
      <c r="E36" s="480"/>
      <c r="F36" s="723"/>
      <c r="G36" s="723"/>
      <c r="H36" s="723"/>
      <c r="I36" s="723"/>
      <c r="J36" s="480"/>
      <c r="K36" s="723"/>
      <c r="L36" s="723"/>
      <c r="N36" s="721"/>
      <c r="O36" s="721"/>
      <c r="P36" s="469"/>
    </row>
    <row r="37" spans="1:19" s="458" customFormat="1" ht="13.15" customHeight="1">
      <c r="A37" s="465" t="s">
        <v>2826</v>
      </c>
      <c r="C37" s="461" t="s">
        <v>2209</v>
      </c>
      <c r="F37" s="481"/>
      <c r="I37" s="464"/>
      <c r="J37" s="683" t="s">
        <v>1975</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3060</v>
      </c>
      <c r="C39" s="461" t="s">
        <v>3437</v>
      </c>
      <c r="F39" s="1441" t="s">
        <v>3924</v>
      </c>
      <c r="J39" s="605" t="s">
        <v>1972</v>
      </c>
      <c r="K39" s="721"/>
      <c r="L39" s="780" t="s">
        <v>1973</v>
      </c>
      <c r="M39" s="780"/>
      <c r="N39" s="780"/>
      <c r="O39" s="780"/>
      <c r="P39" s="606"/>
    </row>
    <row r="40" spans="1:19" s="458" customFormat="1" ht="3" customHeight="1">
      <c r="A40" s="733"/>
      <c r="J40" s="605"/>
      <c r="K40" s="732"/>
      <c r="L40" s="721"/>
      <c r="M40" s="732"/>
      <c r="N40" s="732"/>
      <c r="O40" s="732"/>
      <c r="P40" s="607"/>
    </row>
    <row r="41" spans="1:19" s="458" customFormat="1" ht="13.15" customHeight="1">
      <c r="A41" s="733"/>
      <c r="B41" s="733" t="s">
        <v>3063</v>
      </c>
      <c r="C41" s="461" t="s">
        <v>1084</v>
      </c>
      <c r="J41" s="608" t="s">
        <v>1976</v>
      </c>
      <c r="K41" s="609"/>
      <c r="L41" s="784" t="s">
        <v>1971</v>
      </c>
      <c r="M41" s="784"/>
      <c r="N41" s="784"/>
      <c r="O41" s="784"/>
      <c r="P41" s="785"/>
      <c r="Q41" s="723"/>
    </row>
    <row r="42" spans="1:19" ht="13.15" customHeight="1">
      <c r="B42" s="733"/>
      <c r="C42" s="458" t="s">
        <v>3436</v>
      </c>
      <c r="D42" s="458"/>
      <c r="E42" s="458"/>
      <c r="F42" s="483">
        <f>'Part VI-Revenues &amp; Expenses'!$M$75</f>
        <v>62</v>
      </c>
      <c r="J42" s="398"/>
      <c r="L42" s="458"/>
      <c r="Q42" s="723"/>
    </row>
    <row r="43" spans="1:19" s="458" customFormat="1" ht="13.15" customHeight="1">
      <c r="A43" s="733"/>
      <c r="B43" s="733"/>
      <c r="C43" s="464" t="s">
        <v>469</v>
      </c>
      <c r="D43" s="721"/>
      <c r="F43" s="483">
        <f>'Part VI-Revenues &amp; Expenses'!$M$82</f>
        <v>0</v>
      </c>
      <c r="Q43" s="723"/>
    </row>
    <row r="44" spans="1:19" s="458" customFormat="1" ht="13.15" customHeight="1">
      <c r="A44" s="733"/>
      <c r="B44" s="733"/>
      <c r="C44" s="464" t="s">
        <v>443</v>
      </c>
      <c r="D44" s="721"/>
      <c r="F44" s="483">
        <f>'Part VI-Revenues &amp; Expenses'!$M$78</f>
        <v>0</v>
      </c>
      <c r="G44" s="458" t="s">
        <v>445</v>
      </c>
      <c r="L44" s="1554"/>
      <c r="M44" s="482"/>
      <c r="N44" s="482"/>
      <c r="O44" s="482"/>
      <c r="P44" s="482"/>
      <c r="Q44" s="723"/>
    </row>
    <row r="45" spans="1:19" s="458" customFormat="1" ht="13.15" customHeight="1">
      <c r="A45" s="733"/>
      <c r="B45" s="733"/>
      <c r="C45" s="484" t="s">
        <v>444</v>
      </c>
      <c r="F45" s="483">
        <f>'Part VI-Revenues &amp; Expenses'!$M$81</f>
        <v>0</v>
      </c>
      <c r="L45" s="482"/>
    </row>
    <row r="46" spans="1:19" s="458" customFormat="1" ht="13.15" customHeight="1">
      <c r="A46" s="733"/>
      <c r="B46" s="733"/>
      <c r="C46" s="484" t="s">
        <v>470</v>
      </c>
      <c r="F46" s="483">
        <f>'Part VI-Revenues &amp; Expenses'!$M$83</f>
        <v>0</v>
      </c>
      <c r="P46" s="721"/>
    </row>
    <row r="47" spans="1:19" s="458" customFormat="1" ht="3.6" customHeight="1">
      <c r="A47" s="733"/>
      <c r="P47" s="721"/>
    </row>
    <row r="48" spans="1:19" s="458" customFormat="1" ht="13.15" customHeight="1">
      <c r="A48" s="733"/>
      <c r="B48" s="471" t="s">
        <v>1239</v>
      </c>
      <c r="C48" s="470" t="s">
        <v>3408</v>
      </c>
      <c r="D48" s="721"/>
      <c r="I48" s="799" t="s">
        <v>2131</v>
      </c>
      <c r="J48" s="471" t="s">
        <v>3212</v>
      </c>
      <c r="K48" s="485" t="s">
        <v>3443</v>
      </c>
      <c r="M48" s="721"/>
      <c r="N48" s="721"/>
      <c r="O48" s="721"/>
      <c r="P48" s="723"/>
      <c r="Q48" s="723"/>
      <c r="R48" s="723"/>
      <c r="S48" s="721"/>
    </row>
    <row r="49" spans="1:16" s="458" customFormat="1" ht="13.15" customHeight="1">
      <c r="A49" s="733"/>
      <c r="B49" s="715"/>
      <c r="C49" s="468" t="s">
        <v>3409</v>
      </c>
      <c r="D49" s="721"/>
      <c r="E49" s="721"/>
      <c r="H49" s="486">
        <f>SUM(H50:H51)</f>
        <v>62</v>
      </c>
      <c r="I49" s="800"/>
      <c r="J49" s="733"/>
      <c r="K49" s="468" t="s">
        <v>3444</v>
      </c>
      <c r="M49" s="721"/>
      <c r="N49" s="721"/>
      <c r="O49" s="721"/>
      <c r="P49" s="486">
        <f>'Part VI-Revenues &amp; Expenses'!$M$94</f>
        <v>82440</v>
      </c>
    </row>
    <row r="50" spans="1:16" s="458" customFormat="1" ht="13.15" customHeight="1">
      <c r="A50" s="733"/>
      <c r="B50" s="482"/>
      <c r="D50" s="487" t="s">
        <v>490</v>
      </c>
      <c r="E50" s="487"/>
      <c r="H50" s="486">
        <f>'Part VI-Revenues &amp; Expenses'!$M$58</f>
        <v>10</v>
      </c>
      <c r="I50" s="486">
        <f>'Part VI-Revenues &amp; Expenses'!$M$66</f>
        <v>0</v>
      </c>
      <c r="K50" s="468" t="s">
        <v>326</v>
      </c>
      <c r="M50" s="721"/>
      <c r="N50" s="721"/>
      <c r="O50" s="721"/>
      <c r="P50" s="486">
        <f>'Part VI-Revenues &amp; Expenses'!$M$95</f>
        <v>0</v>
      </c>
    </row>
    <row r="51" spans="1:16" s="458" customFormat="1" ht="13.15" customHeight="1">
      <c r="A51" s="733"/>
      <c r="D51" s="487" t="s">
        <v>2864</v>
      </c>
      <c r="E51" s="487"/>
      <c r="H51" s="486">
        <f>'Part VI-Revenues &amp; Expenses'!$M$57</f>
        <v>52</v>
      </c>
      <c r="I51" s="486">
        <f>'Part VI-Revenues &amp; Expenses'!$M$65</f>
        <v>0</v>
      </c>
      <c r="K51" s="468" t="s">
        <v>3445</v>
      </c>
      <c r="M51" s="721"/>
      <c r="N51" s="721"/>
      <c r="O51" s="721"/>
      <c r="P51" s="486">
        <f>+P49+P50</f>
        <v>82440</v>
      </c>
    </row>
    <row r="52" spans="1:16" s="458" customFormat="1" ht="13.15" customHeight="1">
      <c r="A52" s="733"/>
      <c r="C52" s="468" t="s">
        <v>327</v>
      </c>
      <c r="D52" s="721"/>
      <c r="E52" s="721"/>
      <c r="H52" s="486">
        <f>'Part VI-Revenues &amp; Expenses'!$M$60</f>
        <v>0</v>
      </c>
      <c r="J52" s="733"/>
      <c r="K52" s="468" t="s">
        <v>2134</v>
      </c>
      <c r="M52" s="721"/>
      <c r="N52" s="721"/>
      <c r="O52" s="721"/>
      <c r="P52" s="486">
        <f>'Part VI-Revenues &amp; Expenses'!$M$97</f>
        <v>0</v>
      </c>
    </row>
    <row r="53" spans="1:16" s="458" customFormat="1" ht="13.15" customHeight="1">
      <c r="A53" s="733"/>
      <c r="C53" s="468" t="s">
        <v>3650</v>
      </c>
      <c r="D53" s="721"/>
      <c r="E53" s="721"/>
      <c r="H53" s="486">
        <f>+H49+H52</f>
        <v>62</v>
      </c>
      <c r="J53" s="733"/>
      <c r="K53" s="468" t="s">
        <v>2133</v>
      </c>
      <c r="M53" s="721"/>
      <c r="N53" s="721"/>
      <c r="O53" s="721"/>
      <c r="P53" s="486">
        <f>+P51+P52</f>
        <v>82440</v>
      </c>
    </row>
    <row r="54" spans="1:16" s="458" customFormat="1" ht="13.15" customHeight="1">
      <c r="A54" s="733"/>
      <c r="C54" s="468" t="s">
        <v>3651</v>
      </c>
      <c r="D54" s="721"/>
      <c r="E54" s="721"/>
      <c r="H54" s="486">
        <f>'Part VI-Revenues &amp; Expenses'!$M$62</f>
        <v>0</v>
      </c>
      <c r="J54" s="733"/>
    </row>
    <row r="55" spans="1:16" s="458" customFormat="1" ht="13.15" customHeight="1">
      <c r="A55" s="733"/>
      <c r="C55" s="468" t="s">
        <v>2825</v>
      </c>
      <c r="D55" s="721"/>
      <c r="E55" s="721"/>
      <c r="H55" s="486">
        <f>+H53+H54</f>
        <v>62</v>
      </c>
      <c r="J55" s="721"/>
    </row>
    <row r="56" spans="1:16" s="458" customFormat="1" ht="3" customHeight="1">
      <c r="A56" s="733"/>
      <c r="I56" s="723"/>
      <c r="L56" s="723"/>
      <c r="M56" s="723"/>
      <c r="N56" s="721"/>
      <c r="P56" s="469"/>
    </row>
    <row r="57" spans="1:16" s="458" customFormat="1" ht="13.15" customHeight="1">
      <c r="A57" s="733"/>
      <c r="B57" s="733" t="s">
        <v>2763</v>
      </c>
      <c r="C57" s="470" t="s">
        <v>3438</v>
      </c>
      <c r="D57" s="487" t="s">
        <v>3074</v>
      </c>
      <c r="G57" s="721"/>
      <c r="H57" s="1555">
        <v>8</v>
      </c>
      <c r="K57" s="468" t="s">
        <v>1760</v>
      </c>
      <c r="O57" s="721"/>
      <c r="P57" s="1555">
        <v>2750</v>
      </c>
    </row>
    <row r="58" spans="1:16" s="458" customFormat="1" ht="13.15" customHeight="1">
      <c r="A58" s="733"/>
      <c r="B58" s="733"/>
      <c r="D58" s="715" t="s">
        <v>3075</v>
      </c>
      <c r="H58" s="1555">
        <v>1</v>
      </c>
      <c r="I58" s="721"/>
      <c r="K58" s="468" t="s">
        <v>325</v>
      </c>
      <c r="O58" s="721"/>
      <c r="P58" s="486">
        <f>+P53+P57</f>
        <v>85190</v>
      </c>
    </row>
    <row r="59" spans="1:16" s="458" customFormat="1" ht="13.15" customHeight="1">
      <c r="A59" s="733"/>
      <c r="B59" s="733"/>
      <c r="D59" s="715" t="s">
        <v>3076</v>
      </c>
      <c r="H59" s="486">
        <f>+H57+H58</f>
        <v>9</v>
      </c>
      <c r="I59" s="721"/>
    </row>
    <row r="60" spans="1:16" s="458" customFormat="1" ht="3" customHeight="1">
      <c r="A60" s="733"/>
      <c r="B60" s="733"/>
      <c r="C60" s="721"/>
      <c r="D60" s="721"/>
      <c r="E60" s="721"/>
      <c r="F60" s="721"/>
      <c r="G60" s="723"/>
      <c r="I60" s="468"/>
      <c r="J60" s="721"/>
      <c r="P60" s="469"/>
    </row>
    <row r="61" spans="1:16" s="458" customFormat="1" ht="13.15" customHeight="1">
      <c r="A61" s="733"/>
      <c r="B61" s="733" t="s">
        <v>2764</v>
      </c>
      <c r="C61" s="470" t="s">
        <v>1085</v>
      </c>
      <c r="D61" s="721"/>
      <c r="E61" s="721"/>
      <c r="F61" s="721"/>
      <c r="G61" s="721"/>
      <c r="H61" s="1555">
        <f>62*1.5</f>
        <v>93</v>
      </c>
    </row>
    <row r="62" spans="1:16" s="458" customFormat="1" ht="9" customHeight="1">
      <c r="A62" s="733"/>
      <c r="B62" s="733"/>
      <c r="C62" s="468"/>
      <c r="D62" s="721"/>
      <c r="E62" s="721"/>
      <c r="F62" s="721"/>
      <c r="G62" s="723"/>
      <c r="H62" s="721"/>
      <c r="I62" s="468"/>
      <c r="J62" s="468"/>
      <c r="K62" s="721"/>
      <c r="P62" s="469"/>
    </row>
    <row r="63" spans="1:16" s="458" customFormat="1" ht="13.15" customHeight="1">
      <c r="A63" s="733" t="s">
        <v>823</v>
      </c>
      <c r="C63" s="488" t="s">
        <v>1837</v>
      </c>
      <c r="D63" s="488"/>
      <c r="E63" s="488"/>
      <c r="F63" s="721"/>
      <c r="G63" s="723"/>
      <c r="K63" s="721"/>
      <c r="P63" s="469"/>
    </row>
    <row r="64" spans="1:16" s="458" customFormat="1" ht="3" customHeight="1">
      <c r="A64" s="733"/>
      <c r="C64" s="716"/>
      <c r="D64" s="716"/>
      <c r="E64" s="716"/>
      <c r="F64" s="721"/>
      <c r="G64" s="723"/>
      <c r="K64" s="721"/>
      <c r="P64" s="469"/>
    </row>
    <row r="65" spans="1:16" s="458" customFormat="1" ht="13.15" customHeight="1">
      <c r="A65" s="733"/>
      <c r="B65" s="733" t="s">
        <v>3060</v>
      </c>
      <c r="C65" s="395" t="s">
        <v>2273</v>
      </c>
      <c r="D65" s="716"/>
      <c r="E65" s="716"/>
      <c r="F65" s="721"/>
      <c r="G65" s="723"/>
      <c r="H65" s="1556" t="s">
        <v>3930</v>
      </c>
      <c r="I65" s="1557"/>
      <c r="K65" s="781" t="s">
        <v>2802</v>
      </c>
      <c r="L65" s="781"/>
      <c r="N65" s="1444"/>
      <c r="O65" s="1445"/>
      <c r="P65" s="1446"/>
    </row>
    <row r="66" spans="1:16" s="458" customFormat="1" ht="3" customHeight="1">
      <c r="A66" s="733"/>
      <c r="B66" s="733"/>
      <c r="D66" s="715"/>
      <c r="E66" s="715"/>
      <c r="F66" s="715"/>
      <c r="G66" s="715"/>
      <c r="I66" s="723"/>
      <c r="K66" s="713"/>
      <c r="L66" s="713"/>
      <c r="M66" s="723"/>
      <c r="N66" s="721"/>
      <c r="P66" s="469"/>
    </row>
    <row r="67" spans="1:16" s="458" customFormat="1" ht="13.15" customHeight="1">
      <c r="A67" s="733"/>
      <c r="B67" s="733" t="s">
        <v>3063</v>
      </c>
      <c r="C67" s="470" t="s">
        <v>2122</v>
      </c>
      <c r="D67" s="721"/>
      <c r="E67" s="487"/>
      <c r="G67" s="489" t="s">
        <v>1379</v>
      </c>
      <c r="H67" s="1555">
        <v>4</v>
      </c>
      <c r="K67" s="781" t="s">
        <v>813</v>
      </c>
      <c r="L67" s="781"/>
      <c r="P67" s="490">
        <f>IF('Part VI-Revenues &amp; Expenses'!$M$63=0,0,$H67/'Part VI-Revenues &amp; Expenses'!$M$63)</f>
        <v>6.4516129032258063E-2</v>
      </c>
    </row>
    <row r="68" spans="1:16" s="458" customFormat="1" ht="3" customHeight="1">
      <c r="A68" s="733"/>
      <c r="B68" s="733"/>
      <c r="D68" s="715"/>
      <c r="E68" s="715"/>
      <c r="F68" s="715"/>
      <c r="G68" s="715"/>
      <c r="I68" s="723"/>
      <c r="K68" s="713"/>
      <c r="L68" s="713"/>
      <c r="M68" s="723"/>
      <c r="P68" s="723"/>
    </row>
    <row r="69" spans="1:16" s="458" customFormat="1" ht="13.15" customHeight="1">
      <c r="A69" s="733"/>
      <c r="B69" s="733" t="s">
        <v>1239</v>
      </c>
      <c r="C69" s="470" t="s">
        <v>2891</v>
      </c>
      <c r="D69" s="487"/>
      <c r="E69" s="487"/>
      <c r="G69" s="489" t="s">
        <v>1379</v>
      </c>
      <c r="H69" s="1555">
        <v>2</v>
      </c>
      <c r="K69" s="781" t="s">
        <v>813</v>
      </c>
      <c r="L69" s="781"/>
      <c r="P69" s="490">
        <f>IF('Part VI-Revenues &amp; Expenses'!$M$63=0,0,$H69/'Part VI-Revenues &amp; Expenses'!$M$63)</f>
        <v>3.2258064516129031E-2</v>
      </c>
    </row>
    <row r="70" spans="1:16" s="458" customFormat="1" ht="3" customHeight="1">
      <c r="A70" s="733"/>
      <c r="B70" s="733"/>
      <c r="D70" s="715"/>
      <c r="E70" s="715"/>
      <c r="F70" s="715"/>
      <c r="G70" s="715"/>
      <c r="I70" s="723"/>
      <c r="K70" s="713"/>
      <c r="L70" s="713"/>
      <c r="M70" s="723"/>
      <c r="P70" s="723"/>
    </row>
    <row r="71" spans="1:16" s="458" customFormat="1" ht="13.15" customHeight="1">
      <c r="A71" s="733"/>
      <c r="B71" s="733" t="s">
        <v>3212</v>
      </c>
      <c r="C71" s="470" t="s">
        <v>1978</v>
      </c>
      <c r="D71" s="487"/>
      <c r="E71" s="487"/>
      <c r="G71" s="489" t="s">
        <v>1979</v>
      </c>
      <c r="H71" s="1555"/>
      <c r="K71" s="781" t="s">
        <v>813</v>
      </c>
      <c r="L71" s="781"/>
      <c r="P71" s="490">
        <f>IF('Part VI-Revenues &amp; Expenses'!$M$63=0,0,$H71/'Part VI-Revenues &amp; Expenses'!$M$63)</f>
        <v>0</v>
      </c>
    </row>
    <row r="72" spans="1:16" s="458" customFormat="1" ht="9" customHeight="1">
      <c r="A72" s="733"/>
      <c r="B72" s="733"/>
      <c r="D72" s="715"/>
      <c r="E72" s="715"/>
      <c r="F72" s="715"/>
      <c r="G72" s="715"/>
      <c r="I72" s="723"/>
      <c r="J72" s="723"/>
      <c r="K72" s="723"/>
      <c r="L72" s="723"/>
      <c r="M72" s="723"/>
      <c r="N72" s="721"/>
      <c r="P72" s="469"/>
    </row>
    <row r="73" spans="1:16" s="458" customFormat="1" ht="13.15" customHeight="1">
      <c r="A73" s="491" t="s">
        <v>1348</v>
      </c>
      <c r="B73" s="733"/>
      <c r="C73" s="716" t="s">
        <v>3592</v>
      </c>
      <c r="D73" s="715"/>
      <c r="E73" s="715"/>
      <c r="F73" s="715"/>
      <c r="G73" s="715"/>
      <c r="H73" s="715"/>
      <c r="I73" s="723"/>
      <c r="M73" s="723"/>
      <c r="N73" s="721"/>
      <c r="P73" s="469"/>
    </row>
    <row r="74" spans="1:16" s="458" customFormat="1" ht="3" customHeight="1">
      <c r="A74" s="733"/>
      <c r="B74" s="733"/>
      <c r="C74" s="716"/>
      <c r="D74" s="715"/>
      <c r="E74" s="715"/>
      <c r="F74" s="715"/>
      <c r="L74" s="723"/>
      <c r="M74" s="723"/>
      <c r="N74" s="721"/>
      <c r="P74" s="469"/>
    </row>
    <row r="75" spans="1:16" s="458" customFormat="1" ht="13.15" customHeight="1">
      <c r="A75" s="733"/>
      <c r="B75" s="733" t="s">
        <v>3060</v>
      </c>
      <c r="C75" s="395" t="s">
        <v>3591</v>
      </c>
      <c r="D75" s="715"/>
      <c r="E75" s="715"/>
      <c r="F75" s="715"/>
      <c r="H75" s="1558" t="s">
        <v>1461</v>
      </c>
      <c r="I75" s="1559"/>
      <c r="J75" s="1560"/>
      <c r="M75" s="723"/>
      <c r="N75" s="721"/>
      <c r="P75" s="469"/>
    </row>
    <row r="76" spans="1:16" s="458" customFormat="1" ht="3" customHeight="1">
      <c r="A76" s="733"/>
      <c r="B76" s="733"/>
      <c r="D76" s="715"/>
      <c r="E76" s="715"/>
      <c r="F76" s="715"/>
      <c r="G76" s="715"/>
      <c r="I76" s="723"/>
      <c r="J76" s="723"/>
      <c r="K76" s="723"/>
      <c r="L76" s="723"/>
      <c r="M76" s="723"/>
      <c r="N76" s="721"/>
      <c r="P76" s="469"/>
    </row>
    <row r="77" spans="1:16" s="458" customFormat="1" ht="13.15" customHeight="1">
      <c r="B77" s="733" t="s">
        <v>3063</v>
      </c>
      <c r="C77" s="461" t="s">
        <v>2286</v>
      </c>
      <c r="K77" s="464" t="s">
        <v>1460</v>
      </c>
      <c r="N77" s="492"/>
      <c r="P77" s="1441" t="s">
        <v>3924</v>
      </c>
    </row>
    <row r="78" spans="1:16" s="458" customFormat="1" ht="9" customHeight="1">
      <c r="A78" s="733"/>
      <c r="B78" s="733"/>
      <c r="C78" s="461"/>
      <c r="D78" s="715"/>
      <c r="E78" s="715"/>
      <c r="F78" s="715"/>
      <c r="G78" s="715"/>
      <c r="I78" s="723"/>
      <c r="J78" s="723"/>
      <c r="K78" s="723"/>
      <c r="L78" s="723"/>
      <c r="M78" s="723"/>
      <c r="N78" s="721"/>
      <c r="P78" s="469"/>
    </row>
    <row r="79" spans="1:16" s="458" customFormat="1" ht="13.15" customHeight="1">
      <c r="A79" s="491" t="s">
        <v>386</v>
      </c>
      <c r="B79" s="733"/>
      <c r="C79" s="716" t="s">
        <v>3133</v>
      </c>
      <c r="D79" s="715"/>
      <c r="E79" s="715"/>
      <c r="F79" s="715"/>
      <c r="G79" s="715"/>
      <c r="H79" s="715"/>
      <c r="I79" s="723"/>
      <c r="M79" s="723"/>
      <c r="N79" s="721"/>
      <c r="P79" s="469"/>
    </row>
    <row r="80" spans="1:16" s="458" customFormat="1" ht="3" customHeight="1">
      <c r="A80" s="733"/>
      <c r="B80" s="733"/>
      <c r="D80" s="715"/>
      <c r="E80" s="715"/>
      <c r="F80" s="715"/>
      <c r="G80" s="715"/>
      <c r="I80" s="723"/>
      <c r="J80" s="723"/>
      <c r="K80" s="723"/>
      <c r="L80" s="723"/>
      <c r="M80" s="723"/>
      <c r="N80" s="721"/>
      <c r="P80" s="469"/>
    </row>
    <row r="81" spans="1:16" s="458" customFormat="1" ht="13.15" customHeight="1">
      <c r="B81" s="733"/>
      <c r="C81" s="461"/>
      <c r="E81" s="1441" t="s">
        <v>3925</v>
      </c>
      <c r="F81" s="487" t="s">
        <v>3914</v>
      </c>
      <c r="H81" s="1441" t="s">
        <v>3925</v>
      </c>
      <c r="I81" s="713" t="s">
        <v>3913</v>
      </c>
      <c r="K81" s="1441"/>
      <c r="L81" s="458" t="s">
        <v>144</v>
      </c>
    </row>
    <row r="82" spans="1:16" s="458" customFormat="1" ht="13.15" customHeight="1">
      <c r="A82" s="733"/>
      <c r="B82" s="733"/>
      <c r="D82" s="480"/>
      <c r="E82" s="1441"/>
      <c r="F82" s="713" t="s">
        <v>651</v>
      </c>
      <c r="H82" s="1441"/>
      <c r="I82" s="715" t="s">
        <v>3233</v>
      </c>
      <c r="K82" s="1441"/>
      <c r="L82" s="458" t="s">
        <v>364</v>
      </c>
    </row>
    <row r="83" spans="1:16" s="458" customFormat="1" ht="9" customHeight="1">
      <c r="A83" s="733"/>
      <c r="B83" s="733"/>
      <c r="D83" s="480"/>
      <c r="E83" s="721"/>
      <c r="I83" s="480"/>
      <c r="J83" s="468"/>
      <c r="K83" s="721"/>
      <c r="P83" s="469"/>
    </row>
    <row r="84" spans="1:16" s="458" customFormat="1" ht="13.15" customHeight="1">
      <c r="A84" s="491" t="s">
        <v>542</v>
      </c>
      <c r="B84" s="733"/>
      <c r="C84" s="485" t="s">
        <v>1835</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848</v>
      </c>
      <c r="D86" s="721"/>
      <c r="E86" s="1444"/>
      <c r="F86" s="1445"/>
      <c r="G86" s="1445"/>
      <c r="H86" s="1445"/>
      <c r="I86" s="1445"/>
      <c r="J86" s="1445"/>
      <c r="K86" s="1445"/>
      <c r="L86" s="1446"/>
      <c r="M86" s="793" t="s">
        <v>849</v>
      </c>
      <c r="N86" s="793"/>
      <c r="O86" s="1561"/>
      <c r="P86" s="1562"/>
    </row>
    <row r="87" spans="1:16" s="458" customFormat="1" ht="13.15" customHeight="1">
      <c r="C87" s="464" t="s">
        <v>1642</v>
      </c>
      <c r="D87" s="472"/>
      <c r="E87" s="1444"/>
      <c r="F87" s="1445"/>
      <c r="G87" s="1445"/>
      <c r="H87" s="1445"/>
      <c r="I87" s="1445"/>
      <c r="J87" s="1445"/>
      <c r="K87" s="1445"/>
      <c r="L87" s="1446"/>
      <c r="M87" s="793" t="s">
        <v>1391</v>
      </c>
      <c r="N87" s="793"/>
      <c r="O87" s="1483"/>
      <c r="P87" s="1485"/>
    </row>
    <row r="88" spans="1:16" s="458" customFormat="1" ht="13.15" customHeight="1">
      <c r="C88" s="464" t="s">
        <v>954</v>
      </c>
      <c r="E88" s="1444"/>
      <c r="F88" s="1190"/>
      <c r="G88" s="1191"/>
      <c r="H88" s="717" t="s">
        <v>2831</v>
      </c>
      <c r="I88" s="1441"/>
      <c r="J88" s="493" t="s">
        <v>3354</v>
      </c>
      <c r="K88" s="1479"/>
      <c r="L88" s="1191"/>
      <c r="M88" s="418"/>
      <c r="N88" s="418"/>
      <c r="O88" s="418"/>
      <c r="P88" s="418"/>
    </row>
    <row r="89" spans="1:16" s="458" customFormat="1" ht="13.15" customHeight="1">
      <c r="C89" s="458" t="s">
        <v>3302</v>
      </c>
      <c r="E89" s="1444"/>
      <c r="F89" s="1190"/>
      <c r="G89" s="1191"/>
      <c r="H89" s="723" t="s">
        <v>3057</v>
      </c>
      <c r="I89" s="1444"/>
      <c r="J89" s="1190"/>
      <c r="K89" s="1191"/>
      <c r="L89" s="735" t="s">
        <v>3061</v>
      </c>
      <c r="M89" s="1444"/>
      <c r="N89" s="1190"/>
      <c r="O89" s="1190"/>
      <c r="P89" s="1191"/>
    </row>
    <row r="90" spans="1:16" s="458" customFormat="1" ht="13.15" customHeight="1">
      <c r="C90" s="464" t="s">
        <v>3301</v>
      </c>
      <c r="E90" s="1476"/>
      <c r="F90" s="1477"/>
      <c r="G90" s="1478"/>
      <c r="H90" s="723" t="s">
        <v>2834</v>
      </c>
      <c r="I90" s="1482"/>
      <c r="J90" s="1191"/>
      <c r="K90" s="493" t="s">
        <v>2835</v>
      </c>
      <c r="L90" s="1482"/>
      <c r="M90" s="1191"/>
      <c r="N90" s="493" t="s">
        <v>3056</v>
      </c>
      <c r="O90" s="1482"/>
      <c r="P90" s="1191"/>
    </row>
    <row r="91" spans="1:16" s="458" customFormat="1" ht="3" customHeight="1">
      <c r="A91" s="733"/>
      <c r="B91" s="733"/>
      <c r="G91" s="480"/>
      <c r="H91" s="723"/>
      <c r="I91" s="723"/>
      <c r="M91" s="469"/>
    </row>
    <row r="92" spans="1:16" s="458" customFormat="1" ht="13.15" customHeight="1">
      <c r="A92" s="491" t="s">
        <v>464</v>
      </c>
      <c r="B92" s="733"/>
      <c r="C92" s="716" t="s">
        <v>2666</v>
      </c>
      <c r="D92" s="480"/>
      <c r="E92" s="480"/>
      <c r="F92" s="723"/>
      <c r="G92" s="723"/>
      <c r="H92" s="723"/>
      <c r="I92" s="723"/>
      <c r="J92" s="480"/>
      <c r="K92" s="723"/>
      <c r="L92" s="723"/>
      <c r="N92" s="721"/>
      <c r="O92" s="721"/>
      <c r="P92" s="469"/>
    </row>
    <row r="93" spans="1:16" s="458" customFormat="1" ht="3.6" customHeight="1">
      <c r="A93" s="491"/>
      <c r="B93" s="733"/>
      <c r="C93" s="716"/>
      <c r="D93" s="480"/>
      <c r="E93" s="480"/>
      <c r="F93" s="723"/>
      <c r="G93" s="723"/>
      <c r="H93" s="723"/>
      <c r="I93" s="723"/>
      <c r="J93" s="480"/>
      <c r="K93" s="723"/>
      <c r="L93" s="723"/>
      <c r="N93" s="721"/>
      <c r="O93" s="721"/>
      <c r="P93" s="469"/>
    </row>
    <row r="94" spans="1:16" s="458" customFormat="1" ht="13.15" customHeight="1">
      <c r="C94" s="487" t="s">
        <v>3257</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3060</v>
      </c>
      <c r="C96" s="716" t="s">
        <v>2123</v>
      </c>
      <c r="D96" s="715"/>
      <c r="E96" s="715"/>
      <c r="F96" s="723"/>
      <c r="G96" s="723"/>
      <c r="H96" s="1480">
        <v>1</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3063</v>
      </c>
      <c r="C98" s="716" t="s">
        <v>526</v>
      </c>
      <c r="D98" s="715"/>
      <c r="E98" s="715"/>
      <c r="F98" s="723"/>
      <c r="G98" s="723"/>
      <c r="H98" s="1563">
        <v>950000</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1239</v>
      </c>
      <c r="C100" s="716" t="s">
        <v>396</v>
      </c>
      <c r="D100" s="715"/>
      <c r="E100" s="715"/>
      <c r="F100" s="723"/>
      <c r="G100" s="723"/>
      <c r="H100" s="723"/>
      <c r="I100" s="723"/>
      <c r="J100" s="480"/>
      <c r="K100" s="723"/>
      <c r="L100" s="723"/>
      <c r="N100" s="721"/>
      <c r="O100" s="721"/>
    </row>
    <row r="101" spans="1:16" s="458" customFormat="1" ht="13.15" customHeight="1">
      <c r="B101" s="733"/>
      <c r="C101" s="715" t="s">
        <v>3235</v>
      </c>
      <c r="D101" s="715"/>
      <c r="F101" s="715" t="s">
        <v>1774</v>
      </c>
      <c r="G101" s="723"/>
      <c r="H101" s="723"/>
      <c r="I101" s="723"/>
      <c r="J101" s="715" t="s">
        <v>3235</v>
      </c>
      <c r="K101" s="715"/>
      <c r="M101" s="715" t="s">
        <v>1774</v>
      </c>
      <c r="N101" s="723"/>
      <c r="O101" s="723"/>
      <c r="P101" s="723"/>
    </row>
    <row r="102" spans="1:16" s="458" customFormat="1" ht="13.15" customHeight="1">
      <c r="A102" s="733"/>
      <c r="B102" s="733"/>
      <c r="C102" s="1564" t="s">
        <v>3921</v>
      </c>
      <c r="D102" s="1565"/>
      <c r="E102" s="1565"/>
      <c r="F102" s="1565" t="s">
        <v>3922</v>
      </c>
      <c r="G102" s="1565"/>
      <c r="H102" s="1565"/>
      <c r="I102" s="1566"/>
      <c r="J102" s="1564">
        <v>8</v>
      </c>
      <c r="K102" s="1565"/>
      <c r="L102" s="1565"/>
      <c r="M102" s="1565"/>
      <c r="N102" s="1565"/>
      <c r="O102" s="1565"/>
      <c r="P102" s="1566"/>
    </row>
    <row r="103" spans="1:16" s="458" customFormat="1" ht="13.15" customHeight="1">
      <c r="A103" s="733"/>
      <c r="B103" s="733"/>
      <c r="C103" s="1567" t="s">
        <v>3931</v>
      </c>
      <c r="D103" s="1568"/>
      <c r="E103" s="1568"/>
      <c r="F103" s="1568" t="s">
        <v>3922</v>
      </c>
      <c r="G103" s="1568"/>
      <c r="H103" s="1568"/>
      <c r="I103" s="1569"/>
      <c r="J103" s="1567">
        <v>9</v>
      </c>
      <c r="K103" s="1568"/>
      <c r="L103" s="1568"/>
      <c r="M103" s="1568"/>
      <c r="N103" s="1568"/>
      <c r="O103" s="1568"/>
      <c r="P103" s="1569"/>
    </row>
    <row r="104" spans="1:16" s="458" customFormat="1" ht="13.15" customHeight="1">
      <c r="A104" s="733"/>
      <c r="B104" s="733"/>
      <c r="C104" s="1567">
        <v>3</v>
      </c>
      <c r="D104" s="1568"/>
      <c r="E104" s="1568"/>
      <c r="F104" s="1568"/>
      <c r="G104" s="1568"/>
      <c r="H104" s="1568"/>
      <c r="I104" s="1569"/>
      <c r="J104" s="1567">
        <v>10</v>
      </c>
      <c r="K104" s="1568"/>
      <c r="L104" s="1568"/>
      <c r="M104" s="1568"/>
      <c r="N104" s="1568"/>
      <c r="O104" s="1568"/>
      <c r="P104" s="1569"/>
    </row>
    <row r="105" spans="1:16" s="458" customFormat="1" ht="13.15" customHeight="1">
      <c r="A105" s="733"/>
      <c r="B105" s="733"/>
      <c r="C105" s="1567">
        <v>4</v>
      </c>
      <c r="D105" s="1568"/>
      <c r="E105" s="1568"/>
      <c r="F105" s="1568"/>
      <c r="G105" s="1568"/>
      <c r="H105" s="1568"/>
      <c r="I105" s="1569"/>
      <c r="J105" s="1567">
        <v>11</v>
      </c>
      <c r="K105" s="1568"/>
      <c r="L105" s="1568"/>
      <c r="M105" s="1568"/>
      <c r="N105" s="1568"/>
      <c r="O105" s="1568"/>
      <c r="P105" s="1569"/>
    </row>
    <row r="106" spans="1:16" s="458" customFormat="1" ht="13.15" customHeight="1">
      <c r="A106" s="733"/>
      <c r="B106" s="733"/>
      <c r="C106" s="1567">
        <v>5</v>
      </c>
      <c r="D106" s="1568"/>
      <c r="E106" s="1568"/>
      <c r="F106" s="1568"/>
      <c r="G106" s="1568"/>
      <c r="H106" s="1568"/>
      <c r="I106" s="1569"/>
      <c r="J106" s="1567">
        <v>12</v>
      </c>
      <c r="K106" s="1568"/>
      <c r="L106" s="1568"/>
      <c r="M106" s="1568"/>
      <c r="N106" s="1568"/>
      <c r="O106" s="1568"/>
      <c r="P106" s="1569"/>
    </row>
    <row r="107" spans="1:16" s="458" customFormat="1" ht="13.15" customHeight="1">
      <c r="A107" s="733"/>
      <c r="B107" s="733"/>
      <c r="C107" s="1567">
        <v>6</v>
      </c>
      <c r="D107" s="1568"/>
      <c r="E107" s="1568"/>
      <c r="F107" s="1568"/>
      <c r="G107" s="1568"/>
      <c r="H107" s="1568"/>
      <c r="I107" s="1569"/>
      <c r="J107" s="1567">
        <v>13</v>
      </c>
      <c r="K107" s="1568"/>
      <c r="L107" s="1568"/>
      <c r="M107" s="1568"/>
      <c r="N107" s="1568"/>
      <c r="O107" s="1568"/>
      <c r="P107" s="1569"/>
    </row>
    <row r="108" spans="1:16" s="458" customFormat="1" ht="13.15" customHeight="1">
      <c r="A108" s="733"/>
      <c r="B108" s="733"/>
      <c r="C108" s="1570">
        <v>7</v>
      </c>
      <c r="D108" s="1571"/>
      <c r="E108" s="1571"/>
      <c r="F108" s="1571"/>
      <c r="G108" s="1571"/>
      <c r="H108" s="1571"/>
      <c r="I108" s="1572"/>
      <c r="J108" s="1570">
        <v>14</v>
      </c>
      <c r="K108" s="1571"/>
      <c r="L108" s="1571"/>
      <c r="M108" s="1571"/>
      <c r="N108" s="1571"/>
      <c r="O108" s="1571"/>
      <c r="P108" s="1572"/>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3212</v>
      </c>
      <c r="C110" s="801" t="s">
        <v>2900</v>
      </c>
      <c r="D110" s="801"/>
      <c r="E110" s="801"/>
      <c r="F110" s="801"/>
      <c r="G110" s="801"/>
      <c r="H110" s="801"/>
      <c r="I110" s="801"/>
      <c r="J110" s="801"/>
      <c r="K110" s="801"/>
      <c r="L110" s="801"/>
      <c r="M110" s="801"/>
      <c r="N110" s="801"/>
      <c r="O110" s="801"/>
      <c r="P110" s="801"/>
    </row>
    <row r="111" spans="1:16" s="458" customFormat="1" ht="13.15" customHeight="1">
      <c r="A111" s="733"/>
      <c r="B111" s="733"/>
      <c r="C111" s="801"/>
      <c r="D111" s="801"/>
      <c r="E111" s="801"/>
      <c r="F111" s="801"/>
      <c r="G111" s="801"/>
      <c r="H111" s="801"/>
      <c r="I111" s="801"/>
      <c r="J111" s="801"/>
      <c r="K111" s="801"/>
      <c r="L111" s="801"/>
      <c r="M111" s="801"/>
      <c r="N111" s="801"/>
      <c r="O111" s="801"/>
      <c r="P111" s="801"/>
    </row>
    <row r="112" spans="1:16" s="458" customFormat="1" ht="13.15" customHeight="1">
      <c r="B112" s="733"/>
      <c r="C112" s="715" t="s">
        <v>3235</v>
      </c>
      <c r="D112" s="715"/>
      <c r="F112" s="715" t="s">
        <v>1774</v>
      </c>
      <c r="G112" s="723"/>
      <c r="H112" s="723"/>
      <c r="I112" s="723"/>
      <c r="J112" s="715" t="s">
        <v>3235</v>
      </c>
      <c r="K112" s="715"/>
      <c r="M112" s="715" t="s">
        <v>1774</v>
      </c>
      <c r="N112" s="723"/>
      <c r="O112" s="723"/>
      <c r="P112" s="723"/>
    </row>
    <row r="113" spans="1:16" s="458" customFormat="1" ht="13.15" customHeight="1">
      <c r="A113" s="733"/>
      <c r="B113" s="733"/>
      <c r="C113" s="1564">
        <v>1</v>
      </c>
      <c r="D113" s="1565"/>
      <c r="E113" s="1565"/>
      <c r="F113" s="1565"/>
      <c r="G113" s="1565"/>
      <c r="H113" s="1565"/>
      <c r="I113" s="1566"/>
      <c r="J113" s="1564">
        <v>8</v>
      </c>
      <c r="K113" s="1565"/>
      <c r="L113" s="1565"/>
      <c r="M113" s="1565"/>
      <c r="N113" s="1565"/>
      <c r="O113" s="1565"/>
      <c r="P113" s="1566"/>
    </row>
    <row r="114" spans="1:16" s="458" customFormat="1" ht="13.15" customHeight="1">
      <c r="A114" s="733"/>
      <c r="B114" s="733"/>
      <c r="C114" s="1567">
        <v>2</v>
      </c>
      <c r="D114" s="1568"/>
      <c r="E114" s="1568"/>
      <c r="F114" s="1568"/>
      <c r="G114" s="1568"/>
      <c r="H114" s="1568"/>
      <c r="I114" s="1569"/>
      <c r="J114" s="1567">
        <v>9</v>
      </c>
      <c r="K114" s="1568"/>
      <c r="L114" s="1568"/>
      <c r="M114" s="1568"/>
      <c r="N114" s="1568"/>
      <c r="O114" s="1568"/>
      <c r="P114" s="1569"/>
    </row>
    <row r="115" spans="1:16" s="458" customFormat="1" ht="13.15" customHeight="1">
      <c r="A115" s="733"/>
      <c r="B115" s="733"/>
      <c r="C115" s="1567">
        <v>3</v>
      </c>
      <c r="D115" s="1568"/>
      <c r="E115" s="1568"/>
      <c r="F115" s="1568"/>
      <c r="G115" s="1568"/>
      <c r="H115" s="1568"/>
      <c r="I115" s="1569"/>
      <c r="J115" s="1567">
        <v>10</v>
      </c>
      <c r="K115" s="1568"/>
      <c r="L115" s="1568"/>
      <c r="M115" s="1568"/>
      <c r="N115" s="1568"/>
      <c r="O115" s="1568"/>
      <c r="P115" s="1569"/>
    </row>
    <row r="116" spans="1:16" s="458" customFormat="1" ht="13.15" customHeight="1">
      <c r="A116" s="733"/>
      <c r="B116" s="733"/>
      <c r="C116" s="1567">
        <v>4</v>
      </c>
      <c r="D116" s="1568"/>
      <c r="E116" s="1568"/>
      <c r="F116" s="1568"/>
      <c r="G116" s="1568"/>
      <c r="H116" s="1568"/>
      <c r="I116" s="1569"/>
      <c r="J116" s="1567">
        <v>11</v>
      </c>
      <c r="K116" s="1568"/>
      <c r="L116" s="1568"/>
      <c r="M116" s="1568"/>
      <c r="N116" s="1568"/>
      <c r="O116" s="1568"/>
      <c r="P116" s="1569"/>
    </row>
    <row r="117" spans="1:16" s="458" customFormat="1" ht="13.15" customHeight="1">
      <c r="A117" s="733"/>
      <c r="B117" s="733"/>
      <c r="C117" s="1567">
        <v>5</v>
      </c>
      <c r="D117" s="1568"/>
      <c r="E117" s="1568"/>
      <c r="F117" s="1568"/>
      <c r="G117" s="1568"/>
      <c r="H117" s="1568"/>
      <c r="I117" s="1569"/>
      <c r="J117" s="1567">
        <v>12</v>
      </c>
      <c r="K117" s="1568"/>
      <c r="L117" s="1568"/>
      <c r="M117" s="1568"/>
      <c r="N117" s="1568"/>
      <c r="O117" s="1568"/>
      <c r="P117" s="1569"/>
    </row>
    <row r="118" spans="1:16" s="458" customFormat="1" ht="13.15" customHeight="1">
      <c r="A118" s="733"/>
      <c r="B118" s="733"/>
      <c r="C118" s="1567">
        <v>6</v>
      </c>
      <c r="D118" s="1568"/>
      <c r="E118" s="1568"/>
      <c r="F118" s="1568"/>
      <c r="G118" s="1568"/>
      <c r="H118" s="1568"/>
      <c r="I118" s="1569"/>
      <c r="J118" s="1567">
        <v>13</v>
      </c>
      <c r="K118" s="1568"/>
      <c r="L118" s="1568"/>
      <c r="M118" s="1568"/>
      <c r="N118" s="1568"/>
      <c r="O118" s="1568"/>
      <c r="P118" s="1569"/>
    </row>
    <row r="119" spans="1:16" s="458" customFormat="1" ht="13.15" customHeight="1">
      <c r="A119" s="733"/>
      <c r="B119" s="733"/>
      <c r="C119" s="1570">
        <v>7</v>
      </c>
      <c r="D119" s="1571"/>
      <c r="E119" s="1571"/>
      <c r="F119" s="1571"/>
      <c r="G119" s="1571"/>
      <c r="H119" s="1571"/>
      <c r="I119" s="1572"/>
      <c r="J119" s="1570">
        <v>14</v>
      </c>
      <c r="K119" s="1571"/>
      <c r="L119" s="1571"/>
      <c r="M119" s="1571"/>
      <c r="N119" s="1571"/>
      <c r="O119" s="1571"/>
      <c r="P119" s="1572"/>
    </row>
    <row r="120" spans="1:16" s="458" customFormat="1" ht="6.6" customHeight="1">
      <c r="A120" s="733"/>
      <c r="B120" s="733"/>
      <c r="C120" s="715"/>
      <c r="D120" s="715"/>
      <c r="E120" s="715"/>
      <c r="F120" s="723"/>
      <c r="G120" s="723"/>
      <c r="H120" s="723"/>
      <c r="I120" s="723"/>
      <c r="J120" s="480"/>
      <c r="K120" s="723"/>
      <c r="L120" s="723"/>
      <c r="N120" s="721"/>
      <c r="O120" s="721"/>
      <c r="P120" s="469"/>
    </row>
    <row r="121" spans="1:16" s="458" customFormat="1" ht="13.15" customHeight="1">
      <c r="A121" s="491" t="s">
        <v>465</v>
      </c>
      <c r="B121" s="733"/>
      <c r="C121" s="488" t="s">
        <v>3665</v>
      </c>
      <c r="D121" s="488"/>
      <c r="E121" s="488"/>
      <c r="F121" s="488"/>
      <c r="H121" s="1441" t="s">
        <v>3924</v>
      </c>
      <c r="M121" s="723"/>
      <c r="N121" s="721"/>
      <c r="O121" s="721"/>
      <c r="P121" s="469"/>
    </row>
    <row r="122" spans="1:16" s="458" customFormat="1" ht="3" customHeight="1">
      <c r="A122" s="491"/>
      <c r="B122" s="733"/>
      <c r="C122" s="716"/>
      <c r="D122" s="716"/>
      <c r="E122" s="716"/>
      <c r="F122" s="716"/>
      <c r="G122" s="723"/>
      <c r="M122" s="723"/>
      <c r="N122" s="721"/>
      <c r="O122" s="721"/>
    </row>
    <row r="123" spans="1:16" s="458" customFormat="1" ht="13.15" customHeight="1">
      <c r="A123" s="733"/>
      <c r="B123" s="733" t="s">
        <v>3060</v>
      </c>
      <c r="C123" s="465" t="s">
        <v>2732</v>
      </c>
      <c r="H123" s="1441" t="s">
        <v>3924</v>
      </c>
      <c r="M123" s="723"/>
      <c r="N123" s="721"/>
      <c r="O123" s="721"/>
      <c r="P123" s="469"/>
    </row>
    <row r="124" spans="1:16" s="458" customFormat="1" ht="13.15" customHeight="1">
      <c r="A124" s="733"/>
      <c r="B124" s="733"/>
      <c r="C124" s="715" t="s">
        <v>3667</v>
      </c>
      <c r="D124" s="715"/>
      <c r="E124" s="715"/>
      <c r="F124" s="723"/>
      <c r="H124" s="1573"/>
      <c r="N124" s="721"/>
      <c r="O124" s="721"/>
      <c r="P124" s="469"/>
    </row>
    <row r="125" spans="1:16" s="458" customFormat="1" ht="13.15" customHeight="1">
      <c r="A125" s="733"/>
      <c r="B125" s="733"/>
      <c r="C125" s="496" t="s">
        <v>2731</v>
      </c>
      <c r="D125" s="464"/>
      <c r="H125" s="1444"/>
      <c r="I125" s="1446"/>
      <c r="P125" s="469"/>
    </row>
    <row r="126" spans="1:16" s="458" customFormat="1" ht="13.15" customHeight="1">
      <c r="A126" s="733"/>
      <c r="B126" s="733"/>
      <c r="C126" s="715" t="s">
        <v>3668</v>
      </c>
      <c r="D126" s="715"/>
      <c r="E126" s="715"/>
      <c r="F126" s="723"/>
      <c r="H126" s="1573"/>
      <c r="K126" s="418" t="s">
        <v>3375</v>
      </c>
      <c r="O126" s="1444" t="s">
        <v>715</v>
      </c>
      <c r="P126" s="1446"/>
    </row>
    <row r="127" spans="1:16" s="458" customFormat="1" ht="13.15" customHeight="1">
      <c r="A127" s="733"/>
      <c r="B127" s="733"/>
      <c r="C127" s="715" t="s">
        <v>3666</v>
      </c>
      <c r="F127" s="723"/>
      <c r="H127" s="1480" t="s">
        <v>3924</v>
      </c>
      <c r="K127" s="418" t="s">
        <v>3376</v>
      </c>
      <c r="O127" s="1444" t="s">
        <v>715</v>
      </c>
      <c r="P127" s="1446"/>
    </row>
    <row r="128" spans="1:16" s="458" customFormat="1" ht="13.15" customHeight="1">
      <c r="A128" s="733"/>
      <c r="B128" s="733"/>
      <c r="C128" s="715" t="s">
        <v>3273</v>
      </c>
      <c r="D128" s="715"/>
      <c r="E128" s="715"/>
      <c r="F128" s="723"/>
      <c r="H128" s="1561"/>
      <c r="I128" s="1562"/>
      <c r="N128" s="721"/>
      <c r="O128" s="721"/>
      <c r="P128" s="469"/>
    </row>
    <row r="129" spans="1:16" s="458" customFormat="1" ht="3" customHeight="1">
      <c r="A129" s="733"/>
      <c r="B129" s="733"/>
      <c r="C129" s="715"/>
      <c r="D129" s="715"/>
      <c r="E129" s="715"/>
      <c r="F129" s="723"/>
      <c r="N129" s="721"/>
      <c r="O129" s="721"/>
      <c r="P129" s="469"/>
    </row>
    <row r="130" spans="1:16" s="458" customFormat="1" ht="13.15" customHeight="1">
      <c r="A130" s="733"/>
      <c r="B130" s="733" t="s">
        <v>3063</v>
      </c>
      <c r="C130" s="716" t="s">
        <v>3770</v>
      </c>
      <c r="D130" s="715"/>
      <c r="E130" s="715"/>
      <c r="F130" s="723"/>
      <c r="H130" s="1480" t="s">
        <v>3924</v>
      </c>
      <c r="N130" s="721"/>
      <c r="O130" s="721"/>
      <c r="P130" s="469"/>
    </row>
    <row r="131" spans="1:16" s="458" customFormat="1" ht="3" customHeight="1">
      <c r="A131" s="733"/>
      <c r="B131" s="733"/>
      <c r="C131" s="715"/>
      <c r="D131" s="715"/>
      <c r="E131" s="715"/>
      <c r="F131" s="723"/>
      <c r="G131" s="723"/>
      <c r="M131" s="723"/>
      <c r="N131" s="721"/>
      <c r="O131" s="721"/>
      <c r="P131" s="469"/>
    </row>
    <row r="132" spans="1:16" s="458" customFormat="1" ht="13.15" customHeight="1">
      <c r="A132" s="733"/>
      <c r="B132" s="733" t="s">
        <v>1239</v>
      </c>
      <c r="C132" s="716" t="s">
        <v>982</v>
      </c>
      <c r="D132" s="715"/>
      <c r="E132" s="715"/>
      <c r="F132" s="723"/>
      <c r="G132" s="723"/>
      <c r="N132" s="721"/>
      <c r="O132" s="721"/>
      <c r="P132" s="469"/>
    </row>
    <row r="133" spans="1:16" s="458" customFormat="1" ht="13.15" customHeight="1">
      <c r="A133" s="733"/>
      <c r="B133" s="733"/>
      <c r="C133" s="715" t="s">
        <v>1086</v>
      </c>
      <c r="D133" s="715"/>
      <c r="E133" s="715"/>
      <c r="F133" s="723"/>
      <c r="G133" s="723"/>
      <c r="H133" s="1480" t="s">
        <v>3924</v>
      </c>
      <c r="K133" s="715" t="s">
        <v>2287</v>
      </c>
      <c r="L133" s="715"/>
      <c r="M133" s="723"/>
      <c r="N133" s="723"/>
      <c r="O133" s="1480" t="s">
        <v>3924</v>
      </c>
      <c r="P133" s="469"/>
    </row>
    <row r="134" spans="1:16" s="458" customFormat="1" ht="13.15" customHeight="1">
      <c r="A134" s="733"/>
      <c r="B134" s="733"/>
      <c r="C134" s="715" t="s">
        <v>1087</v>
      </c>
      <c r="D134" s="715"/>
      <c r="E134" s="715"/>
      <c r="F134" s="723"/>
      <c r="G134" s="723"/>
      <c r="H134" s="1480" t="s">
        <v>3924</v>
      </c>
      <c r="J134" s="715"/>
      <c r="K134" s="715"/>
      <c r="L134" s="715"/>
      <c r="M134" s="723"/>
      <c r="N134" s="723"/>
      <c r="O134" s="723"/>
      <c r="P134" s="469"/>
    </row>
    <row r="135" spans="1:16" s="458" customFormat="1" ht="6" customHeight="1">
      <c r="A135" s="733"/>
      <c r="B135" s="733"/>
      <c r="C135" s="715"/>
      <c r="D135" s="715"/>
      <c r="E135" s="715"/>
      <c r="F135" s="723"/>
      <c r="G135" s="723"/>
      <c r="H135" s="723"/>
      <c r="I135" s="723"/>
      <c r="J135" s="480"/>
      <c r="K135" s="723"/>
      <c r="L135" s="723"/>
      <c r="N135" s="721"/>
      <c r="O135" s="721"/>
      <c r="P135" s="469"/>
    </row>
    <row r="136" spans="1:16" s="458" customFormat="1" ht="13.15" customHeight="1">
      <c r="A136" s="491" t="s">
        <v>466</v>
      </c>
      <c r="B136" s="733"/>
      <c r="C136" s="488" t="s">
        <v>1836</v>
      </c>
      <c r="D136" s="488"/>
      <c r="E136" s="488"/>
      <c r="F136" s="488"/>
      <c r="G136" s="723"/>
      <c r="H136" s="723"/>
      <c r="I136" s="723"/>
      <c r="J136" s="480"/>
      <c r="K136" s="723"/>
      <c r="L136" s="723"/>
      <c r="N136" s="721"/>
      <c r="O136" s="721"/>
      <c r="P136" s="469"/>
    </row>
    <row r="137" spans="1:16" s="458" customFormat="1" ht="1.9" customHeight="1">
      <c r="A137" s="491"/>
      <c r="B137" s="733"/>
      <c r="C137" s="716"/>
      <c r="D137" s="716"/>
      <c r="E137" s="716"/>
      <c r="F137" s="716"/>
      <c r="G137" s="723"/>
      <c r="H137" s="723"/>
      <c r="I137" s="723"/>
      <c r="J137" s="480"/>
      <c r="K137" s="723"/>
      <c r="L137" s="723"/>
      <c r="N137" s="721"/>
      <c r="O137" s="721"/>
    </row>
    <row r="138" spans="1:16" s="458" customFormat="1" ht="13.15" customHeight="1">
      <c r="A138" s="733"/>
      <c r="B138" s="733" t="s">
        <v>3060</v>
      </c>
      <c r="C138" s="479" t="s">
        <v>2865</v>
      </c>
      <c r="F138" s="723"/>
      <c r="G138" s="723"/>
      <c r="H138" s="723"/>
      <c r="I138" s="723"/>
      <c r="J138" s="480"/>
      <c r="K138" s="723"/>
      <c r="L138" s="723"/>
      <c r="N138" s="721"/>
      <c r="O138" s="721"/>
      <c r="P138" s="469"/>
    </row>
    <row r="139" spans="1:16" s="458" customFormat="1" ht="12.6" customHeight="1">
      <c r="A139" s="733"/>
      <c r="B139" s="733"/>
      <c r="C139" s="487" t="s">
        <v>2279</v>
      </c>
      <c r="D139" s="480"/>
      <c r="E139" s="480"/>
      <c r="F139" s="723"/>
      <c r="G139" s="723"/>
      <c r="H139" s="723"/>
      <c r="I139" s="723"/>
      <c r="K139" s="1480" t="s">
        <v>3924</v>
      </c>
      <c r="N139" s="721"/>
      <c r="O139" s="721"/>
      <c r="P139" s="469"/>
    </row>
    <row r="140" spans="1:16" s="458" customFormat="1" ht="12.6" customHeight="1">
      <c r="A140" s="733"/>
      <c r="B140" s="733"/>
      <c r="C140" s="458" t="s">
        <v>950</v>
      </c>
      <c r="K140" s="1555"/>
      <c r="L140" s="464" t="s">
        <v>2827</v>
      </c>
      <c r="P140" s="497">
        <f>IF('Part VI-Revenues &amp; Expenses'!$M$61=0,0,$K140/'Part VI-Revenues &amp; Expenses'!$M$61)</f>
        <v>0</v>
      </c>
    </row>
    <row r="141" spans="1:16" s="458" customFormat="1" ht="12.6" customHeight="1">
      <c r="A141" s="733"/>
      <c r="B141" s="733"/>
      <c r="C141" s="458" t="s">
        <v>3274</v>
      </c>
      <c r="K141" s="1555"/>
      <c r="L141" s="464" t="s">
        <v>2827</v>
      </c>
      <c r="P141" s="497">
        <f>IF('Part VI-Revenues &amp; Expenses'!$M$61=0,0,$K141/'Part VI-Revenues &amp; Expenses'!$M$61)</f>
        <v>0</v>
      </c>
    </row>
    <row r="142" spans="1:16" s="458" customFormat="1" ht="12.6" customHeight="1">
      <c r="A142" s="733"/>
      <c r="B142" s="733"/>
      <c r="C142" s="458" t="s">
        <v>2828</v>
      </c>
      <c r="E142" s="1444"/>
      <c r="F142" s="1445"/>
      <c r="G142" s="1445"/>
      <c r="H142" s="1445"/>
      <c r="I142" s="1445"/>
      <c r="J142" s="1445"/>
      <c r="K142" s="1446"/>
      <c r="L142" s="498" t="s">
        <v>2829</v>
      </c>
      <c r="M142" s="1444"/>
      <c r="N142" s="1445"/>
      <c r="O142" s="1445"/>
      <c r="P142" s="1446"/>
    </row>
    <row r="143" spans="1:16" s="458" customFormat="1" ht="12.6" customHeight="1">
      <c r="A143" s="733"/>
      <c r="B143" s="733"/>
      <c r="C143" s="464" t="s">
        <v>2830</v>
      </c>
      <c r="D143" s="472"/>
      <c r="E143" s="1444"/>
      <c r="F143" s="1445"/>
      <c r="G143" s="1445"/>
      <c r="H143" s="1445"/>
      <c r="I143" s="1445"/>
      <c r="J143" s="1445"/>
      <c r="K143" s="1574"/>
      <c r="L143" s="713" t="s">
        <v>2832</v>
      </c>
      <c r="M143" s="1483"/>
      <c r="N143" s="1484"/>
      <c r="O143" s="1484"/>
      <c r="P143" s="1485"/>
    </row>
    <row r="144" spans="1:16" s="458" customFormat="1" ht="12.6" customHeight="1">
      <c r="A144" s="733"/>
      <c r="B144" s="733"/>
      <c r="C144" s="464" t="s">
        <v>954</v>
      </c>
      <c r="E144" s="1444"/>
      <c r="F144" s="1445"/>
      <c r="G144" s="1445"/>
      <c r="H144" s="1446"/>
      <c r="I144" s="493" t="s">
        <v>3354</v>
      </c>
      <c r="J144" s="1479"/>
      <c r="K144" s="1532"/>
      <c r="L144" s="498" t="s">
        <v>2835</v>
      </c>
      <c r="M144" s="1476"/>
      <c r="N144" s="1477"/>
      <c r="O144" s="1478"/>
    </row>
    <row r="145" spans="1:16" s="458" customFormat="1" ht="12.6" customHeight="1">
      <c r="A145" s="733"/>
      <c r="B145" s="733"/>
      <c r="C145" s="464" t="s">
        <v>2833</v>
      </c>
      <c r="E145" s="1476"/>
      <c r="F145" s="1477"/>
      <c r="G145" s="1478"/>
      <c r="H145" s="499" t="s">
        <v>2834</v>
      </c>
      <c r="I145" s="1476"/>
      <c r="J145" s="1477"/>
      <c r="K145" s="1478"/>
      <c r="L145" s="500" t="s">
        <v>3056</v>
      </c>
      <c r="M145" s="1476"/>
      <c r="N145" s="1477"/>
      <c r="O145" s="1478"/>
    </row>
    <row r="146" spans="1:16" s="458" customFormat="1" ht="1.9"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3063</v>
      </c>
      <c r="C147" s="716" t="s">
        <v>2373</v>
      </c>
      <c r="D147" s="716"/>
      <c r="E147" s="716"/>
      <c r="F147" s="716"/>
      <c r="G147" s="716"/>
      <c r="I147" s="1480" t="s">
        <v>3924</v>
      </c>
      <c r="J147" s="778" t="s">
        <v>1254</v>
      </c>
      <c r="K147" s="779"/>
      <c r="L147" s="1480"/>
      <c r="M147" s="775" t="s">
        <v>3471</v>
      </c>
      <c r="N147" s="776"/>
      <c r="O147" s="777"/>
      <c r="P147" s="1573"/>
    </row>
    <row r="148" spans="1:16" s="458" customFormat="1" ht="1.9" customHeight="1">
      <c r="A148" s="733"/>
      <c r="B148" s="733"/>
      <c r="C148" s="716"/>
      <c r="D148" s="716"/>
      <c r="E148" s="461"/>
      <c r="F148" s="716"/>
      <c r="G148" s="716"/>
      <c r="J148" s="468"/>
      <c r="K148" s="502"/>
      <c r="M148" s="721"/>
      <c r="O148" s="723"/>
      <c r="P148" s="469"/>
    </row>
    <row r="149" spans="1:16" s="458" customFormat="1" ht="12.6" customHeight="1">
      <c r="A149" s="733"/>
      <c r="B149" s="733" t="s">
        <v>1239</v>
      </c>
      <c r="C149" s="716" t="s">
        <v>2786</v>
      </c>
      <c r="D149" s="716"/>
      <c r="E149" s="716"/>
      <c r="F149" s="716"/>
      <c r="G149" s="716"/>
      <c r="I149" s="1480" t="s">
        <v>3924</v>
      </c>
      <c r="L149" s="418"/>
      <c r="M149" s="418"/>
      <c r="P149" s="469"/>
    </row>
    <row r="150" spans="1:16" s="458" customFormat="1" ht="1.9"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3212</v>
      </c>
      <c r="C151" s="787" t="s">
        <v>3055</v>
      </c>
      <c r="D151" s="787"/>
      <c r="E151" s="787"/>
      <c r="F151" s="787"/>
      <c r="G151" s="716"/>
      <c r="I151" s="1480" t="s">
        <v>3924</v>
      </c>
    </row>
    <row r="152" spans="1:16" s="458" customFormat="1" ht="12.6" customHeight="1">
      <c r="B152" s="733"/>
      <c r="C152" s="786" t="s">
        <v>2210</v>
      </c>
      <c r="D152" s="786"/>
      <c r="E152" s="716"/>
      <c r="F152" s="716"/>
      <c r="G152" s="716"/>
      <c r="I152" s="1575"/>
    </row>
    <row r="153" spans="1:16" s="458" customFormat="1" ht="12.6" customHeight="1">
      <c r="A153" s="733"/>
      <c r="B153" s="733"/>
      <c r="C153" s="781" t="s">
        <v>1380</v>
      </c>
      <c r="D153" s="781"/>
      <c r="E153" s="461"/>
      <c r="F153" s="716"/>
      <c r="G153" s="716"/>
      <c r="I153" s="1575"/>
      <c r="K153" s="468"/>
      <c r="P153" s="469"/>
    </row>
    <row r="154" spans="1:16" s="458" customFormat="1" ht="12.6" customHeight="1">
      <c r="B154" s="733"/>
      <c r="C154" s="781" t="s">
        <v>2823</v>
      </c>
      <c r="D154" s="781"/>
      <c r="E154" s="461"/>
      <c r="F154" s="716"/>
      <c r="G154" s="716"/>
      <c r="I154" s="503" t="str">
        <f>IF(I152="","",I153/I152)</f>
        <v/>
      </c>
      <c r="K154" s="468"/>
      <c r="M154" s="721"/>
      <c r="P154" s="469"/>
    </row>
    <row r="155" spans="1:16" s="458" customFormat="1" ht="1.9" customHeight="1">
      <c r="A155" s="733"/>
      <c r="B155" s="733"/>
      <c r="C155" s="716"/>
      <c r="D155" s="716"/>
      <c r="E155" s="461"/>
      <c r="F155" s="716"/>
      <c r="G155" s="716"/>
      <c r="H155" s="502"/>
      <c r="J155" s="468"/>
      <c r="K155" s="480"/>
      <c r="M155" s="721"/>
      <c r="O155" s="723"/>
      <c r="P155" s="469"/>
    </row>
    <row r="156" spans="1:16" s="458" customFormat="1" ht="13.15" customHeight="1">
      <c r="A156" s="733"/>
      <c r="B156" s="733" t="s">
        <v>2763</v>
      </c>
      <c r="C156" s="395" t="s">
        <v>2374</v>
      </c>
      <c r="D156" s="715"/>
      <c r="E156" s="715"/>
      <c r="F156" s="715"/>
      <c r="G156" s="715"/>
      <c r="H156" s="723"/>
      <c r="J156" s="468"/>
      <c r="K156" s="480"/>
      <c r="M156" s="721"/>
      <c r="O156" s="723"/>
      <c r="P156" s="469"/>
    </row>
    <row r="157" spans="1:16" s="458" customFormat="1" ht="12.6" customHeight="1">
      <c r="A157" s="733"/>
      <c r="B157" s="733"/>
      <c r="C157" s="721" t="s">
        <v>3328</v>
      </c>
      <c r="D157" s="470"/>
      <c r="E157" s="721"/>
      <c r="F157" s="721"/>
      <c r="I157" s="1480"/>
      <c r="L157" s="721" t="s">
        <v>3327</v>
      </c>
      <c r="P157" s="1480"/>
    </row>
    <row r="158" spans="1:16" s="458" customFormat="1" ht="12.6" customHeight="1">
      <c r="A158" s="733"/>
      <c r="B158" s="733"/>
      <c r="C158" s="721" t="s">
        <v>3330</v>
      </c>
      <c r="I158" s="1480"/>
      <c r="L158" s="721" t="s">
        <v>2376</v>
      </c>
      <c r="P158" s="1480"/>
    </row>
    <row r="159" spans="1:16" s="458" customFormat="1" ht="12.6" customHeight="1">
      <c r="A159" s="733"/>
      <c r="C159" s="721" t="s">
        <v>1980</v>
      </c>
      <c r="D159" s="505"/>
      <c r="I159" s="1480"/>
      <c r="L159" s="721" t="s">
        <v>2545</v>
      </c>
      <c r="P159" s="1480"/>
    </row>
    <row r="160" spans="1:16" s="458" customFormat="1" ht="12.6" customHeight="1">
      <c r="A160" s="733"/>
      <c r="B160" s="733"/>
      <c r="C160" s="721" t="s">
        <v>2375</v>
      </c>
      <c r="D160" s="470"/>
      <c r="E160" s="721"/>
      <c r="F160" s="721"/>
      <c r="I160" s="1480"/>
      <c r="K160" s="470"/>
      <c r="L160" s="721" t="s">
        <v>2290</v>
      </c>
      <c r="M160" s="721"/>
      <c r="P160" s="1480"/>
    </row>
    <row r="161" spans="1:16" s="458" customFormat="1" ht="12.6" customHeight="1">
      <c r="A161" s="733"/>
      <c r="B161" s="733"/>
      <c r="C161" s="721" t="s">
        <v>2377</v>
      </c>
      <c r="D161" s="470"/>
      <c r="E161" s="721"/>
      <c r="F161" s="721"/>
      <c r="I161" s="1480"/>
      <c r="K161" s="470"/>
      <c r="L161" s="721"/>
      <c r="M161" s="721"/>
    </row>
    <row r="162" spans="1:16" s="458" customFormat="1" ht="12.6" customHeight="1">
      <c r="A162" s="733"/>
      <c r="B162" s="461"/>
      <c r="C162" s="721" t="s">
        <v>2845</v>
      </c>
      <c r="D162" s="470"/>
      <c r="I162" s="1480"/>
      <c r="J162" s="504" t="s">
        <v>3374</v>
      </c>
      <c r="O162" s="1576"/>
      <c r="P162" s="1577"/>
    </row>
    <row r="163" spans="1:16" s="458" customFormat="1" ht="12.6" customHeight="1">
      <c r="A163" s="733"/>
      <c r="B163" s="733"/>
      <c r="C163" s="721" t="s">
        <v>3410</v>
      </c>
      <c r="E163" s="1556"/>
      <c r="F163" s="1578"/>
      <c r="G163" s="1578"/>
      <c r="H163" s="1557"/>
      <c r="I163" s="1480"/>
    </row>
    <row r="164" spans="1:16" s="458" customFormat="1" ht="1.9" customHeight="1">
      <c r="A164" s="733"/>
      <c r="B164" s="733"/>
      <c r="P164" s="468"/>
    </row>
    <row r="165" spans="1:16" s="458" customFormat="1" ht="13.15" customHeight="1">
      <c r="B165" s="733" t="s">
        <v>2764</v>
      </c>
      <c r="C165" s="465" t="s">
        <v>1229</v>
      </c>
    </row>
    <row r="166" spans="1:16" s="458" customFormat="1" ht="12.6" customHeight="1">
      <c r="A166" s="733"/>
      <c r="B166" s="733"/>
      <c r="C166" s="464" t="s">
        <v>976</v>
      </c>
      <c r="D166" s="715"/>
      <c r="E166" s="715"/>
      <c r="F166" s="723"/>
      <c r="G166" s="723"/>
      <c r="I166" s="1561"/>
      <c r="J166" s="1562"/>
      <c r="N166" s="721"/>
      <c r="O166" s="721"/>
      <c r="P166" s="469"/>
    </row>
    <row r="167" spans="1:16" s="458" customFormat="1" ht="12.6" customHeight="1">
      <c r="A167" s="733"/>
      <c r="B167" s="733"/>
      <c r="C167" s="464" t="s">
        <v>368</v>
      </c>
      <c r="D167" s="715"/>
      <c r="E167" s="715"/>
      <c r="F167" s="723"/>
      <c r="G167" s="723"/>
      <c r="I167" s="1561"/>
      <c r="J167" s="1562"/>
      <c r="N167" s="721"/>
      <c r="O167" s="721"/>
      <c r="P167" s="469"/>
    </row>
    <row r="168" spans="1:16" s="458" customFormat="1" ht="12.6" customHeight="1">
      <c r="A168" s="733"/>
      <c r="B168" s="733"/>
      <c r="C168" s="464" t="s">
        <v>3436</v>
      </c>
      <c r="D168" s="715"/>
      <c r="E168" s="715"/>
      <c r="F168" s="723"/>
      <c r="G168" s="723"/>
      <c r="I168" s="1561">
        <v>41487</v>
      </c>
      <c r="J168" s="1562"/>
      <c r="N168" s="721"/>
      <c r="O168" s="721"/>
      <c r="P168" s="469"/>
    </row>
    <row r="169" spans="1:16" s="458" customFormat="1" ht="1.9" customHeight="1">
      <c r="B169" s="461"/>
      <c r="C169" s="721"/>
      <c r="H169" s="721"/>
      <c r="L169" s="482"/>
      <c r="M169" s="482"/>
      <c r="N169" s="482"/>
      <c r="O169" s="482"/>
      <c r="P169" s="466"/>
    </row>
    <row r="170" spans="1:16" ht="12" customHeight="1">
      <c r="A170" s="491" t="s">
        <v>2753</v>
      </c>
      <c r="C170" s="491" t="s">
        <v>880</v>
      </c>
      <c r="K170" s="491" t="s">
        <v>3381</v>
      </c>
      <c r="L170" s="491" t="s">
        <v>89</v>
      </c>
    </row>
    <row r="171" spans="1:16" ht="38.450000000000003" customHeight="1">
      <c r="A171" s="1290"/>
      <c r="B171" s="1349"/>
      <c r="C171" s="1349"/>
      <c r="D171" s="1349"/>
      <c r="E171" s="1349"/>
      <c r="F171" s="1349"/>
      <c r="G171" s="1349"/>
      <c r="H171" s="1349"/>
      <c r="I171" s="1349"/>
      <c r="J171" s="1350"/>
      <c r="K171" s="1293"/>
      <c r="L171" s="1351"/>
      <c r="M171" s="1351"/>
      <c r="N171" s="1351"/>
      <c r="O171" s="1351"/>
      <c r="P171" s="1352"/>
    </row>
    <row r="172" spans="1:16" ht="38.450000000000003" customHeight="1">
      <c r="A172" s="1294"/>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2831</v>
      </c>
      <c r="C182" s="623" t="s">
        <v>1869</v>
      </c>
      <c r="D182" s="623" t="s">
        <v>1870</v>
      </c>
      <c r="E182" s="623" t="s">
        <v>1871</v>
      </c>
      <c r="F182" s="623" t="s">
        <v>1793</v>
      </c>
      <c r="G182" s="623" t="s">
        <v>539</v>
      </c>
      <c r="H182" s="624" t="s">
        <v>1801</v>
      </c>
      <c r="I182" s="625"/>
      <c r="J182" s="623" t="s">
        <v>3637</v>
      </c>
      <c r="K182" s="623"/>
      <c r="L182" s="626"/>
      <c r="M182" s="627"/>
      <c r="N182" s="627" t="s">
        <v>954</v>
      </c>
      <c r="O182" s="628" t="s">
        <v>955</v>
      </c>
      <c r="P182" s="627" t="s">
        <v>3243</v>
      </c>
      <c r="Q182" s="611"/>
      <c r="S182" s="611"/>
      <c r="T182" s="629" t="s">
        <v>624</v>
      </c>
      <c r="U182" s="628" t="s">
        <v>955</v>
      </c>
      <c r="V182" s="611"/>
      <c r="W182" s="611"/>
      <c r="X182" s="611"/>
      <c r="Y182" s="611"/>
      <c r="Z182" s="611"/>
      <c r="AA182" s="611"/>
    </row>
    <row r="183" spans="1:27" ht="12" customHeight="1">
      <c r="A183" s="611"/>
      <c r="B183" s="507" t="s">
        <v>1429</v>
      </c>
      <c r="C183" s="507" t="s">
        <v>1872</v>
      </c>
      <c r="D183" s="507" t="s">
        <v>1873</v>
      </c>
      <c r="E183" s="630" t="s">
        <v>1874</v>
      </c>
      <c r="F183" s="630"/>
      <c r="G183" s="631" t="s">
        <v>1802</v>
      </c>
      <c r="H183" s="632" t="s">
        <v>537</v>
      </c>
      <c r="I183" s="633"/>
      <c r="J183" s="634" t="s">
        <v>2274</v>
      </c>
      <c r="K183" s="635"/>
      <c r="L183" s="626"/>
      <c r="M183" s="627"/>
      <c r="N183" s="636" t="s">
        <v>3638</v>
      </c>
      <c r="O183" s="636" t="s">
        <v>3027</v>
      </c>
      <c r="P183" s="507" t="s">
        <v>2379</v>
      </c>
      <c r="Q183" s="611"/>
      <c r="S183" s="611"/>
      <c r="T183" s="636" t="s">
        <v>1894</v>
      </c>
      <c r="U183" s="636" t="s">
        <v>1739</v>
      </c>
      <c r="V183" s="611"/>
      <c r="W183" s="611"/>
      <c r="X183" s="611"/>
      <c r="Y183" s="611"/>
      <c r="Z183" s="611"/>
      <c r="AA183" s="611"/>
    </row>
    <row r="184" spans="1:27" ht="12" customHeight="1">
      <c r="A184" s="611"/>
      <c r="B184" s="507" t="s">
        <v>1430</v>
      </c>
      <c r="C184" s="507" t="s">
        <v>2807</v>
      </c>
      <c r="D184" s="507" t="s">
        <v>1873</v>
      </c>
      <c r="E184" s="630" t="s">
        <v>2808</v>
      </c>
      <c r="F184" s="630"/>
      <c r="G184" s="631" t="s">
        <v>1803</v>
      </c>
      <c r="H184" s="632" t="s">
        <v>537</v>
      </c>
      <c r="I184" s="633"/>
      <c r="J184" s="634" t="s">
        <v>2276</v>
      </c>
      <c r="K184" s="635"/>
      <c r="L184" s="626"/>
      <c r="M184" s="627"/>
      <c r="N184" s="636" t="s">
        <v>2275</v>
      </c>
      <c r="O184" s="636" t="s">
        <v>3762</v>
      </c>
      <c r="P184" s="507" t="s">
        <v>2380</v>
      </c>
      <c r="Q184" s="611"/>
      <c r="S184" s="611"/>
      <c r="T184" s="636" t="s">
        <v>844</v>
      </c>
      <c r="U184" s="636" t="s">
        <v>216</v>
      </c>
      <c r="V184" s="611"/>
      <c r="W184" s="611"/>
      <c r="X184" s="611"/>
      <c r="Y184" s="611"/>
      <c r="Z184" s="611"/>
      <c r="AA184" s="611"/>
    </row>
    <row r="185" spans="1:27" ht="12" customHeight="1">
      <c r="A185" s="611"/>
      <c r="B185" s="507" t="s">
        <v>1431</v>
      </c>
      <c r="C185" s="507" t="s">
        <v>2809</v>
      </c>
      <c r="D185" s="507" t="s">
        <v>1873</v>
      </c>
      <c r="E185" s="630" t="s">
        <v>2810</v>
      </c>
      <c r="F185" s="630"/>
      <c r="G185" s="631" t="s">
        <v>1804</v>
      </c>
      <c r="H185" s="632" t="s">
        <v>537</v>
      </c>
      <c r="I185" s="633"/>
      <c r="J185" s="634" t="s">
        <v>677</v>
      </c>
      <c r="K185" s="635"/>
      <c r="L185" s="626"/>
      <c r="M185" s="627"/>
      <c r="N185" s="636" t="s">
        <v>1541</v>
      </c>
      <c r="O185" s="636" t="s">
        <v>2016</v>
      </c>
      <c r="P185" s="507" t="s">
        <v>2381</v>
      </c>
      <c r="Q185" s="611"/>
      <c r="S185" s="611"/>
      <c r="T185" s="636" t="s">
        <v>1499</v>
      </c>
      <c r="U185" s="636" t="s">
        <v>1735</v>
      </c>
      <c r="V185" s="611"/>
      <c r="W185" s="611"/>
      <c r="X185" s="611"/>
      <c r="Y185" s="611"/>
      <c r="Z185" s="611"/>
      <c r="AA185" s="611"/>
    </row>
    <row r="186" spans="1:27" ht="12" customHeight="1">
      <c r="A186" s="611"/>
      <c r="B186" s="507" t="s">
        <v>1432</v>
      </c>
      <c r="C186" s="507" t="s">
        <v>2811</v>
      </c>
      <c r="D186" s="507" t="s">
        <v>1873</v>
      </c>
      <c r="E186" s="637" t="s">
        <v>2812</v>
      </c>
      <c r="F186" s="637"/>
      <c r="G186" s="631" t="s">
        <v>1805</v>
      </c>
      <c r="H186" s="632" t="s">
        <v>538</v>
      </c>
      <c r="I186" s="638"/>
      <c r="J186" s="634" t="s">
        <v>3176</v>
      </c>
      <c r="K186" s="635"/>
      <c r="L186" s="626"/>
      <c r="M186" s="627"/>
      <c r="N186" s="636" t="s">
        <v>678</v>
      </c>
      <c r="O186" s="636" t="s">
        <v>3818</v>
      </c>
      <c r="P186" s="507" t="s">
        <v>2382</v>
      </c>
      <c r="Q186" s="611"/>
      <c r="S186" s="611"/>
      <c r="T186" s="636" t="s">
        <v>2370</v>
      </c>
      <c r="U186" s="636" t="s">
        <v>3817</v>
      </c>
      <c r="V186" s="611"/>
      <c r="W186" s="611"/>
      <c r="X186" s="611"/>
      <c r="Y186" s="611"/>
      <c r="Z186" s="611"/>
      <c r="AA186" s="611"/>
    </row>
    <row r="187" spans="1:27" ht="12" customHeight="1">
      <c r="A187" s="611"/>
      <c r="B187" s="507" t="s">
        <v>1433</v>
      </c>
      <c r="C187" s="507" t="s">
        <v>2813</v>
      </c>
      <c r="D187" s="507" t="s">
        <v>2037</v>
      </c>
      <c r="E187" s="637" t="s">
        <v>212</v>
      </c>
      <c r="F187" s="637"/>
      <c r="G187" s="631" t="s">
        <v>1806</v>
      </c>
      <c r="H187" s="632" t="s">
        <v>537</v>
      </c>
      <c r="I187" s="638"/>
      <c r="J187" s="634" t="s">
        <v>3178</v>
      </c>
      <c r="K187" s="635"/>
      <c r="L187" s="626"/>
      <c r="M187" s="627"/>
      <c r="N187" s="636" t="s">
        <v>3177</v>
      </c>
      <c r="O187" s="636" t="s">
        <v>428</v>
      </c>
      <c r="P187" s="507" t="s">
        <v>2383</v>
      </c>
      <c r="Q187" s="611"/>
      <c r="S187" s="611"/>
      <c r="T187" s="636" t="s">
        <v>2853</v>
      </c>
      <c r="U187" s="636" t="s">
        <v>124</v>
      </c>
      <c r="V187" s="611"/>
      <c r="W187" s="611"/>
      <c r="X187" s="611"/>
      <c r="Y187" s="611"/>
      <c r="Z187" s="611"/>
      <c r="AA187" s="611"/>
    </row>
    <row r="188" spans="1:27" ht="12" customHeight="1">
      <c r="A188" s="611"/>
      <c r="B188" s="507" t="s">
        <v>1434</v>
      </c>
      <c r="C188" s="507" t="s">
        <v>2012</v>
      </c>
      <c r="D188" s="507" t="s">
        <v>2013</v>
      </c>
      <c r="E188" s="630" t="s">
        <v>2014</v>
      </c>
      <c r="F188" s="630"/>
      <c r="G188" s="631" t="s">
        <v>2866</v>
      </c>
      <c r="H188" s="632" t="s">
        <v>537</v>
      </c>
      <c r="I188" s="633"/>
      <c r="J188" s="634" t="s">
        <v>3180</v>
      </c>
      <c r="K188" s="635"/>
      <c r="L188" s="626"/>
      <c r="M188" s="627"/>
      <c r="N188" s="636" t="s">
        <v>3179</v>
      </c>
      <c r="O188" s="636" t="s">
        <v>241</v>
      </c>
      <c r="P188" s="507" t="s">
        <v>2384</v>
      </c>
      <c r="Q188" s="611"/>
      <c r="S188" s="611"/>
      <c r="T188" s="636" t="s">
        <v>3222</v>
      </c>
      <c r="U188" s="636" t="s">
        <v>120</v>
      </c>
      <c r="V188" s="611"/>
      <c r="W188" s="611"/>
      <c r="X188" s="611"/>
      <c r="Y188" s="611"/>
      <c r="Z188" s="611"/>
      <c r="AA188" s="611"/>
    </row>
    <row r="189" spans="1:27" ht="12" customHeight="1">
      <c r="A189" s="611"/>
      <c r="B189" s="507" t="s">
        <v>1435</v>
      </c>
      <c r="C189" s="507" t="s">
        <v>2015</v>
      </c>
      <c r="D189" s="507" t="s">
        <v>2037</v>
      </c>
      <c r="E189" s="637" t="s">
        <v>1340</v>
      </c>
      <c r="F189" s="637"/>
      <c r="G189" s="631" t="s">
        <v>3887</v>
      </c>
      <c r="H189" s="632" t="s">
        <v>538</v>
      </c>
      <c r="I189" s="638"/>
      <c r="J189" s="634" t="s">
        <v>3182</v>
      </c>
      <c r="K189" s="635"/>
      <c r="L189" s="626"/>
      <c r="M189" s="627"/>
      <c r="N189" s="636" t="s">
        <v>3181</v>
      </c>
      <c r="O189" s="636" t="s">
        <v>126</v>
      </c>
      <c r="P189" s="507" t="s">
        <v>2385</v>
      </c>
      <c r="Q189" s="611"/>
      <c r="S189" s="611"/>
      <c r="T189" s="636" t="s">
        <v>393</v>
      </c>
      <c r="U189" s="636" t="s">
        <v>124</v>
      </c>
      <c r="V189" s="611"/>
      <c r="W189" s="611"/>
      <c r="X189" s="611"/>
      <c r="Y189" s="611"/>
      <c r="Z189" s="611"/>
      <c r="AA189" s="611"/>
    </row>
    <row r="190" spans="1:27" ht="12" customHeight="1">
      <c r="A190" s="611"/>
      <c r="B190" s="507" t="s">
        <v>1436</v>
      </c>
      <c r="C190" s="507" t="s">
        <v>2016</v>
      </c>
      <c r="D190" s="507" t="s">
        <v>2013</v>
      </c>
      <c r="E190" s="637" t="s">
        <v>1340</v>
      </c>
      <c r="F190" s="637"/>
      <c r="G190" s="631" t="s">
        <v>3887</v>
      </c>
      <c r="H190" s="632" t="s">
        <v>538</v>
      </c>
      <c r="I190" s="638"/>
      <c r="J190" s="634" t="s">
        <v>3184</v>
      </c>
      <c r="K190" s="635"/>
      <c r="L190" s="626"/>
      <c r="M190" s="627"/>
      <c r="N190" s="636" t="s">
        <v>3183</v>
      </c>
      <c r="O190" s="636" t="s">
        <v>2019</v>
      </c>
      <c r="P190" s="507" t="s">
        <v>2386</v>
      </c>
      <c r="Q190" s="631"/>
      <c r="S190" s="611"/>
      <c r="T190" s="611"/>
      <c r="U190" s="611"/>
      <c r="V190" s="611"/>
      <c r="W190" s="611"/>
      <c r="X190" s="611"/>
      <c r="Y190" s="611"/>
      <c r="Z190" s="611"/>
      <c r="AA190" s="611"/>
    </row>
    <row r="191" spans="1:27" ht="12" customHeight="1">
      <c r="A191" s="611"/>
      <c r="B191" s="507" t="s">
        <v>1437</v>
      </c>
      <c r="C191" s="507" t="s">
        <v>2017</v>
      </c>
      <c r="D191" s="507" t="s">
        <v>1873</v>
      </c>
      <c r="E191" s="630" t="s">
        <v>2018</v>
      </c>
      <c r="F191" s="630"/>
      <c r="G191" s="631" t="s">
        <v>3888</v>
      </c>
      <c r="H191" s="632" t="s">
        <v>537</v>
      </c>
      <c r="I191" s="633"/>
      <c r="J191" s="634" t="s">
        <v>3039</v>
      </c>
      <c r="K191" s="639"/>
      <c r="L191" s="626"/>
      <c r="M191" s="627"/>
      <c r="N191" s="636" t="s">
        <v>2812</v>
      </c>
      <c r="O191" s="636" t="s">
        <v>1552</v>
      </c>
      <c r="P191" s="507" t="s">
        <v>2387</v>
      </c>
      <c r="Q191" s="631"/>
      <c r="S191" s="611"/>
      <c r="T191" s="611"/>
      <c r="U191" s="611"/>
      <c r="V191" s="611"/>
      <c r="W191" s="611"/>
      <c r="X191" s="611"/>
      <c r="Y191" s="611"/>
      <c r="Z191" s="611"/>
      <c r="AA191" s="611"/>
    </row>
    <row r="192" spans="1:27" ht="12" customHeight="1">
      <c r="A192" s="611"/>
      <c r="B192" s="507" t="s">
        <v>1438</v>
      </c>
      <c r="C192" s="507" t="s">
        <v>2019</v>
      </c>
      <c r="D192" s="507" t="s">
        <v>1873</v>
      </c>
      <c r="E192" s="630" t="s">
        <v>2020</v>
      </c>
      <c r="F192" s="630"/>
      <c r="G192" s="631" t="s">
        <v>3889</v>
      </c>
      <c r="H192" s="632" t="s">
        <v>537</v>
      </c>
      <c r="I192" s="633"/>
      <c r="J192" s="634" t="s">
        <v>237</v>
      </c>
      <c r="K192" s="639"/>
      <c r="L192" s="507"/>
      <c r="M192" s="627"/>
      <c r="N192" s="636" t="s">
        <v>3040</v>
      </c>
      <c r="O192" s="636" t="s">
        <v>635</v>
      </c>
      <c r="P192" s="507" t="s">
        <v>2388</v>
      </c>
      <c r="Q192" s="631"/>
      <c r="S192" s="611"/>
      <c r="T192" s="611"/>
      <c r="U192" s="611"/>
      <c r="V192" s="611"/>
      <c r="W192" s="611"/>
      <c r="X192" s="611"/>
      <c r="Y192" s="611"/>
      <c r="Z192" s="611"/>
      <c r="AA192" s="611"/>
    </row>
    <row r="193" spans="1:27" ht="12" customHeight="1">
      <c r="A193" s="611"/>
      <c r="B193" s="507" t="s">
        <v>1439</v>
      </c>
      <c r="C193" s="507" t="s">
        <v>2021</v>
      </c>
      <c r="D193" s="507" t="s">
        <v>2037</v>
      </c>
      <c r="E193" s="637" t="s">
        <v>2022</v>
      </c>
      <c r="F193" s="637"/>
      <c r="G193" s="631" t="s">
        <v>3890</v>
      </c>
      <c r="H193" s="632" t="s">
        <v>538</v>
      </c>
      <c r="I193" s="638"/>
      <c r="J193" s="634" t="s">
        <v>239</v>
      </c>
      <c r="K193" s="639"/>
      <c r="L193" s="626"/>
      <c r="M193" s="627"/>
      <c r="N193" s="636" t="s">
        <v>238</v>
      </c>
      <c r="O193" s="636" t="s">
        <v>2182</v>
      </c>
      <c r="P193" s="507" t="s">
        <v>2389</v>
      </c>
      <c r="Q193" s="631"/>
      <c r="S193" s="611"/>
      <c r="T193" s="611"/>
      <c r="U193" s="611"/>
      <c r="V193" s="611"/>
      <c r="W193" s="611"/>
      <c r="X193" s="611"/>
      <c r="Y193" s="611"/>
      <c r="Z193" s="611"/>
      <c r="AA193" s="611"/>
    </row>
    <row r="194" spans="1:27" ht="12" customHeight="1">
      <c r="A194" s="611"/>
      <c r="B194" s="507" t="s">
        <v>1440</v>
      </c>
      <c r="C194" s="507" t="s">
        <v>2023</v>
      </c>
      <c r="D194" s="507" t="s">
        <v>1873</v>
      </c>
      <c r="E194" s="637" t="s">
        <v>2024</v>
      </c>
      <c r="F194" s="637"/>
      <c r="G194" s="631" t="s">
        <v>3891</v>
      </c>
      <c r="H194" s="632" t="s">
        <v>537</v>
      </c>
      <c r="I194" s="638"/>
      <c r="J194" s="634" t="s">
        <v>658</v>
      </c>
      <c r="K194" s="635"/>
      <c r="L194" s="626"/>
      <c r="M194" s="627"/>
      <c r="N194" s="636" t="s">
        <v>240</v>
      </c>
      <c r="O194" s="636" t="s">
        <v>3634</v>
      </c>
      <c r="P194" s="507" t="s">
        <v>2390</v>
      </c>
      <c r="Q194" s="631"/>
      <c r="S194" s="611"/>
      <c r="T194" s="611"/>
      <c r="U194" s="611"/>
      <c r="V194" s="611"/>
      <c r="W194" s="611"/>
      <c r="X194" s="611"/>
      <c r="Y194" s="611"/>
      <c r="Z194" s="611"/>
      <c r="AA194" s="611"/>
    </row>
    <row r="195" spans="1:27" ht="12" customHeight="1">
      <c r="A195" s="611"/>
      <c r="B195" s="507" t="s">
        <v>1441</v>
      </c>
      <c r="C195" s="507" t="s">
        <v>2025</v>
      </c>
      <c r="D195" s="507" t="s">
        <v>1873</v>
      </c>
      <c r="E195" s="630" t="s">
        <v>13</v>
      </c>
      <c r="F195" s="630"/>
      <c r="G195" s="631" t="s">
        <v>3892</v>
      </c>
      <c r="H195" s="632" t="s">
        <v>538</v>
      </c>
      <c r="I195" s="633"/>
      <c r="J195" s="634" t="s">
        <v>660</v>
      </c>
      <c r="K195" s="635"/>
      <c r="L195" s="626"/>
      <c r="M195" s="627"/>
      <c r="N195" s="636" t="s">
        <v>659</v>
      </c>
      <c r="O195" s="636" t="s">
        <v>2809</v>
      </c>
      <c r="P195" s="507" t="s">
        <v>2391</v>
      </c>
      <c r="Q195" s="631"/>
      <c r="S195" s="611"/>
      <c r="T195" s="611"/>
      <c r="U195" s="611"/>
      <c r="V195" s="611"/>
      <c r="W195" s="611"/>
      <c r="X195" s="611"/>
      <c r="Y195" s="611"/>
      <c r="Z195" s="611"/>
      <c r="AA195" s="611"/>
    </row>
    <row r="196" spans="1:27" ht="12" customHeight="1">
      <c r="A196" s="611"/>
      <c r="B196" s="507" t="s">
        <v>1442</v>
      </c>
      <c r="C196" s="507" t="s">
        <v>2026</v>
      </c>
      <c r="D196" s="507" t="s">
        <v>1873</v>
      </c>
      <c r="E196" s="630" t="s">
        <v>2714</v>
      </c>
      <c r="F196" s="630"/>
      <c r="G196" s="631" t="s">
        <v>3893</v>
      </c>
      <c r="H196" s="632" t="s">
        <v>538</v>
      </c>
      <c r="I196" s="633"/>
      <c r="J196" s="634" t="s">
        <v>662</v>
      </c>
      <c r="K196" s="635"/>
      <c r="L196" s="626"/>
      <c r="M196" s="627"/>
      <c r="N196" s="636" t="s">
        <v>661</v>
      </c>
      <c r="O196" s="636" t="s">
        <v>1868</v>
      </c>
      <c r="P196" s="507" t="s">
        <v>2392</v>
      </c>
      <c r="Q196" s="631"/>
      <c r="S196" s="611"/>
      <c r="T196" s="611"/>
      <c r="U196" s="611"/>
      <c r="V196" s="611"/>
      <c r="W196" s="611"/>
      <c r="X196" s="611"/>
      <c r="Y196" s="611"/>
      <c r="Z196" s="611"/>
      <c r="AA196" s="611"/>
    </row>
    <row r="197" spans="1:27" ht="12" customHeight="1">
      <c r="A197" s="611"/>
      <c r="B197" s="507" t="s">
        <v>1443</v>
      </c>
      <c r="C197" s="507" t="s">
        <v>2027</v>
      </c>
      <c r="D197" s="507" t="s">
        <v>1873</v>
      </c>
      <c r="E197" s="637" t="s">
        <v>2028</v>
      </c>
      <c r="F197" s="637"/>
      <c r="G197" s="631" t="s">
        <v>2189</v>
      </c>
      <c r="H197" s="632" t="s">
        <v>538</v>
      </c>
      <c r="I197" s="638"/>
      <c r="J197" s="634" t="s">
        <v>664</v>
      </c>
      <c r="K197" s="635"/>
      <c r="L197" s="626"/>
      <c r="M197" s="627"/>
      <c r="N197" s="636" t="s">
        <v>663</v>
      </c>
      <c r="O197" s="636" t="s">
        <v>241</v>
      </c>
      <c r="P197" s="507" t="s">
        <v>2393</v>
      </c>
      <c r="Q197" s="631"/>
      <c r="S197" s="611"/>
      <c r="T197" s="611"/>
      <c r="U197" s="611"/>
      <c r="V197" s="611"/>
      <c r="W197" s="611"/>
      <c r="X197" s="611"/>
      <c r="Y197" s="611"/>
      <c r="Z197" s="611"/>
      <c r="AA197" s="611"/>
    </row>
    <row r="198" spans="1:27" ht="12" customHeight="1">
      <c r="A198" s="611"/>
      <c r="B198" s="507" t="s">
        <v>1444</v>
      </c>
      <c r="C198" s="507" t="s">
        <v>2029</v>
      </c>
      <c r="D198" s="507" t="s">
        <v>1873</v>
      </c>
      <c r="E198" s="637" t="s">
        <v>2030</v>
      </c>
      <c r="F198" s="637"/>
      <c r="G198" s="631" t="s">
        <v>3911</v>
      </c>
      <c r="H198" s="632" t="s">
        <v>537</v>
      </c>
      <c r="I198" s="638"/>
      <c r="J198" s="634" t="s">
        <v>3393</v>
      </c>
      <c r="K198" s="635"/>
      <c r="L198" s="626"/>
      <c r="M198" s="627"/>
      <c r="N198" s="636" t="s">
        <v>665</v>
      </c>
      <c r="O198" s="636" t="s">
        <v>137</v>
      </c>
      <c r="P198" s="507" t="s">
        <v>2394</v>
      </c>
      <c r="Q198" s="631"/>
      <c r="S198" s="611"/>
      <c r="T198" s="611"/>
      <c r="U198" s="611"/>
      <c r="V198" s="611"/>
      <c r="W198" s="611"/>
      <c r="X198" s="611"/>
      <c r="Y198" s="611"/>
      <c r="Z198" s="611"/>
      <c r="AA198" s="611"/>
    </row>
    <row r="199" spans="1:27" ht="12" customHeight="1">
      <c r="A199" s="611"/>
      <c r="B199" s="507" t="s">
        <v>1445</v>
      </c>
      <c r="C199" s="507" t="s">
        <v>2031</v>
      </c>
      <c r="D199" s="507" t="s">
        <v>2037</v>
      </c>
      <c r="E199" s="637" t="s">
        <v>1341</v>
      </c>
      <c r="F199" s="637"/>
      <c r="G199" s="631" t="s">
        <v>3912</v>
      </c>
      <c r="H199" s="632" t="s">
        <v>538</v>
      </c>
      <c r="I199" s="638"/>
      <c r="J199" s="634" t="s">
        <v>3395</v>
      </c>
      <c r="K199" s="635"/>
      <c r="L199" s="626"/>
      <c r="M199" s="627"/>
      <c r="N199" s="636" t="s">
        <v>3394</v>
      </c>
      <c r="O199" s="636" t="s">
        <v>3763</v>
      </c>
      <c r="P199" s="507" t="s">
        <v>2395</v>
      </c>
      <c r="Q199" s="631"/>
      <c r="S199" s="611"/>
      <c r="T199" s="611"/>
      <c r="U199" s="611"/>
      <c r="V199" s="611"/>
      <c r="W199" s="611"/>
      <c r="X199" s="611"/>
      <c r="Y199" s="611"/>
      <c r="Z199" s="611"/>
      <c r="AA199" s="611"/>
    </row>
    <row r="200" spans="1:27" ht="12" customHeight="1">
      <c r="A200" s="611"/>
      <c r="B200" s="507" t="s">
        <v>1446</v>
      </c>
      <c r="C200" s="507" t="s">
        <v>2033</v>
      </c>
      <c r="D200" s="507" t="s">
        <v>2037</v>
      </c>
      <c r="E200" s="637" t="s">
        <v>1340</v>
      </c>
      <c r="F200" s="637"/>
      <c r="G200" s="631" t="s">
        <v>1942</v>
      </c>
      <c r="H200" s="632" t="s">
        <v>538</v>
      </c>
      <c r="I200" s="638"/>
      <c r="J200" s="634" t="s">
        <v>473</v>
      </c>
      <c r="K200" s="635"/>
      <c r="L200" s="626"/>
      <c r="M200" s="627"/>
      <c r="N200" s="636" t="s">
        <v>2901</v>
      </c>
      <c r="O200" s="636" t="s">
        <v>3285</v>
      </c>
      <c r="P200" s="507" t="s">
        <v>2396</v>
      </c>
      <c r="Q200" s="631"/>
      <c r="S200" s="611"/>
      <c r="T200" s="611"/>
      <c r="U200" s="611"/>
      <c r="V200" s="611"/>
      <c r="W200" s="611"/>
      <c r="X200" s="611"/>
      <c r="Y200" s="611"/>
      <c r="Z200" s="611"/>
      <c r="AA200" s="611"/>
    </row>
    <row r="201" spans="1:27" ht="12" customHeight="1">
      <c r="A201" s="611"/>
      <c r="B201" s="507" t="s">
        <v>1447</v>
      </c>
      <c r="C201" s="507" t="s">
        <v>2034</v>
      </c>
      <c r="D201" s="507" t="s">
        <v>1873</v>
      </c>
      <c r="E201" s="630" t="s">
        <v>2035</v>
      </c>
      <c r="F201" s="630"/>
      <c r="G201" s="631" t="s">
        <v>1943</v>
      </c>
      <c r="H201" s="632" t="s">
        <v>537</v>
      </c>
      <c r="I201" s="633"/>
      <c r="J201" s="634" t="s">
        <v>475</v>
      </c>
      <c r="K201" s="635"/>
      <c r="L201" s="626"/>
      <c r="M201" s="627"/>
      <c r="N201" s="636" t="s">
        <v>474</v>
      </c>
      <c r="O201" s="636" t="s">
        <v>3285</v>
      </c>
      <c r="P201" s="507" t="s">
        <v>2397</v>
      </c>
      <c r="Q201" s="631"/>
      <c r="S201" s="611"/>
      <c r="T201" s="611"/>
      <c r="U201" s="611"/>
      <c r="V201" s="611"/>
      <c r="W201" s="611"/>
      <c r="X201" s="611"/>
      <c r="Y201" s="611"/>
      <c r="Z201" s="611"/>
      <c r="AA201" s="611"/>
    </row>
    <row r="202" spans="1:27" ht="12" customHeight="1">
      <c r="A202" s="611"/>
      <c r="B202" s="507" t="s">
        <v>1448</v>
      </c>
      <c r="C202" s="507" t="s">
        <v>2036</v>
      </c>
      <c r="D202" s="507" t="s">
        <v>1873</v>
      </c>
      <c r="E202" s="637" t="s">
        <v>1220</v>
      </c>
      <c r="F202" s="637"/>
      <c r="G202" s="631" t="s">
        <v>1944</v>
      </c>
      <c r="H202" s="632" t="s">
        <v>537</v>
      </c>
      <c r="I202" s="638"/>
      <c r="J202" s="634" t="s">
        <v>3844</v>
      </c>
      <c r="K202" s="635"/>
      <c r="L202" s="626"/>
      <c r="M202" s="627"/>
      <c r="N202" s="636" t="s">
        <v>3845</v>
      </c>
      <c r="O202" s="636" t="s">
        <v>3822</v>
      </c>
      <c r="P202" s="507" t="s">
        <v>2398</v>
      </c>
      <c r="Q202" s="631"/>
      <c r="S202" s="611"/>
      <c r="T202" s="611"/>
      <c r="U202" s="611"/>
      <c r="V202" s="611"/>
      <c r="W202" s="611"/>
      <c r="X202" s="611"/>
      <c r="Y202" s="611"/>
      <c r="Z202" s="611"/>
      <c r="AA202" s="611"/>
    </row>
    <row r="203" spans="1:27" ht="12" customHeight="1">
      <c r="A203" s="611"/>
      <c r="B203" s="507" t="s">
        <v>1449</v>
      </c>
      <c r="C203" s="507" t="s">
        <v>1221</v>
      </c>
      <c r="D203" s="507" t="s">
        <v>1873</v>
      </c>
      <c r="E203" s="630" t="s">
        <v>1222</v>
      </c>
      <c r="F203" s="630"/>
      <c r="G203" s="631" t="s">
        <v>2729</v>
      </c>
      <c r="H203" s="632" t="s">
        <v>537</v>
      </c>
      <c r="I203" s="633"/>
      <c r="J203" s="634" t="s">
        <v>3846</v>
      </c>
      <c r="K203" s="635"/>
      <c r="L203" s="626"/>
      <c r="M203" s="627"/>
      <c r="N203" s="636" t="s">
        <v>3847</v>
      </c>
      <c r="O203" s="636" t="s">
        <v>1729</v>
      </c>
      <c r="P203" s="507" t="s">
        <v>2399</v>
      </c>
      <c r="Q203" s="631"/>
      <c r="S203" s="611"/>
      <c r="T203" s="611"/>
      <c r="U203" s="611"/>
      <c r="V203" s="611"/>
      <c r="W203" s="611"/>
      <c r="X203" s="611"/>
      <c r="Y203" s="611"/>
      <c r="Z203" s="611"/>
      <c r="AA203" s="611"/>
    </row>
    <row r="204" spans="1:27" ht="12" customHeight="1">
      <c r="A204" s="611"/>
      <c r="B204" s="507" t="s">
        <v>1450</v>
      </c>
      <c r="C204" s="507" t="s">
        <v>1223</v>
      </c>
      <c r="D204" s="507" t="s">
        <v>2037</v>
      </c>
      <c r="E204" s="637" t="s">
        <v>1340</v>
      </c>
      <c r="F204" s="637"/>
      <c r="G204" s="631" t="s">
        <v>3887</v>
      </c>
      <c r="H204" s="632" t="s">
        <v>538</v>
      </c>
      <c r="I204" s="638"/>
      <c r="J204" s="634" t="s">
        <v>3848</v>
      </c>
      <c r="K204" s="635"/>
      <c r="L204" s="626"/>
      <c r="M204" s="627"/>
      <c r="N204" s="636" t="s">
        <v>3849</v>
      </c>
      <c r="O204" s="636" t="s">
        <v>419</v>
      </c>
      <c r="P204" s="507" t="s">
        <v>2400</v>
      </c>
      <c r="Q204" s="631"/>
      <c r="S204" s="611"/>
      <c r="T204" s="611"/>
      <c r="U204" s="611"/>
      <c r="V204" s="611"/>
      <c r="W204" s="611"/>
      <c r="X204" s="611"/>
      <c r="Y204" s="611"/>
      <c r="Z204" s="611"/>
      <c r="AA204" s="611"/>
    </row>
    <row r="205" spans="1:27" ht="12" customHeight="1">
      <c r="A205" s="611"/>
      <c r="B205" s="507" t="s">
        <v>1451</v>
      </c>
      <c r="C205" s="507" t="s">
        <v>2271</v>
      </c>
      <c r="D205" s="507" t="s">
        <v>2013</v>
      </c>
      <c r="E205" s="637" t="s">
        <v>2272</v>
      </c>
      <c r="F205" s="637"/>
      <c r="G205" s="631" t="s">
        <v>2698</v>
      </c>
      <c r="H205" s="632" t="s">
        <v>538</v>
      </c>
      <c r="I205" s="638"/>
      <c r="J205" s="634" t="s">
        <v>3850</v>
      </c>
      <c r="K205" s="635"/>
      <c r="L205" s="626"/>
      <c r="M205" s="627"/>
      <c r="N205" s="636" t="s">
        <v>3851</v>
      </c>
      <c r="O205" s="636" t="s">
        <v>3760</v>
      </c>
      <c r="P205" s="507" t="s">
        <v>2401</v>
      </c>
      <c r="Q205" s="631"/>
      <c r="S205" s="611"/>
      <c r="T205" s="611"/>
      <c r="U205" s="611"/>
      <c r="V205" s="611"/>
      <c r="W205" s="611"/>
      <c r="X205" s="611"/>
      <c r="Y205" s="611"/>
      <c r="Z205" s="611"/>
      <c r="AA205" s="611"/>
    </row>
    <row r="206" spans="1:27" ht="12" customHeight="1">
      <c r="A206" s="611"/>
      <c r="B206" s="507" t="s">
        <v>1452</v>
      </c>
      <c r="C206" s="507" t="s">
        <v>213</v>
      </c>
      <c r="D206" s="507" t="s">
        <v>1873</v>
      </c>
      <c r="E206" s="630" t="s">
        <v>214</v>
      </c>
      <c r="F206" s="630"/>
      <c r="G206" s="631" t="s">
        <v>2699</v>
      </c>
      <c r="H206" s="632" t="s">
        <v>537</v>
      </c>
      <c r="I206" s="633"/>
      <c r="J206" s="634" t="s">
        <v>3852</v>
      </c>
      <c r="K206" s="635"/>
      <c r="L206" s="626"/>
      <c r="M206" s="627"/>
      <c r="N206" s="636" t="s">
        <v>3853</v>
      </c>
      <c r="O206" s="636" t="s">
        <v>2034</v>
      </c>
      <c r="P206" s="507" t="s">
        <v>2402</v>
      </c>
      <c r="Q206" s="631"/>
      <c r="S206" s="611"/>
      <c r="T206" s="611"/>
      <c r="U206" s="611"/>
      <c r="V206" s="611"/>
      <c r="W206" s="611"/>
      <c r="X206" s="611"/>
      <c r="Y206" s="611"/>
      <c r="Z206" s="611"/>
      <c r="AA206" s="611"/>
    </row>
    <row r="207" spans="1:27" ht="12" customHeight="1">
      <c r="A207" s="611"/>
      <c r="B207" s="507" t="s">
        <v>1453</v>
      </c>
      <c r="C207" s="507" t="s">
        <v>215</v>
      </c>
      <c r="D207" s="507" t="s">
        <v>1873</v>
      </c>
      <c r="E207" s="637" t="s">
        <v>2028</v>
      </c>
      <c r="F207" s="637"/>
      <c r="G207" s="631" t="s">
        <v>2189</v>
      </c>
      <c r="H207" s="632" t="s">
        <v>538</v>
      </c>
      <c r="I207" s="638"/>
      <c r="J207" s="634" t="s">
        <v>3854</v>
      </c>
      <c r="K207" s="635"/>
      <c r="L207" s="626"/>
      <c r="M207" s="627"/>
      <c r="N207" s="636" t="s">
        <v>3856</v>
      </c>
      <c r="O207" s="636" t="s">
        <v>3904</v>
      </c>
      <c r="P207" s="507" t="s">
        <v>2403</v>
      </c>
      <c r="Q207" s="631"/>
      <c r="S207" s="611"/>
      <c r="T207" s="611"/>
      <c r="U207" s="611"/>
      <c r="V207" s="611"/>
      <c r="W207" s="611"/>
      <c r="X207" s="611"/>
      <c r="Y207" s="611"/>
      <c r="Z207" s="611"/>
      <c r="AA207" s="611"/>
    </row>
    <row r="208" spans="1:27" ht="12" customHeight="1">
      <c r="A208" s="611"/>
      <c r="B208" s="507" t="s">
        <v>2044</v>
      </c>
      <c r="C208" s="507" t="s">
        <v>216</v>
      </c>
      <c r="D208" s="507" t="s">
        <v>2037</v>
      </c>
      <c r="E208" s="637" t="s">
        <v>217</v>
      </c>
      <c r="F208" s="637"/>
      <c r="G208" s="631" t="s">
        <v>2700</v>
      </c>
      <c r="H208" s="632" t="s">
        <v>538</v>
      </c>
      <c r="I208" s="638"/>
      <c r="J208" s="634" t="s">
        <v>3855</v>
      </c>
      <c r="K208" s="635"/>
      <c r="L208" s="626"/>
      <c r="M208" s="627"/>
      <c r="N208" s="636" t="s">
        <v>3858</v>
      </c>
      <c r="O208" s="636" t="s">
        <v>2988</v>
      </c>
      <c r="P208" s="507" t="s">
        <v>2404</v>
      </c>
      <c r="Q208" s="631"/>
      <c r="S208" s="611"/>
      <c r="T208" s="611"/>
      <c r="U208" s="611"/>
      <c r="V208" s="611"/>
      <c r="W208" s="611"/>
      <c r="X208" s="611"/>
      <c r="Y208" s="611"/>
      <c r="Z208" s="611"/>
      <c r="AA208" s="611"/>
    </row>
    <row r="209" spans="1:27" ht="12" customHeight="1">
      <c r="A209" s="611"/>
      <c r="B209" s="507" t="s">
        <v>2045</v>
      </c>
      <c r="C209" s="507" t="s">
        <v>218</v>
      </c>
      <c r="D209" s="507" t="s">
        <v>2013</v>
      </c>
      <c r="E209" s="630" t="s">
        <v>219</v>
      </c>
      <c r="F209" s="630"/>
      <c r="G209" s="631" t="s">
        <v>2701</v>
      </c>
      <c r="H209" s="632" t="s">
        <v>537</v>
      </c>
      <c r="I209" s="633"/>
      <c r="J209" s="634" t="s">
        <v>3857</v>
      </c>
      <c r="K209" s="635"/>
      <c r="L209" s="626"/>
      <c r="M209" s="627"/>
      <c r="N209" s="636" t="s">
        <v>222</v>
      </c>
      <c r="O209" s="636" t="s">
        <v>221</v>
      </c>
      <c r="P209" s="1579" t="s">
        <v>1413</v>
      </c>
      <c r="Q209" s="611"/>
      <c r="S209" s="611"/>
      <c r="T209" s="611"/>
      <c r="U209" s="611"/>
      <c r="V209" s="611"/>
      <c r="W209" s="611"/>
      <c r="X209" s="611"/>
      <c r="Y209" s="611"/>
      <c r="Z209" s="611"/>
      <c r="AA209" s="611"/>
    </row>
    <row r="210" spans="1:27" ht="12" customHeight="1">
      <c r="A210" s="611"/>
      <c r="B210" s="507" t="s">
        <v>2046</v>
      </c>
      <c r="C210" s="507" t="s">
        <v>220</v>
      </c>
      <c r="D210" s="507" t="s">
        <v>2013</v>
      </c>
      <c r="E210" s="637" t="s">
        <v>1340</v>
      </c>
      <c r="F210" s="637"/>
      <c r="G210" s="631" t="s">
        <v>3887</v>
      </c>
      <c r="H210" s="632" t="s">
        <v>538</v>
      </c>
      <c r="I210" s="638"/>
      <c r="J210" s="634" t="s">
        <v>531</v>
      </c>
      <c r="K210" s="635"/>
      <c r="L210" s="626"/>
      <c r="M210" s="627"/>
      <c r="N210" s="636" t="s">
        <v>1867</v>
      </c>
      <c r="O210" s="636" t="s">
        <v>1868</v>
      </c>
      <c r="P210" s="507" t="s">
        <v>2405</v>
      </c>
      <c r="Q210" s="631"/>
      <c r="S210" s="611"/>
      <c r="T210" s="611"/>
      <c r="U210" s="611"/>
      <c r="V210" s="611"/>
      <c r="W210" s="611"/>
      <c r="X210" s="611"/>
      <c r="Y210" s="611"/>
      <c r="Z210" s="611"/>
      <c r="AA210" s="611"/>
    </row>
    <row r="211" spans="1:27" ht="12" customHeight="1">
      <c r="A211" s="611"/>
      <c r="B211" s="507" t="s">
        <v>2047</v>
      </c>
      <c r="C211" s="507" t="s">
        <v>221</v>
      </c>
      <c r="D211" s="507" t="s">
        <v>2037</v>
      </c>
      <c r="E211" s="630" t="s">
        <v>3135</v>
      </c>
      <c r="F211" s="630"/>
      <c r="G211" s="631" t="s">
        <v>957</v>
      </c>
      <c r="H211" s="632" t="s">
        <v>538</v>
      </c>
      <c r="I211" s="633"/>
      <c r="J211" s="634" t="s">
        <v>532</v>
      </c>
      <c r="K211" s="635"/>
      <c r="L211" s="507"/>
      <c r="M211" s="627"/>
      <c r="N211" s="636" t="s">
        <v>1359</v>
      </c>
      <c r="O211" s="636" t="s">
        <v>254</v>
      </c>
      <c r="P211" s="507" t="s">
        <v>2406</v>
      </c>
      <c r="Q211" s="631"/>
      <c r="S211" s="611"/>
      <c r="T211" s="611"/>
      <c r="U211" s="611"/>
      <c r="V211" s="611"/>
      <c r="W211" s="611"/>
      <c r="X211" s="611"/>
      <c r="Y211" s="611"/>
      <c r="Z211" s="611"/>
      <c r="AA211" s="611"/>
    </row>
    <row r="212" spans="1:27" ht="12" customHeight="1">
      <c r="A212" s="611"/>
      <c r="B212" s="507" t="s">
        <v>2048</v>
      </c>
      <c r="C212" s="507" t="s">
        <v>3757</v>
      </c>
      <c r="D212" s="507" t="s">
        <v>1873</v>
      </c>
      <c r="E212" s="630" t="s">
        <v>3758</v>
      </c>
      <c r="F212" s="630"/>
      <c r="G212" s="631" t="s">
        <v>958</v>
      </c>
      <c r="H212" s="632" t="s">
        <v>537</v>
      </c>
      <c r="I212" s="633"/>
      <c r="J212" s="634" t="s">
        <v>1358</v>
      </c>
      <c r="K212" s="639"/>
      <c r="L212" s="626"/>
      <c r="M212" s="627"/>
      <c r="N212" s="636" t="s">
        <v>3167</v>
      </c>
      <c r="O212" s="636" t="s">
        <v>2015</v>
      </c>
      <c r="P212" s="507" t="s">
        <v>2407</v>
      </c>
      <c r="Q212" s="631"/>
      <c r="S212" s="611"/>
      <c r="T212" s="611"/>
      <c r="U212" s="611"/>
      <c r="V212" s="611"/>
      <c r="W212" s="611"/>
      <c r="X212" s="611"/>
      <c r="Y212" s="611"/>
      <c r="Z212" s="611"/>
      <c r="AA212" s="611"/>
    </row>
    <row r="213" spans="1:27" ht="12" customHeight="1">
      <c r="A213" s="611"/>
      <c r="B213" s="507" t="s">
        <v>2049</v>
      </c>
      <c r="C213" s="507" t="s">
        <v>3759</v>
      </c>
      <c r="D213" s="507" t="s">
        <v>2037</v>
      </c>
      <c r="E213" s="637" t="s">
        <v>1340</v>
      </c>
      <c r="F213" s="637"/>
      <c r="G213" s="631" t="s">
        <v>3887</v>
      </c>
      <c r="H213" s="632" t="s">
        <v>538</v>
      </c>
      <c r="I213" s="638"/>
      <c r="J213" s="634" t="s">
        <v>1360</v>
      </c>
      <c r="K213" s="639"/>
      <c r="L213" s="626"/>
      <c r="M213" s="627"/>
      <c r="N213" s="636" t="s">
        <v>2032</v>
      </c>
      <c r="O213" s="636" t="s">
        <v>1741</v>
      </c>
      <c r="P213" s="1579" t="s">
        <v>1413</v>
      </c>
      <c r="Q213" s="611"/>
      <c r="S213" s="611"/>
      <c r="T213" s="611"/>
      <c r="U213" s="611"/>
      <c r="V213" s="611"/>
      <c r="W213" s="611"/>
      <c r="X213" s="611"/>
      <c r="Y213" s="611"/>
      <c r="Z213" s="611"/>
      <c r="AA213" s="611"/>
    </row>
    <row r="214" spans="1:27" ht="12" customHeight="1">
      <c r="A214" s="611"/>
      <c r="B214" s="507" t="s">
        <v>2050</v>
      </c>
      <c r="C214" s="507" t="s">
        <v>3760</v>
      </c>
      <c r="D214" s="507" t="s">
        <v>1873</v>
      </c>
      <c r="E214" s="630" t="s">
        <v>3761</v>
      </c>
      <c r="F214" s="630"/>
      <c r="G214" s="631" t="s">
        <v>959</v>
      </c>
      <c r="H214" s="632" t="s">
        <v>537</v>
      </c>
      <c r="I214" s="633"/>
      <c r="J214" s="634" t="s">
        <v>3168</v>
      </c>
      <c r="K214" s="639"/>
      <c r="L214" s="626"/>
      <c r="M214" s="627"/>
      <c r="N214" s="636" t="s">
        <v>3170</v>
      </c>
      <c r="O214" s="636" t="s">
        <v>3762</v>
      </c>
      <c r="P214" s="507" t="s">
        <v>2408</v>
      </c>
      <c r="Q214" s="631"/>
      <c r="S214" s="611"/>
      <c r="T214" s="611"/>
      <c r="U214" s="611"/>
      <c r="V214" s="611"/>
      <c r="W214" s="611"/>
      <c r="X214" s="611"/>
      <c r="Y214" s="611"/>
      <c r="Z214" s="611"/>
      <c r="AA214" s="611"/>
    </row>
    <row r="215" spans="1:27" ht="12" customHeight="1">
      <c r="A215" s="611"/>
      <c r="B215" s="507" t="s">
        <v>2051</v>
      </c>
      <c r="C215" s="507" t="s">
        <v>3762</v>
      </c>
      <c r="D215" s="507" t="s">
        <v>2013</v>
      </c>
      <c r="E215" s="637" t="s">
        <v>1340</v>
      </c>
      <c r="F215" s="637"/>
      <c r="G215" s="631" t="s">
        <v>3887</v>
      </c>
      <c r="H215" s="632" t="s">
        <v>538</v>
      </c>
      <c r="I215" s="638"/>
      <c r="J215" s="634" t="s">
        <v>3169</v>
      </c>
      <c r="K215" s="639"/>
      <c r="L215" s="626"/>
      <c r="M215" s="627"/>
      <c r="N215" s="636" t="s">
        <v>3077</v>
      </c>
      <c r="O215" s="636" t="s">
        <v>3281</v>
      </c>
      <c r="P215" s="507" t="s">
        <v>2409</v>
      </c>
      <c r="Q215" s="631"/>
      <c r="S215" s="611"/>
      <c r="T215" s="611"/>
      <c r="U215" s="611"/>
      <c r="V215" s="611"/>
      <c r="W215" s="611"/>
      <c r="X215" s="611"/>
      <c r="Y215" s="611"/>
      <c r="Z215" s="611"/>
      <c r="AA215" s="611"/>
    </row>
    <row r="216" spans="1:27" ht="12" customHeight="1">
      <c r="A216" s="611"/>
      <c r="B216" s="507" t="s">
        <v>2052</v>
      </c>
      <c r="C216" s="507" t="s">
        <v>3763</v>
      </c>
      <c r="D216" s="507" t="s">
        <v>1873</v>
      </c>
      <c r="E216" s="630" t="s">
        <v>3764</v>
      </c>
      <c r="F216" s="630"/>
      <c r="G216" s="631" t="s">
        <v>960</v>
      </c>
      <c r="H216" s="632" t="s">
        <v>537</v>
      </c>
      <c r="I216" s="633"/>
      <c r="J216" s="634" t="s">
        <v>3171</v>
      </c>
      <c r="K216" s="639"/>
      <c r="L216" s="626"/>
      <c r="M216" s="627"/>
      <c r="N216" s="636" t="s">
        <v>3172</v>
      </c>
      <c r="O216" s="636" t="s">
        <v>424</v>
      </c>
      <c r="P216" s="507" t="s">
        <v>2410</v>
      </c>
      <c r="Q216" s="631"/>
      <c r="S216" s="611"/>
      <c r="T216" s="611"/>
      <c r="U216" s="611"/>
      <c r="V216" s="611"/>
      <c r="W216" s="611"/>
      <c r="X216" s="611"/>
      <c r="Y216" s="611"/>
      <c r="Z216" s="611"/>
      <c r="AA216" s="611"/>
    </row>
    <row r="217" spans="1:27" ht="12" customHeight="1">
      <c r="A217" s="611"/>
      <c r="B217" s="507" t="s">
        <v>2053</v>
      </c>
      <c r="C217" s="507" t="s">
        <v>3765</v>
      </c>
      <c r="D217" s="507" t="s">
        <v>1873</v>
      </c>
      <c r="E217" s="630" t="s">
        <v>3816</v>
      </c>
      <c r="F217" s="630"/>
      <c r="G217" s="631" t="s">
        <v>961</v>
      </c>
      <c r="H217" s="632" t="s">
        <v>537</v>
      </c>
      <c r="I217" s="633"/>
      <c r="J217" s="634" t="s">
        <v>3203</v>
      </c>
      <c r="K217" s="639"/>
      <c r="L217" s="626"/>
      <c r="M217" s="627"/>
      <c r="N217" s="636" t="s">
        <v>3204</v>
      </c>
      <c r="O217" s="636" t="s">
        <v>965</v>
      </c>
      <c r="P217" s="507" t="s">
        <v>2411</v>
      </c>
      <c r="Q217" s="631"/>
      <c r="S217" s="611"/>
      <c r="T217" s="611"/>
      <c r="U217" s="611"/>
      <c r="V217" s="611"/>
      <c r="W217" s="611"/>
      <c r="X217" s="611"/>
      <c r="Y217" s="611"/>
      <c r="Z217" s="611"/>
      <c r="AA217" s="611"/>
    </row>
    <row r="218" spans="1:27" ht="12" customHeight="1">
      <c r="A218" s="611"/>
      <c r="B218" s="507" t="s">
        <v>2054</v>
      </c>
      <c r="C218" s="507" t="s">
        <v>3817</v>
      </c>
      <c r="D218" s="507" t="s">
        <v>2037</v>
      </c>
      <c r="E218" s="637" t="s">
        <v>1341</v>
      </c>
      <c r="F218" s="637"/>
      <c r="G218" s="631" t="s">
        <v>3912</v>
      </c>
      <c r="H218" s="632" t="s">
        <v>538</v>
      </c>
      <c r="I218" s="638"/>
      <c r="J218" s="634" t="s">
        <v>3205</v>
      </c>
      <c r="K218" s="639"/>
      <c r="L218" s="626"/>
      <c r="M218" s="627"/>
      <c r="N218" s="636" t="s">
        <v>3206</v>
      </c>
      <c r="O218" s="636" t="s">
        <v>2541</v>
      </c>
      <c r="P218" s="507" t="s">
        <v>2412</v>
      </c>
      <c r="Q218" s="631"/>
      <c r="S218" s="611"/>
      <c r="T218" s="611"/>
      <c r="U218" s="611"/>
      <c r="V218" s="611"/>
      <c r="W218" s="611"/>
      <c r="X218" s="611"/>
      <c r="Y218" s="611"/>
      <c r="Z218" s="611"/>
      <c r="AA218" s="611"/>
    </row>
    <row r="219" spans="1:27" ht="12" customHeight="1">
      <c r="A219" s="611"/>
      <c r="B219" s="507" t="s">
        <v>2055</v>
      </c>
      <c r="C219" s="507" t="s">
        <v>3818</v>
      </c>
      <c r="D219" s="507" t="s">
        <v>1873</v>
      </c>
      <c r="E219" s="630" t="s">
        <v>3819</v>
      </c>
      <c r="F219" s="630"/>
      <c r="G219" s="631" t="s">
        <v>962</v>
      </c>
      <c r="H219" s="632" t="s">
        <v>537</v>
      </c>
      <c r="I219" s="633"/>
      <c r="J219" s="634" t="s">
        <v>3207</v>
      </c>
      <c r="K219" s="639"/>
      <c r="L219" s="626"/>
      <c r="M219" s="627"/>
      <c r="N219" s="636" t="s">
        <v>3208</v>
      </c>
      <c r="O219" s="636" t="s">
        <v>254</v>
      </c>
      <c r="P219" s="507" t="s">
        <v>2413</v>
      </c>
      <c r="Q219" s="631"/>
      <c r="S219" s="611"/>
      <c r="T219" s="611"/>
      <c r="U219" s="611"/>
      <c r="V219" s="611"/>
      <c r="W219" s="611"/>
      <c r="X219" s="611"/>
      <c r="Y219" s="611"/>
      <c r="Z219" s="611"/>
      <c r="AA219" s="611"/>
    </row>
    <row r="220" spans="1:27" ht="12" customHeight="1">
      <c r="A220" s="611"/>
      <c r="B220" s="507" t="s">
        <v>2056</v>
      </c>
      <c r="C220" s="507" t="s">
        <v>3820</v>
      </c>
      <c r="D220" s="507" t="s">
        <v>2037</v>
      </c>
      <c r="E220" s="637" t="s">
        <v>1340</v>
      </c>
      <c r="F220" s="637"/>
      <c r="G220" s="631" t="s">
        <v>3887</v>
      </c>
      <c r="H220" s="632" t="s">
        <v>538</v>
      </c>
      <c r="I220" s="638"/>
      <c r="J220" s="634" t="s">
        <v>3209</v>
      </c>
      <c r="K220" s="639"/>
      <c r="L220" s="626"/>
      <c r="M220" s="627"/>
      <c r="N220" s="636" t="s">
        <v>2813</v>
      </c>
      <c r="O220" s="636" t="s">
        <v>137</v>
      </c>
      <c r="P220" s="507" t="s">
        <v>2414</v>
      </c>
      <c r="Q220" s="631"/>
      <c r="S220" s="611"/>
      <c r="T220" s="611"/>
      <c r="U220" s="611"/>
      <c r="V220" s="611"/>
      <c r="W220" s="611"/>
      <c r="X220" s="611"/>
      <c r="Y220" s="611"/>
      <c r="Z220" s="611"/>
      <c r="AA220" s="611"/>
    </row>
    <row r="221" spans="1:27" ht="12" customHeight="1">
      <c r="A221" s="611"/>
      <c r="B221" s="507" t="s">
        <v>2057</v>
      </c>
      <c r="C221" s="507" t="s">
        <v>3821</v>
      </c>
      <c r="D221" s="507" t="s">
        <v>2037</v>
      </c>
      <c r="E221" s="637" t="s">
        <v>2022</v>
      </c>
      <c r="F221" s="637"/>
      <c r="G221" s="631" t="s">
        <v>3890</v>
      </c>
      <c r="H221" s="632" t="s">
        <v>538</v>
      </c>
      <c r="I221" s="638"/>
      <c r="J221" s="634" t="s">
        <v>3838</v>
      </c>
      <c r="K221" s="639"/>
      <c r="L221" s="626"/>
      <c r="M221" s="627"/>
      <c r="N221" s="636" t="s">
        <v>3839</v>
      </c>
      <c r="O221" s="636" t="s">
        <v>220</v>
      </c>
      <c r="P221" s="507" t="s">
        <v>2415</v>
      </c>
      <c r="Q221" s="631"/>
      <c r="S221" s="611"/>
      <c r="T221" s="611"/>
      <c r="U221" s="611"/>
      <c r="V221" s="611"/>
      <c r="W221" s="611"/>
      <c r="X221" s="611"/>
      <c r="Y221" s="611"/>
      <c r="Z221" s="611"/>
      <c r="AA221" s="611"/>
    </row>
    <row r="222" spans="1:27" ht="12" customHeight="1">
      <c r="A222" s="611"/>
      <c r="B222" s="507" t="s">
        <v>2058</v>
      </c>
      <c r="C222" s="507" t="s">
        <v>3822</v>
      </c>
      <c r="D222" s="507" t="s">
        <v>1873</v>
      </c>
      <c r="E222" s="630" t="s">
        <v>251</v>
      </c>
      <c r="F222" s="630"/>
      <c r="G222" s="631" t="s">
        <v>963</v>
      </c>
      <c r="H222" s="632" t="s">
        <v>537</v>
      </c>
      <c r="I222" s="633"/>
      <c r="J222" s="634" t="s">
        <v>1621</v>
      </c>
      <c r="K222" s="639"/>
      <c r="L222" s="626"/>
      <c r="M222" s="627"/>
      <c r="N222" s="636" t="s">
        <v>1622</v>
      </c>
      <c r="O222" s="636" t="s">
        <v>635</v>
      </c>
      <c r="P222" s="507" t="s">
        <v>2416</v>
      </c>
      <c r="Q222" s="631"/>
      <c r="S222" s="611"/>
      <c r="T222" s="611"/>
      <c r="U222" s="611"/>
      <c r="V222" s="611"/>
      <c r="W222" s="611"/>
      <c r="X222" s="611"/>
      <c r="Y222" s="611"/>
      <c r="Z222" s="611"/>
      <c r="AA222" s="611"/>
    </row>
    <row r="223" spans="1:27" ht="12" customHeight="1">
      <c r="A223" s="611"/>
      <c r="B223" s="507" t="s">
        <v>2059</v>
      </c>
      <c r="C223" s="507" t="s">
        <v>252</v>
      </c>
      <c r="D223" s="507" t="s">
        <v>2013</v>
      </c>
      <c r="E223" s="637" t="s">
        <v>2272</v>
      </c>
      <c r="F223" s="637"/>
      <c r="G223" s="631" t="s">
        <v>2698</v>
      </c>
      <c r="H223" s="632" t="s">
        <v>538</v>
      </c>
      <c r="I223" s="638"/>
      <c r="J223" s="634" t="s">
        <v>3082</v>
      </c>
      <c r="K223" s="639"/>
      <c r="L223" s="626"/>
      <c r="M223" s="627"/>
      <c r="N223" s="636" t="s">
        <v>2016</v>
      </c>
      <c r="O223" s="636" t="s">
        <v>424</v>
      </c>
      <c r="P223" s="507" t="s">
        <v>2417</v>
      </c>
      <c r="Q223" s="631"/>
      <c r="S223" s="611"/>
      <c r="T223" s="611"/>
      <c r="U223" s="611"/>
      <c r="V223" s="611"/>
      <c r="W223" s="611"/>
      <c r="X223" s="611"/>
      <c r="Y223" s="611"/>
      <c r="Z223" s="611"/>
      <c r="AA223" s="611"/>
    </row>
    <row r="224" spans="1:27" ht="12" customHeight="1">
      <c r="A224" s="611"/>
      <c r="B224" s="507" t="s">
        <v>2060</v>
      </c>
      <c r="C224" s="507" t="s">
        <v>253</v>
      </c>
      <c r="D224" s="507" t="s">
        <v>2013</v>
      </c>
      <c r="E224" s="637" t="s">
        <v>1340</v>
      </c>
      <c r="F224" s="637"/>
      <c r="G224" s="631" t="s">
        <v>3887</v>
      </c>
      <c r="H224" s="632" t="s">
        <v>538</v>
      </c>
      <c r="I224" s="638"/>
      <c r="J224" s="634" t="s">
        <v>17</v>
      </c>
      <c r="K224" s="639"/>
      <c r="L224" s="626"/>
      <c r="M224" s="627"/>
      <c r="N224" s="636" t="s">
        <v>18</v>
      </c>
      <c r="O224" s="636" t="s">
        <v>2663</v>
      </c>
      <c r="P224" s="507" t="s">
        <v>2418</v>
      </c>
      <c r="Q224" s="631"/>
      <c r="S224" s="611"/>
      <c r="T224" s="611"/>
      <c r="U224" s="611"/>
      <c r="V224" s="611"/>
      <c r="W224" s="611"/>
      <c r="X224" s="611"/>
      <c r="Y224" s="611"/>
      <c r="Z224" s="611"/>
      <c r="AA224" s="611"/>
    </row>
    <row r="225" spans="1:27" ht="12" customHeight="1">
      <c r="A225" s="611"/>
      <c r="B225" s="507" t="s">
        <v>2061</v>
      </c>
      <c r="C225" s="507" t="s">
        <v>254</v>
      </c>
      <c r="D225" s="507" t="s">
        <v>1873</v>
      </c>
      <c r="E225" s="630" t="s">
        <v>255</v>
      </c>
      <c r="F225" s="630"/>
      <c r="G225" s="631" t="s">
        <v>964</v>
      </c>
      <c r="H225" s="632" t="s">
        <v>537</v>
      </c>
      <c r="I225" s="633"/>
      <c r="J225" s="634" t="s">
        <v>3363</v>
      </c>
      <c r="K225" s="639"/>
      <c r="L225" s="626"/>
      <c r="M225" s="627"/>
      <c r="N225" s="636" t="s">
        <v>3364</v>
      </c>
      <c r="O225" s="636" t="s">
        <v>1872</v>
      </c>
      <c r="P225" s="507" t="s">
        <v>2419</v>
      </c>
      <c r="Q225" s="631"/>
      <c r="S225" s="611"/>
      <c r="T225" s="611"/>
      <c r="U225" s="611"/>
      <c r="V225" s="611"/>
      <c r="W225" s="611"/>
      <c r="X225" s="611"/>
      <c r="Y225" s="611"/>
      <c r="Z225" s="611"/>
      <c r="AA225" s="611"/>
    </row>
    <row r="226" spans="1:27" ht="12" customHeight="1">
      <c r="A226" s="611"/>
      <c r="B226" s="507" t="s">
        <v>2062</v>
      </c>
      <c r="C226" s="507" t="s">
        <v>256</v>
      </c>
      <c r="D226" s="507" t="s">
        <v>2037</v>
      </c>
      <c r="E226" s="637" t="s">
        <v>1340</v>
      </c>
      <c r="F226" s="637"/>
      <c r="G226" s="631" t="s">
        <v>3887</v>
      </c>
      <c r="H226" s="632" t="s">
        <v>538</v>
      </c>
      <c r="I226" s="638"/>
      <c r="J226" s="634" t="s">
        <v>3365</v>
      </c>
      <c r="K226" s="639"/>
      <c r="L226" s="626"/>
      <c r="M226" s="627"/>
      <c r="N226" s="636" t="s">
        <v>3366</v>
      </c>
      <c r="O226" s="636" t="s">
        <v>3373</v>
      </c>
      <c r="P226" s="507" t="s">
        <v>2420</v>
      </c>
      <c r="Q226" s="631"/>
      <c r="S226" s="611"/>
      <c r="T226" s="611"/>
      <c r="U226" s="611"/>
      <c r="V226" s="611"/>
      <c r="W226" s="611"/>
      <c r="X226" s="611"/>
      <c r="Y226" s="611"/>
      <c r="Z226" s="611"/>
      <c r="AA226" s="611"/>
    </row>
    <row r="227" spans="1:27" ht="12" customHeight="1">
      <c r="A227" s="611"/>
      <c r="B227" s="507" t="s">
        <v>2063</v>
      </c>
      <c r="C227" s="507" t="s">
        <v>257</v>
      </c>
      <c r="D227" s="507" t="s">
        <v>1873</v>
      </c>
      <c r="E227" s="630" t="s">
        <v>1549</v>
      </c>
      <c r="F227" s="630"/>
      <c r="G227" s="631" t="s">
        <v>3035</v>
      </c>
      <c r="H227" s="632" t="s">
        <v>537</v>
      </c>
      <c r="I227" s="633"/>
      <c r="J227" s="634" t="s">
        <v>3367</v>
      </c>
      <c r="K227" s="639"/>
      <c r="L227" s="626"/>
      <c r="M227" s="627"/>
      <c r="N227" s="507" t="s">
        <v>3866</v>
      </c>
      <c r="O227" s="507" t="s">
        <v>965</v>
      </c>
      <c r="P227" s="1580" t="s">
        <v>3242</v>
      </c>
      <c r="Q227" s="631"/>
      <c r="R227" s="434"/>
      <c r="S227" s="507"/>
      <c r="T227" s="611"/>
      <c r="U227" s="611"/>
      <c r="V227" s="611"/>
      <c r="W227" s="611"/>
      <c r="X227" s="611"/>
      <c r="Y227" s="611"/>
      <c r="Z227" s="611"/>
      <c r="AA227" s="611"/>
    </row>
    <row r="228" spans="1:27" ht="12" customHeight="1">
      <c r="A228" s="611"/>
      <c r="B228" s="507" t="s">
        <v>2064</v>
      </c>
      <c r="C228" s="507" t="s">
        <v>1550</v>
      </c>
      <c r="D228" s="507" t="s">
        <v>1873</v>
      </c>
      <c r="E228" s="630" t="s">
        <v>1551</v>
      </c>
      <c r="F228" s="630"/>
      <c r="G228" s="631" t="s">
        <v>3036</v>
      </c>
      <c r="H228" s="632" t="s">
        <v>537</v>
      </c>
      <c r="I228" s="633"/>
      <c r="J228" s="634" t="s">
        <v>3401</v>
      </c>
      <c r="K228" s="639"/>
      <c r="L228" s="626"/>
      <c r="M228" s="627"/>
      <c r="N228" s="636" t="s">
        <v>3368</v>
      </c>
      <c r="O228" s="636" t="s">
        <v>136</v>
      </c>
      <c r="P228" s="507" t="s">
        <v>2421</v>
      </c>
      <c r="Q228" s="631"/>
      <c r="R228" s="434"/>
      <c r="S228" s="507"/>
      <c r="T228" s="611"/>
      <c r="U228" s="611"/>
      <c r="V228" s="611"/>
      <c r="W228" s="611"/>
      <c r="X228" s="611"/>
      <c r="Y228" s="611"/>
      <c r="Z228" s="611"/>
      <c r="AA228" s="611"/>
    </row>
    <row r="229" spans="1:27" ht="12" customHeight="1">
      <c r="A229" s="611"/>
      <c r="B229" s="507" t="s">
        <v>2065</v>
      </c>
      <c r="C229" s="507" t="s">
        <v>1552</v>
      </c>
      <c r="D229" s="507" t="s">
        <v>1873</v>
      </c>
      <c r="E229" s="637" t="s">
        <v>2812</v>
      </c>
      <c r="F229" s="637"/>
      <c r="G229" s="631" t="s">
        <v>1805</v>
      </c>
      <c r="H229" s="632" t="s">
        <v>538</v>
      </c>
      <c r="I229" s="638"/>
      <c r="J229" s="634" t="s">
        <v>2803</v>
      </c>
      <c r="K229" s="639"/>
      <c r="L229" s="626"/>
      <c r="M229" s="627"/>
      <c r="N229" s="636" t="s">
        <v>2778</v>
      </c>
      <c r="O229" s="636" t="s">
        <v>3765</v>
      </c>
      <c r="P229" s="507" t="s">
        <v>2422</v>
      </c>
      <c r="Q229" s="631"/>
      <c r="R229" s="434"/>
      <c r="S229" s="507"/>
      <c r="T229" s="611"/>
      <c r="U229" s="611"/>
      <c r="V229" s="611"/>
      <c r="W229" s="611"/>
      <c r="X229" s="611"/>
      <c r="Y229" s="611"/>
      <c r="Z229" s="611"/>
      <c r="AA229" s="611"/>
    </row>
    <row r="230" spans="1:27" ht="12" customHeight="1">
      <c r="A230" s="611"/>
      <c r="B230" s="507" t="s">
        <v>2066</v>
      </c>
      <c r="C230" s="507" t="s">
        <v>1465</v>
      </c>
      <c r="D230" s="507" t="s">
        <v>2037</v>
      </c>
      <c r="E230" s="637" t="s">
        <v>1340</v>
      </c>
      <c r="F230" s="637"/>
      <c r="G230" s="631" t="s">
        <v>3887</v>
      </c>
      <c r="H230" s="632" t="s">
        <v>538</v>
      </c>
      <c r="I230" s="638"/>
      <c r="J230" s="634" t="s">
        <v>2805</v>
      </c>
      <c r="K230" s="639"/>
      <c r="L230" s="626"/>
      <c r="M230" s="627"/>
      <c r="N230" s="636" t="s">
        <v>2804</v>
      </c>
      <c r="O230" s="636" t="s">
        <v>2015</v>
      </c>
      <c r="P230" s="507" t="s">
        <v>2423</v>
      </c>
      <c r="Q230" s="631"/>
      <c r="R230" s="434"/>
      <c r="S230" s="507"/>
      <c r="T230" s="611"/>
      <c r="U230" s="611"/>
      <c r="V230" s="611"/>
      <c r="W230" s="611"/>
      <c r="X230" s="611"/>
      <c r="Y230" s="611"/>
      <c r="Z230" s="611"/>
      <c r="AA230" s="611"/>
    </row>
    <row r="231" spans="1:27" ht="12" customHeight="1">
      <c r="A231" s="611"/>
      <c r="B231" s="507" t="s">
        <v>2067</v>
      </c>
      <c r="C231" s="507" t="s">
        <v>1466</v>
      </c>
      <c r="D231" s="507" t="s">
        <v>1873</v>
      </c>
      <c r="E231" s="630" t="s">
        <v>1467</v>
      </c>
      <c r="F231" s="630"/>
      <c r="G231" s="631" t="s">
        <v>3037</v>
      </c>
      <c r="H231" s="632" t="s">
        <v>537</v>
      </c>
      <c r="I231" s="633"/>
      <c r="J231" s="634" t="s">
        <v>3263</v>
      </c>
      <c r="K231" s="639"/>
      <c r="L231" s="626"/>
      <c r="M231" s="627"/>
      <c r="N231" s="636" t="s">
        <v>2806</v>
      </c>
      <c r="O231" s="636" t="s">
        <v>3088</v>
      </c>
      <c r="P231" s="507" t="s">
        <v>2424</v>
      </c>
      <c r="Q231" s="611"/>
      <c r="S231" s="611"/>
      <c r="T231" s="611"/>
      <c r="U231" s="611"/>
      <c r="V231" s="611"/>
      <c r="W231" s="611"/>
      <c r="X231" s="611"/>
      <c r="Y231" s="611"/>
      <c r="Z231" s="611"/>
      <c r="AA231" s="611"/>
    </row>
    <row r="232" spans="1:27" ht="12" customHeight="1">
      <c r="A232" s="611"/>
      <c r="B232" s="507" t="s">
        <v>2068</v>
      </c>
      <c r="C232" s="507" t="s">
        <v>1468</v>
      </c>
      <c r="D232" s="507" t="s">
        <v>1873</v>
      </c>
      <c r="E232" s="630" t="s">
        <v>2714</v>
      </c>
      <c r="F232" s="630"/>
      <c r="G232" s="631" t="s">
        <v>3893</v>
      </c>
      <c r="H232" s="632" t="s">
        <v>538</v>
      </c>
      <c r="I232" s="633"/>
      <c r="J232" s="634" t="s">
        <v>3264</v>
      </c>
      <c r="K232" s="639"/>
      <c r="L232" s="626"/>
      <c r="M232" s="627"/>
      <c r="N232" s="636" t="s">
        <v>1414</v>
      </c>
      <c r="O232" s="636" t="s">
        <v>3901</v>
      </c>
      <c r="P232" s="1579" t="s">
        <v>1413</v>
      </c>
      <c r="Q232" s="611"/>
      <c r="S232" s="611"/>
      <c r="T232" s="611"/>
      <c r="U232" s="611"/>
      <c r="V232" s="611"/>
      <c r="W232" s="611"/>
      <c r="X232" s="611"/>
      <c r="Y232" s="611"/>
      <c r="Z232" s="611"/>
      <c r="AA232" s="611"/>
    </row>
    <row r="233" spans="1:27" ht="12" customHeight="1">
      <c r="A233" s="611"/>
      <c r="B233" s="507" t="s">
        <v>2069</v>
      </c>
      <c r="C233" s="507" t="s">
        <v>1469</v>
      </c>
      <c r="D233" s="507" t="s">
        <v>1873</v>
      </c>
      <c r="E233" s="637" t="s">
        <v>2028</v>
      </c>
      <c r="F233" s="637"/>
      <c r="G233" s="631" t="s">
        <v>2189</v>
      </c>
      <c r="H233" s="632" t="s">
        <v>538</v>
      </c>
      <c r="I233" s="638"/>
      <c r="J233" s="634" t="s">
        <v>3691</v>
      </c>
      <c r="K233" s="635"/>
      <c r="L233" s="626"/>
      <c r="M233" s="627"/>
      <c r="N233" s="636" t="s">
        <v>3265</v>
      </c>
      <c r="O233" s="636" t="s">
        <v>3903</v>
      </c>
      <c r="P233" s="507" t="s">
        <v>2425</v>
      </c>
      <c r="Q233" s="631"/>
      <c r="S233" s="611"/>
      <c r="T233" s="611"/>
      <c r="U233" s="611"/>
      <c r="V233" s="611"/>
      <c r="W233" s="611"/>
      <c r="X233" s="611"/>
      <c r="Y233" s="611"/>
      <c r="Z233" s="611"/>
      <c r="AA233" s="611"/>
    </row>
    <row r="234" spans="1:27" ht="12" customHeight="1">
      <c r="A234" s="611"/>
      <c r="B234" s="640"/>
      <c r="C234" s="507" t="s">
        <v>1470</v>
      </c>
      <c r="D234" s="507" t="s">
        <v>2037</v>
      </c>
      <c r="E234" s="630" t="s">
        <v>1471</v>
      </c>
      <c r="F234" s="630"/>
      <c r="G234" s="631" t="s">
        <v>2038</v>
      </c>
      <c r="H234" s="632" t="s">
        <v>537</v>
      </c>
      <c r="I234" s="633"/>
      <c r="J234" s="634" t="s">
        <v>3693</v>
      </c>
      <c r="K234" s="635"/>
      <c r="L234" s="626"/>
      <c r="M234" s="627"/>
      <c r="N234" s="636" t="s">
        <v>3692</v>
      </c>
      <c r="O234" s="636" t="s">
        <v>1726</v>
      </c>
      <c r="P234" s="507" t="s">
        <v>2426</v>
      </c>
      <c r="Q234" s="631"/>
      <c r="S234" s="611"/>
      <c r="T234" s="611"/>
      <c r="U234" s="611"/>
      <c r="V234" s="611"/>
      <c r="W234" s="611"/>
      <c r="X234" s="611"/>
      <c r="Y234" s="611"/>
      <c r="Z234" s="611"/>
      <c r="AA234" s="611"/>
    </row>
    <row r="235" spans="1:27" ht="12" customHeight="1">
      <c r="A235" s="611"/>
      <c r="B235" s="640"/>
      <c r="C235" s="507" t="s">
        <v>3371</v>
      </c>
      <c r="D235" s="507" t="s">
        <v>1873</v>
      </c>
      <c r="E235" s="630" t="s">
        <v>3372</v>
      </c>
      <c r="F235" s="630"/>
      <c r="G235" s="631" t="s">
        <v>2039</v>
      </c>
      <c r="H235" s="632" t="s">
        <v>537</v>
      </c>
      <c r="I235" s="633"/>
      <c r="J235" s="634" t="s">
        <v>3695</v>
      </c>
      <c r="K235" s="635"/>
      <c r="L235" s="626"/>
      <c r="M235" s="627"/>
      <c r="N235" s="507" t="s">
        <v>3867</v>
      </c>
      <c r="O235" s="507" t="s">
        <v>415</v>
      </c>
      <c r="P235" s="1580" t="s">
        <v>3242</v>
      </c>
      <c r="Q235" s="631"/>
      <c r="S235" s="611"/>
      <c r="T235" s="611"/>
      <c r="U235" s="611"/>
      <c r="V235" s="611"/>
      <c r="W235" s="611"/>
      <c r="X235" s="611"/>
      <c r="Y235" s="611"/>
      <c r="Z235" s="611"/>
      <c r="AA235" s="611"/>
    </row>
    <row r="236" spans="1:27" ht="12" customHeight="1">
      <c r="A236" s="611"/>
      <c r="B236" s="640"/>
      <c r="C236" s="507" t="s">
        <v>3373</v>
      </c>
      <c r="D236" s="507" t="s">
        <v>1873</v>
      </c>
      <c r="E236" s="630" t="s">
        <v>999</v>
      </c>
      <c r="F236" s="630"/>
      <c r="G236" s="631" t="s">
        <v>2040</v>
      </c>
      <c r="H236" s="632" t="s">
        <v>537</v>
      </c>
      <c r="I236" s="633"/>
      <c r="J236" s="634" t="s">
        <v>3697</v>
      </c>
      <c r="K236" s="635"/>
      <c r="L236" s="626"/>
      <c r="M236" s="627"/>
      <c r="N236" s="636" t="s">
        <v>3694</v>
      </c>
      <c r="O236" s="636" t="s">
        <v>2991</v>
      </c>
      <c r="P236" s="507" t="s">
        <v>2427</v>
      </c>
      <c r="Q236" s="631"/>
      <c r="S236" s="611"/>
      <c r="T236" s="611"/>
      <c r="U236" s="611"/>
      <c r="V236" s="611"/>
      <c r="W236" s="611"/>
      <c r="X236" s="611"/>
      <c r="Y236" s="611"/>
      <c r="Z236" s="611"/>
      <c r="AA236" s="611"/>
    </row>
    <row r="237" spans="1:27" ht="12" customHeight="1">
      <c r="A237" s="611"/>
      <c r="B237" s="640"/>
      <c r="C237" s="507" t="s">
        <v>1000</v>
      </c>
      <c r="D237" s="507" t="s">
        <v>2013</v>
      </c>
      <c r="E237" s="630" t="s">
        <v>1001</v>
      </c>
      <c r="F237" s="630"/>
      <c r="G237" s="631" t="s">
        <v>2041</v>
      </c>
      <c r="H237" s="632" t="s">
        <v>537</v>
      </c>
      <c r="I237" s="633"/>
      <c r="J237" s="634" t="s">
        <v>3698</v>
      </c>
      <c r="K237" s="635"/>
      <c r="L237" s="626"/>
      <c r="M237" s="627"/>
      <c r="N237" s="636" t="s">
        <v>3696</v>
      </c>
      <c r="O237" s="636" t="s">
        <v>1466</v>
      </c>
      <c r="P237" s="507" t="s">
        <v>2428</v>
      </c>
      <c r="Q237" s="631"/>
      <c r="S237" s="611"/>
      <c r="T237" s="611"/>
      <c r="U237" s="611"/>
      <c r="V237" s="611"/>
      <c r="W237" s="611"/>
      <c r="X237" s="611"/>
      <c r="Y237" s="611"/>
      <c r="Z237" s="611"/>
      <c r="AA237" s="611"/>
    </row>
    <row r="238" spans="1:27" ht="12" customHeight="1">
      <c r="A238" s="611"/>
      <c r="B238" s="640"/>
      <c r="C238" s="507" t="s">
        <v>1002</v>
      </c>
      <c r="D238" s="507" t="s">
        <v>2037</v>
      </c>
      <c r="E238" s="637" t="s">
        <v>1340</v>
      </c>
      <c r="F238" s="637"/>
      <c r="G238" s="631" t="s">
        <v>3887</v>
      </c>
      <c r="H238" s="632" t="s">
        <v>538</v>
      </c>
      <c r="I238" s="638"/>
      <c r="J238" s="634" t="s">
        <v>3355</v>
      </c>
      <c r="K238" s="635"/>
      <c r="L238" s="626"/>
      <c r="M238" s="627"/>
      <c r="N238" s="636" t="s">
        <v>3699</v>
      </c>
      <c r="O238" s="636" t="s">
        <v>215</v>
      </c>
      <c r="P238" s="507" t="s">
        <v>2429</v>
      </c>
      <c r="Q238" s="631"/>
      <c r="S238" s="611"/>
      <c r="T238" s="611"/>
      <c r="U238" s="611"/>
      <c r="V238" s="611"/>
      <c r="W238" s="611"/>
      <c r="X238" s="611"/>
      <c r="Y238" s="611"/>
      <c r="Z238" s="611"/>
      <c r="AA238" s="611"/>
    </row>
    <row r="239" spans="1:27" ht="12" customHeight="1">
      <c r="A239" s="611"/>
      <c r="B239" s="640"/>
      <c r="C239" s="507" t="s">
        <v>1003</v>
      </c>
      <c r="D239" s="507" t="s">
        <v>2013</v>
      </c>
      <c r="E239" s="637" t="s">
        <v>3400</v>
      </c>
      <c r="F239" s="637"/>
      <c r="G239" s="631" t="s">
        <v>2042</v>
      </c>
      <c r="H239" s="632" t="s">
        <v>538</v>
      </c>
      <c r="I239" s="638"/>
      <c r="J239" s="634" t="s">
        <v>1066</v>
      </c>
      <c r="K239" s="635"/>
      <c r="L239" s="626"/>
      <c r="M239" s="627"/>
      <c r="N239" s="636" t="s">
        <v>3356</v>
      </c>
      <c r="O239" s="636" t="s">
        <v>1000</v>
      </c>
      <c r="P239" s="507" t="s">
        <v>2430</v>
      </c>
      <c r="Q239" s="631"/>
      <c r="S239" s="611"/>
      <c r="T239" s="611"/>
      <c r="U239" s="611"/>
      <c r="V239" s="611"/>
      <c r="W239" s="611"/>
      <c r="X239" s="611"/>
      <c r="Y239" s="611"/>
      <c r="Z239" s="611"/>
      <c r="AA239" s="611"/>
    </row>
    <row r="240" spans="1:27" ht="12" customHeight="1">
      <c r="A240" s="611"/>
      <c r="B240" s="640"/>
      <c r="C240" s="507" t="s">
        <v>1004</v>
      </c>
      <c r="D240" s="507" t="s">
        <v>2013</v>
      </c>
      <c r="E240" s="637" t="s">
        <v>1340</v>
      </c>
      <c r="F240" s="637"/>
      <c r="G240" s="631" t="s">
        <v>3887</v>
      </c>
      <c r="H240" s="632" t="s">
        <v>538</v>
      </c>
      <c r="I240" s="638"/>
      <c r="J240" s="634" t="s">
        <v>1068</v>
      </c>
      <c r="K240" s="635"/>
      <c r="L240" s="626"/>
      <c r="M240" s="627"/>
      <c r="N240" s="636" t="s">
        <v>1067</v>
      </c>
      <c r="O240" s="636" t="s">
        <v>3757</v>
      </c>
      <c r="P240" s="507" t="s">
        <v>2431</v>
      </c>
      <c r="Q240" s="631"/>
      <c r="S240" s="611"/>
      <c r="T240" s="611"/>
      <c r="U240" s="611"/>
      <c r="V240" s="611"/>
      <c r="W240" s="611"/>
      <c r="X240" s="611"/>
      <c r="Y240" s="611"/>
      <c r="Z240" s="611"/>
      <c r="AA240" s="611"/>
    </row>
    <row r="241" spans="1:27" ht="12" customHeight="1">
      <c r="A241" s="611"/>
      <c r="B241" s="640"/>
      <c r="C241" s="507" t="s">
        <v>1005</v>
      </c>
      <c r="D241" s="507" t="s">
        <v>2013</v>
      </c>
      <c r="E241" s="637" t="s">
        <v>1006</v>
      </c>
      <c r="F241" s="637"/>
      <c r="G241" s="631" t="s">
        <v>2043</v>
      </c>
      <c r="H241" s="632" t="s">
        <v>537</v>
      </c>
      <c r="I241" s="638"/>
      <c r="J241" s="634" t="s">
        <v>1070</v>
      </c>
      <c r="K241" s="635"/>
      <c r="L241" s="626"/>
      <c r="M241" s="627"/>
      <c r="N241" s="636" t="s">
        <v>1069</v>
      </c>
      <c r="O241" s="636" t="s">
        <v>1741</v>
      </c>
      <c r="P241" s="507" t="s">
        <v>2432</v>
      </c>
      <c r="Q241" s="631"/>
      <c r="S241" s="611"/>
      <c r="T241" s="611"/>
      <c r="U241" s="611"/>
      <c r="V241" s="611"/>
      <c r="W241" s="611"/>
      <c r="X241" s="611"/>
      <c r="Y241" s="611"/>
      <c r="Z241" s="611"/>
      <c r="AA241" s="611"/>
    </row>
    <row r="242" spans="1:27" ht="12" customHeight="1">
      <c r="A242" s="611"/>
      <c r="B242" s="640"/>
      <c r="C242" s="507" t="s">
        <v>1868</v>
      </c>
      <c r="D242" s="507" t="s">
        <v>2037</v>
      </c>
      <c r="E242" s="637" t="s">
        <v>1340</v>
      </c>
      <c r="F242" s="637"/>
      <c r="G242" s="631" t="s">
        <v>3887</v>
      </c>
      <c r="H242" s="632" t="s">
        <v>538</v>
      </c>
      <c r="I242" s="638"/>
      <c r="J242" s="634" t="s">
        <v>1072</v>
      </c>
      <c r="K242" s="635"/>
      <c r="L242" s="626"/>
      <c r="M242" s="627"/>
      <c r="N242" s="636" t="s">
        <v>1071</v>
      </c>
      <c r="O242" s="636" t="s">
        <v>3903</v>
      </c>
      <c r="P242" s="507" t="s">
        <v>2433</v>
      </c>
      <c r="Q242" s="631"/>
      <c r="S242" s="611"/>
      <c r="T242" s="611"/>
      <c r="U242" s="611"/>
      <c r="V242" s="611"/>
      <c r="W242" s="611"/>
      <c r="X242" s="611"/>
      <c r="Y242" s="611"/>
      <c r="Z242" s="611"/>
      <c r="AA242" s="611"/>
    </row>
    <row r="243" spans="1:27" ht="12" customHeight="1">
      <c r="A243" s="611"/>
      <c r="B243" s="640"/>
      <c r="C243" s="507" t="s">
        <v>1007</v>
      </c>
      <c r="D243" s="507" t="s">
        <v>2013</v>
      </c>
      <c r="E243" s="630" t="s">
        <v>1008</v>
      </c>
      <c r="F243" s="630"/>
      <c r="G243" s="631" t="s">
        <v>306</v>
      </c>
      <c r="H243" s="632" t="s">
        <v>537</v>
      </c>
      <c r="I243" s="633"/>
      <c r="J243" s="634" t="s">
        <v>3346</v>
      </c>
      <c r="K243" s="635"/>
      <c r="L243" s="626"/>
      <c r="M243" s="627"/>
      <c r="N243" s="507" t="s">
        <v>3868</v>
      </c>
      <c r="O243" s="507" t="s">
        <v>3759</v>
      </c>
      <c r="P243" s="1580" t="s">
        <v>3242</v>
      </c>
      <c r="Q243" s="631"/>
      <c r="S243" s="611"/>
      <c r="T243" s="611"/>
      <c r="U243" s="611"/>
      <c r="V243" s="611"/>
      <c r="W243" s="611"/>
      <c r="X243" s="611"/>
      <c r="Y243" s="611"/>
      <c r="Z243" s="611"/>
      <c r="AA243" s="611"/>
    </row>
    <row r="244" spans="1:27" ht="12" customHeight="1">
      <c r="A244" s="611"/>
      <c r="B244" s="640"/>
      <c r="C244" s="507" t="s">
        <v>1009</v>
      </c>
      <c r="D244" s="507" t="s">
        <v>2037</v>
      </c>
      <c r="E244" s="637" t="s">
        <v>1010</v>
      </c>
      <c r="F244" s="637"/>
      <c r="G244" s="631" t="s">
        <v>307</v>
      </c>
      <c r="H244" s="632" t="s">
        <v>537</v>
      </c>
      <c r="I244" s="638"/>
      <c r="J244" s="634" t="s">
        <v>3347</v>
      </c>
      <c r="K244" s="635"/>
      <c r="L244" s="626"/>
      <c r="M244" s="627"/>
      <c r="N244" s="636" t="s">
        <v>3348</v>
      </c>
      <c r="O244" s="636" t="s">
        <v>2663</v>
      </c>
      <c r="P244" s="507" t="s">
        <v>2434</v>
      </c>
      <c r="Q244" s="631"/>
      <c r="S244" s="611"/>
      <c r="T244" s="611"/>
      <c r="U244" s="611"/>
      <c r="V244" s="611"/>
      <c r="W244" s="611"/>
      <c r="X244" s="611"/>
      <c r="Y244" s="611"/>
      <c r="Z244" s="611"/>
      <c r="AA244" s="611"/>
    </row>
    <row r="245" spans="1:27" ht="12" customHeight="1">
      <c r="A245" s="611"/>
      <c r="B245" s="640"/>
      <c r="C245" s="507" t="s">
        <v>1011</v>
      </c>
      <c r="D245" s="507" t="s">
        <v>1873</v>
      </c>
      <c r="E245" s="630" t="s">
        <v>13</v>
      </c>
      <c r="F245" s="630"/>
      <c r="G245" s="631" t="s">
        <v>3892</v>
      </c>
      <c r="H245" s="632" t="s">
        <v>538</v>
      </c>
      <c r="I245" s="633"/>
      <c r="J245" s="634" t="s">
        <v>3349</v>
      </c>
      <c r="K245" s="635"/>
      <c r="L245" s="626"/>
      <c r="M245" s="627"/>
      <c r="N245" s="636" t="s">
        <v>3350</v>
      </c>
      <c r="O245" s="636" t="s">
        <v>3897</v>
      </c>
      <c r="P245" s="507" t="s">
        <v>2435</v>
      </c>
      <c r="Q245" s="631"/>
      <c r="S245" s="611"/>
      <c r="T245" s="611"/>
      <c r="U245" s="611"/>
      <c r="V245" s="611"/>
      <c r="W245" s="611"/>
      <c r="X245" s="611"/>
      <c r="Y245" s="611"/>
      <c r="Z245" s="611"/>
      <c r="AA245" s="611"/>
    </row>
    <row r="246" spans="1:27" ht="12" customHeight="1">
      <c r="A246" s="611"/>
      <c r="B246" s="640"/>
      <c r="C246" s="507" t="s">
        <v>1012</v>
      </c>
      <c r="D246" s="507" t="s">
        <v>2013</v>
      </c>
      <c r="E246" s="630" t="s">
        <v>1013</v>
      </c>
      <c r="F246" s="630"/>
      <c r="G246" s="631" t="s">
        <v>308</v>
      </c>
      <c r="H246" s="632" t="s">
        <v>537</v>
      </c>
      <c r="I246" s="633"/>
      <c r="J246" s="634" t="s">
        <v>1035</v>
      </c>
      <c r="K246" s="635"/>
      <c r="L246" s="626"/>
      <c r="M246" s="627"/>
      <c r="N246" s="636" t="s">
        <v>1036</v>
      </c>
      <c r="O246" s="636" t="s">
        <v>1223</v>
      </c>
      <c r="P246" s="507" t="s">
        <v>2436</v>
      </c>
      <c r="Q246" s="631"/>
      <c r="S246" s="611"/>
      <c r="T246" s="611"/>
      <c r="U246" s="611"/>
      <c r="V246" s="611"/>
      <c r="W246" s="611"/>
      <c r="X246" s="611"/>
      <c r="Y246" s="611"/>
      <c r="Z246" s="611"/>
      <c r="AA246" s="611"/>
    </row>
    <row r="247" spans="1:27" ht="12" customHeight="1">
      <c r="A247" s="611"/>
      <c r="B247" s="640"/>
      <c r="C247" s="507" t="s">
        <v>1014</v>
      </c>
      <c r="D247" s="507" t="s">
        <v>1873</v>
      </c>
      <c r="E247" s="630" t="s">
        <v>1015</v>
      </c>
      <c r="F247" s="630"/>
      <c r="G247" s="631" t="s">
        <v>512</v>
      </c>
      <c r="H247" s="632" t="s">
        <v>537</v>
      </c>
      <c r="I247" s="633"/>
      <c r="J247" s="634" t="s">
        <v>1372</v>
      </c>
      <c r="K247" s="635"/>
      <c r="L247" s="626"/>
      <c r="M247" s="627"/>
      <c r="N247" s="636" t="s">
        <v>3402</v>
      </c>
      <c r="O247" s="636" t="s">
        <v>412</v>
      </c>
      <c r="P247" s="507" t="s">
        <v>2437</v>
      </c>
      <c r="Q247" s="631"/>
      <c r="S247" s="611"/>
      <c r="T247" s="611"/>
      <c r="U247" s="611"/>
      <c r="V247" s="611"/>
      <c r="W247" s="611"/>
      <c r="X247" s="611"/>
      <c r="Y247" s="611"/>
      <c r="Z247" s="611"/>
      <c r="AA247" s="611"/>
    </row>
    <row r="248" spans="1:27" ht="12" customHeight="1">
      <c r="A248" s="611"/>
      <c r="B248" s="640"/>
      <c r="C248" s="507" t="s">
        <v>1016</v>
      </c>
      <c r="D248" s="507" t="s">
        <v>2037</v>
      </c>
      <c r="E248" s="630" t="s">
        <v>1017</v>
      </c>
      <c r="F248" s="630"/>
      <c r="G248" s="631" t="s">
        <v>513</v>
      </c>
      <c r="H248" s="632" t="s">
        <v>537</v>
      </c>
      <c r="I248" s="633"/>
      <c r="J248" s="634" t="s">
        <v>3403</v>
      </c>
      <c r="K248" s="635"/>
      <c r="L248" s="626"/>
      <c r="M248" s="627"/>
      <c r="N248" s="636" t="s">
        <v>3478</v>
      </c>
      <c r="O248" s="636" t="s">
        <v>1470</v>
      </c>
      <c r="P248" s="507" t="s">
        <v>2438</v>
      </c>
      <c r="Q248" s="631"/>
      <c r="S248" s="611"/>
      <c r="T248" s="611"/>
      <c r="U248" s="611"/>
      <c r="V248" s="611"/>
      <c r="W248" s="611"/>
      <c r="X248" s="611"/>
      <c r="Y248" s="611"/>
      <c r="Z248" s="611"/>
      <c r="AA248" s="611"/>
    </row>
    <row r="249" spans="1:27" ht="12" customHeight="1">
      <c r="A249" s="611"/>
      <c r="B249" s="640"/>
      <c r="C249" s="507" t="s">
        <v>136</v>
      </c>
      <c r="D249" s="507" t="s">
        <v>2037</v>
      </c>
      <c r="E249" s="637" t="s">
        <v>1340</v>
      </c>
      <c r="F249" s="637"/>
      <c r="G249" s="631" t="s">
        <v>3887</v>
      </c>
      <c r="H249" s="632" t="s">
        <v>538</v>
      </c>
      <c r="I249" s="638"/>
      <c r="J249" s="634" t="s">
        <v>3441</v>
      </c>
      <c r="K249" s="635"/>
      <c r="L249" s="626"/>
      <c r="M249" s="627"/>
      <c r="N249" s="636" t="s">
        <v>55</v>
      </c>
      <c r="O249" s="636" t="s">
        <v>419</v>
      </c>
      <c r="P249" s="507" t="s">
        <v>2439</v>
      </c>
      <c r="Q249" s="631"/>
      <c r="S249" s="611"/>
      <c r="T249" s="611"/>
      <c r="U249" s="611"/>
      <c r="V249" s="611"/>
      <c r="W249" s="611"/>
      <c r="X249" s="611"/>
      <c r="Y249" s="611"/>
      <c r="Z249" s="611"/>
      <c r="AA249" s="611"/>
    </row>
    <row r="250" spans="1:27" ht="12" customHeight="1">
      <c r="A250" s="611"/>
      <c r="B250" s="640"/>
      <c r="C250" s="507" t="s">
        <v>137</v>
      </c>
      <c r="D250" s="507" t="s">
        <v>2013</v>
      </c>
      <c r="E250" s="630" t="s">
        <v>138</v>
      </c>
      <c r="F250" s="630"/>
      <c r="G250" s="631" t="s">
        <v>514</v>
      </c>
      <c r="H250" s="632" t="s">
        <v>537</v>
      </c>
      <c r="I250" s="633"/>
      <c r="J250" s="634" t="s">
        <v>54</v>
      </c>
      <c r="K250" s="635"/>
      <c r="L250" s="626"/>
      <c r="M250" s="627"/>
      <c r="N250" s="636" t="s">
        <v>971</v>
      </c>
      <c r="O250" s="636" t="s">
        <v>3905</v>
      </c>
      <c r="P250" s="507" t="s">
        <v>2440</v>
      </c>
      <c r="Q250" s="631"/>
      <c r="S250" s="611"/>
      <c r="T250" s="611"/>
      <c r="U250" s="611"/>
      <c r="V250" s="611"/>
      <c r="W250" s="611"/>
      <c r="X250" s="611"/>
      <c r="Y250" s="611"/>
      <c r="Z250" s="611"/>
      <c r="AA250" s="611"/>
    </row>
    <row r="251" spans="1:27" ht="12" customHeight="1">
      <c r="A251" s="611"/>
      <c r="B251" s="640"/>
      <c r="C251" s="507" t="s">
        <v>407</v>
      </c>
      <c r="D251" s="507" t="s">
        <v>2013</v>
      </c>
      <c r="E251" s="630" t="s">
        <v>1883</v>
      </c>
      <c r="F251" s="630"/>
      <c r="G251" s="631" t="s">
        <v>515</v>
      </c>
      <c r="H251" s="632" t="s">
        <v>538</v>
      </c>
      <c r="I251" s="633"/>
      <c r="J251" s="634" t="s">
        <v>970</v>
      </c>
      <c r="K251" s="635"/>
      <c r="L251" s="626"/>
      <c r="M251" s="627"/>
      <c r="N251" s="636" t="s">
        <v>399</v>
      </c>
      <c r="O251" s="636" t="s">
        <v>410</v>
      </c>
      <c r="P251" s="507" t="s">
        <v>2441</v>
      </c>
      <c r="Q251" s="631"/>
      <c r="S251" s="611"/>
      <c r="T251" s="611"/>
      <c r="U251" s="611"/>
      <c r="V251" s="611"/>
      <c r="W251" s="611"/>
      <c r="X251" s="611"/>
      <c r="Y251" s="611"/>
      <c r="Z251" s="611"/>
      <c r="AA251" s="611"/>
    </row>
    <row r="252" spans="1:27" ht="12" customHeight="1">
      <c r="A252" s="611"/>
      <c r="B252" s="640"/>
      <c r="C252" s="639" t="s">
        <v>408</v>
      </c>
      <c r="D252" s="507" t="s">
        <v>2037</v>
      </c>
      <c r="E252" s="630" t="s">
        <v>409</v>
      </c>
      <c r="F252" s="630"/>
      <c r="G252" s="631" t="s">
        <v>516</v>
      </c>
      <c r="H252" s="632" t="s">
        <v>537</v>
      </c>
      <c r="I252" s="633"/>
      <c r="J252" s="634" t="s">
        <v>398</v>
      </c>
      <c r="K252" s="635"/>
      <c r="L252" s="626"/>
      <c r="M252" s="627"/>
      <c r="N252" s="636" t="s">
        <v>3580</v>
      </c>
      <c r="O252" s="636" t="s">
        <v>254</v>
      </c>
      <c r="P252" s="507" t="s">
        <v>2442</v>
      </c>
      <c r="Q252" s="631"/>
      <c r="S252" s="611"/>
      <c r="T252" s="611"/>
      <c r="U252" s="611"/>
      <c r="V252" s="611"/>
      <c r="W252" s="611"/>
      <c r="X252" s="611"/>
      <c r="Y252" s="611"/>
      <c r="Z252" s="611"/>
      <c r="AA252" s="611"/>
    </row>
    <row r="253" spans="1:27" ht="12" customHeight="1">
      <c r="A253" s="611"/>
      <c r="B253" s="640"/>
      <c r="C253" s="507" t="s">
        <v>410</v>
      </c>
      <c r="D253" s="507" t="s">
        <v>2013</v>
      </c>
      <c r="E253" s="637" t="s">
        <v>1342</v>
      </c>
      <c r="F253" s="637"/>
      <c r="G253" s="631" t="s">
        <v>517</v>
      </c>
      <c r="H253" s="632" t="s">
        <v>538</v>
      </c>
      <c r="I253" s="638"/>
      <c r="J253" s="634" t="s">
        <v>3579</v>
      </c>
      <c r="K253" s="635"/>
      <c r="L253" s="626"/>
      <c r="M253" s="627"/>
      <c r="N253" s="636" t="s">
        <v>3628</v>
      </c>
      <c r="O253" s="636" t="s">
        <v>2662</v>
      </c>
      <c r="P253" s="507" t="s">
        <v>2443</v>
      </c>
      <c r="Q253" s="631"/>
      <c r="S253" s="611"/>
      <c r="T253" s="611"/>
      <c r="U253" s="611"/>
      <c r="V253" s="611"/>
      <c r="W253" s="611"/>
      <c r="X253" s="611"/>
      <c r="Y253" s="611"/>
      <c r="Z253" s="611"/>
      <c r="AA253" s="611"/>
    </row>
    <row r="254" spans="1:27" ht="12" customHeight="1">
      <c r="A254" s="611"/>
      <c r="B254" s="640"/>
      <c r="C254" s="507" t="s">
        <v>411</v>
      </c>
      <c r="D254" s="507" t="s">
        <v>2037</v>
      </c>
      <c r="E254" s="637" t="s">
        <v>217</v>
      </c>
      <c r="F254" s="637"/>
      <c r="G254" s="631" t="s">
        <v>2700</v>
      </c>
      <c r="H254" s="632" t="s">
        <v>538</v>
      </c>
      <c r="I254" s="638"/>
      <c r="J254" s="634" t="s">
        <v>3627</v>
      </c>
      <c r="K254" s="635"/>
      <c r="L254" s="626"/>
      <c r="M254" s="627"/>
      <c r="N254" s="636" t="s">
        <v>966</v>
      </c>
      <c r="O254" s="636" t="s">
        <v>2029</v>
      </c>
      <c r="P254" s="507" t="s">
        <v>2444</v>
      </c>
      <c r="Q254" s="631"/>
      <c r="S254" s="611"/>
      <c r="T254" s="611"/>
      <c r="U254" s="611"/>
      <c r="V254" s="611"/>
      <c r="W254" s="611"/>
      <c r="X254" s="611"/>
      <c r="Y254" s="611"/>
      <c r="Z254" s="611"/>
      <c r="AA254" s="611"/>
    </row>
    <row r="255" spans="1:27" ht="12" customHeight="1">
      <c r="A255" s="611"/>
      <c r="B255" s="640"/>
      <c r="C255" s="507" t="s">
        <v>412</v>
      </c>
      <c r="D255" s="507" t="s">
        <v>2037</v>
      </c>
      <c r="E255" s="630" t="s">
        <v>413</v>
      </c>
      <c r="F255" s="630"/>
      <c r="G255" s="631" t="s">
        <v>518</v>
      </c>
      <c r="H255" s="632" t="s">
        <v>537</v>
      </c>
      <c r="I255" s="633"/>
      <c r="J255" s="634" t="s">
        <v>3629</v>
      </c>
      <c r="K255" s="635"/>
      <c r="L255" s="626"/>
      <c r="M255" s="627"/>
      <c r="N255" s="636" t="s">
        <v>2026</v>
      </c>
      <c r="O255" s="636" t="s">
        <v>1002</v>
      </c>
      <c r="P255" s="507" t="s">
        <v>2445</v>
      </c>
      <c r="Q255" s="631"/>
      <c r="S255" s="611"/>
      <c r="T255" s="611"/>
      <c r="U255" s="611"/>
      <c r="V255" s="611"/>
      <c r="W255" s="611"/>
      <c r="X255" s="611"/>
      <c r="Y255" s="611"/>
      <c r="Z255" s="611"/>
      <c r="AA255" s="611"/>
    </row>
    <row r="256" spans="1:27" ht="12" customHeight="1">
      <c r="A256" s="611"/>
      <c r="B256" s="640"/>
      <c r="C256" s="507" t="s">
        <v>414</v>
      </c>
      <c r="D256" s="507" t="s">
        <v>2037</v>
      </c>
      <c r="E256" s="637" t="s">
        <v>1340</v>
      </c>
      <c r="F256" s="637"/>
      <c r="G256" s="631" t="s">
        <v>3887</v>
      </c>
      <c r="H256" s="632" t="s">
        <v>538</v>
      </c>
      <c r="I256" s="638"/>
      <c r="J256" s="634" t="s">
        <v>3630</v>
      </c>
      <c r="K256" s="635"/>
      <c r="L256" s="626"/>
      <c r="M256" s="627"/>
      <c r="N256" s="636" t="s">
        <v>3568</v>
      </c>
      <c r="O256" s="636" t="s">
        <v>3763</v>
      </c>
      <c r="P256" s="507" t="s">
        <v>2446</v>
      </c>
      <c r="Q256" s="631"/>
      <c r="S256" s="611"/>
      <c r="T256" s="611"/>
      <c r="U256" s="611"/>
      <c r="V256" s="611"/>
      <c r="W256" s="611"/>
      <c r="X256" s="611"/>
      <c r="Y256" s="611"/>
      <c r="Z256" s="611"/>
      <c r="AA256" s="611"/>
    </row>
    <row r="257" spans="1:27" ht="12" customHeight="1">
      <c r="A257" s="611"/>
      <c r="B257" s="640"/>
      <c r="C257" s="507" t="s">
        <v>415</v>
      </c>
      <c r="D257" s="507" t="s">
        <v>2037</v>
      </c>
      <c r="E257" s="637" t="s">
        <v>1340</v>
      </c>
      <c r="F257" s="637"/>
      <c r="G257" s="631" t="s">
        <v>3887</v>
      </c>
      <c r="H257" s="632" t="s">
        <v>538</v>
      </c>
      <c r="I257" s="638"/>
      <c r="J257" s="634" t="s">
        <v>3567</v>
      </c>
      <c r="K257" s="635"/>
      <c r="L257" s="626"/>
      <c r="M257" s="627"/>
      <c r="N257" s="636" t="s">
        <v>13</v>
      </c>
      <c r="O257" s="636" t="s">
        <v>1011</v>
      </c>
      <c r="P257" s="507" t="s">
        <v>2447</v>
      </c>
      <c r="Q257" s="631"/>
      <c r="S257" s="611"/>
      <c r="T257" s="611"/>
      <c r="U257" s="611"/>
      <c r="V257" s="611"/>
      <c r="W257" s="611"/>
      <c r="X257" s="611"/>
      <c r="Y257" s="611"/>
      <c r="Z257" s="611"/>
      <c r="AA257" s="611"/>
    </row>
    <row r="258" spans="1:27" ht="12" customHeight="1">
      <c r="A258" s="611"/>
      <c r="B258" s="640"/>
      <c r="C258" s="507" t="s">
        <v>416</v>
      </c>
      <c r="D258" s="507" t="s">
        <v>2037</v>
      </c>
      <c r="E258" s="637" t="s">
        <v>2727</v>
      </c>
      <c r="F258" s="637"/>
      <c r="G258" s="631" t="s">
        <v>519</v>
      </c>
      <c r="H258" s="632" t="s">
        <v>538</v>
      </c>
      <c r="I258" s="638"/>
      <c r="J258" s="634" t="s">
        <v>12</v>
      </c>
      <c r="K258" s="635"/>
      <c r="L258" s="626"/>
      <c r="M258" s="627"/>
      <c r="N258" s="636" t="s">
        <v>15</v>
      </c>
      <c r="O258" s="636" t="s">
        <v>410</v>
      </c>
      <c r="P258" s="639" t="s">
        <v>2448</v>
      </c>
      <c r="Q258" s="631"/>
      <c r="S258" s="611"/>
      <c r="T258" s="611"/>
      <c r="U258" s="611"/>
      <c r="V258" s="611"/>
      <c r="W258" s="611"/>
      <c r="X258" s="611"/>
      <c r="Y258" s="611"/>
      <c r="Z258" s="611"/>
      <c r="AA258" s="611"/>
    </row>
    <row r="259" spans="1:27" ht="12" customHeight="1">
      <c r="A259" s="611"/>
      <c r="B259" s="640"/>
      <c r="C259" s="507" t="s">
        <v>417</v>
      </c>
      <c r="D259" s="507" t="s">
        <v>1873</v>
      </c>
      <c r="E259" s="630" t="s">
        <v>418</v>
      </c>
      <c r="F259" s="630"/>
      <c r="G259" s="631" t="s">
        <v>992</v>
      </c>
      <c r="H259" s="632" t="s">
        <v>537</v>
      </c>
      <c r="I259" s="633"/>
      <c r="J259" s="634" t="s">
        <v>14</v>
      </c>
      <c r="K259" s="635"/>
      <c r="L259" s="626"/>
      <c r="M259" s="627"/>
      <c r="N259" s="636" t="s">
        <v>66</v>
      </c>
      <c r="O259" s="636" t="s">
        <v>3897</v>
      </c>
      <c r="P259" s="507" t="s">
        <v>2449</v>
      </c>
      <c r="Q259" s="631"/>
      <c r="S259" s="611"/>
      <c r="T259" s="611"/>
      <c r="U259" s="611"/>
      <c r="V259" s="611"/>
      <c r="W259" s="611"/>
      <c r="X259" s="611"/>
      <c r="Y259" s="611"/>
      <c r="Z259" s="611"/>
      <c r="AA259" s="611"/>
    </row>
    <row r="260" spans="1:27" ht="12" customHeight="1">
      <c r="A260" s="611"/>
      <c r="B260" s="640"/>
      <c r="C260" s="507" t="s">
        <v>419</v>
      </c>
      <c r="D260" s="507" t="s">
        <v>2037</v>
      </c>
      <c r="E260" s="630" t="s">
        <v>420</v>
      </c>
      <c r="F260" s="630"/>
      <c r="G260" s="631" t="s">
        <v>993</v>
      </c>
      <c r="H260" s="632" t="s">
        <v>537</v>
      </c>
      <c r="I260" s="633"/>
      <c r="J260" s="634" t="s">
        <v>65</v>
      </c>
      <c r="K260" s="635"/>
      <c r="L260" s="626"/>
      <c r="M260" s="627"/>
      <c r="N260" s="636" t="s">
        <v>68</v>
      </c>
      <c r="O260" s="636" t="s">
        <v>458</v>
      </c>
      <c r="P260" s="507" t="s">
        <v>2450</v>
      </c>
      <c r="Q260" s="631"/>
      <c r="S260" s="611"/>
      <c r="T260" s="611"/>
      <c r="U260" s="611"/>
      <c r="V260" s="611"/>
      <c r="W260" s="611"/>
      <c r="X260" s="611"/>
      <c r="Y260" s="611"/>
      <c r="Z260" s="611"/>
      <c r="AA260" s="611"/>
    </row>
    <row r="261" spans="1:27" ht="12" customHeight="1">
      <c r="A261" s="611"/>
      <c r="B261" s="640"/>
      <c r="C261" s="507" t="s">
        <v>421</v>
      </c>
      <c r="D261" s="507" t="s">
        <v>2037</v>
      </c>
      <c r="E261" s="637" t="s">
        <v>1340</v>
      </c>
      <c r="F261" s="637"/>
      <c r="G261" s="631" t="s">
        <v>3887</v>
      </c>
      <c r="H261" s="632" t="s">
        <v>538</v>
      </c>
      <c r="I261" s="638"/>
      <c r="J261" s="634" t="s">
        <v>67</v>
      </c>
      <c r="K261" s="635"/>
      <c r="L261" s="626"/>
      <c r="M261" s="627"/>
      <c r="N261" s="636" t="s">
        <v>70</v>
      </c>
      <c r="O261" s="636" t="s">
        <v>136</v>
      </c>
      <c r="P261" s="507" t="s">
        <v>2451</v>
      </c>
      <c r="Q261" s="631"/>
      <c r="S261" s="611"/>
      <c r="T261" s="611"/>
      <c r="U261" s="611"/>
      <c r="V261" s="611"/>
      <c r="W261" s="611"/>
      <c r="X261" s="611"/>
      <c r="Y261" s="611"/>
      <c r="Z261" s="611"/>
      <c r="AA261" s="611"/>
    </row>
    <row r="262" spans="1:27" ht="12" customHeight="1">
      <c r="A262" s="611"/>
      <c r="B262" s="640"/>
      <c r="C262" s="507" t="s">
        <v>422</v>
      </c>
      <c r="D262" s="507" t="s">
        <v>1873</v>
      </c>
      <c r="E262" s="630" t="s">
        <v>423</v>
      </c>
      <c r="F262" s="630"/>
      <c r="G262" s="631" t="s">
        <v>994</v>
      </c>
      <c r="H262" s="632" t="s">
        <v>537</v>
      </c>
      <c r="I262" s="633"/>
      <c r="J262" s="634" t="s">
        <v>69</v>
      </c>
      <c r="K262" s="635"/>
      <c r="L262" s="626"/>
      <c r="M262" s="627"/>
      <c r="N262" s="636" t="s">
        <v>453</v>
      </c>
      <c r="O262" s="636" t="s">
        <v>3293</v>
      </c>
      <c r="P262" s="507" t="s">
        <v>2452</v>
      </c>
      <c r="Q262" s="631"/>
      <c r="S262" s="611"/>
      <c r="T262" s="611"/>
      <c r="U262" s="611"/>
      <c r="V262" s="611"/>
      <c r="W262" s="611"/>
      <c r="X262" s="611"/>
      <c r="Y262" s="611"/>
      <c r="Z262" s="611"/>
      <c r="AA262" s="611"/>
    </row>
    <row r="263" spans="1:27" ht="12" customHeight="1">
      <c r="A263" s="611"/>
      <c r="B263" s="640"/>
      <c r="C263" s="507" t="s">
        <v>424</v>
      </c>
      <c r="D263" s="507" t="s">
        <v>2037</v>
      </c>
      <c r="E263" s="630" t="s">
        <v>425</v>
      </c>
      <c r="F263" s="630"/>
      <c r="G263" s="631" t="s">
        <v>349</v>
      </c>
      <c r="H263" s="632" t="s">
        <v>537</v>
      </c>
      <c r="I263" s="633"/>
      <c r="J263" s="634" t="s">
        <v>452</v>
      </c>
      <c r="K263" s="635"/>
      <c r="L263" s="626"/>
      <c r="M263" s="627"/>
      <c r="N263" s="636" t="s">
        <v>455</v>
      </c>
      <c r="O263" s="636" t="s">
        <v>1550</v>
      </c>
      <c r="P263" s="507" t="s">
        <v>2453</v>
      </c>
      <c r="Q263" s="631"/>
      <c r="S263" s="611"/>
      <c r="T263" s="611"/>
      <c r="U263" s="611"/>
      <c r="V263" s="611"/>
      <c r="W263" s="611"/>
      <c r="X263" s="611"/>
      <c r="Y263" s="611"/>
      <c r="Z263" s="611"/>
      <c r="AA263" s="611"/>
    </row>
    <row r="264" spans="1:27" ht="12" customHeight="1">
      <c r="A264" s="611"/>
      <c r="B264" s="640"/>
      <c r="C264" s="507" t="s">
        <v>426</v>
      </c>
      <c r="D264" s="507" t="s">
        <v>1873</v>
      </c>
      <c r="E264" s="630" t="s">
        <v>427</v>
      </c>
      <c r="F264" s="630"/>
      <c r="G264" s="631" t="s">
        <v>350</v>
      </c>
      <c r="H264" s="632" t="s">
        <v>537</v>
      </c>
      <c r="I264" s="633"/>
      <c r="J264" s="634" t="s">
        <v>454</v>
      </c>
      <c r="K264" s="635"/>
      <c r="L264" s="626"/>
      <c r="M264" s="627"/>
      <c r="N264" s="636" t="s">
        <v>457</v>
      </c>
      <c r="O264" s="636" t="s">
        <v>1723</v>
      </c>
      <c r="P264" s="507" t="s">
        <v>2454</v>
      </c>
      <c r="Q264" s="631"/>
      <c r="S264" s="611"/>
      <c r="T264" s="611"/>
      <c r="U264" s="611"/>
      <c r="V264" s="611"/>
      <c r="W264" s="611"/>
      <c r="X264" s="611"/>
      <c r="Y264" s="611"/>
      <c r="Z264" s="611"/>
      <c r="AA264" s="611"/>
    </row>
    <row r="265" spans="1:27" ht="12" customHeight="1">
      <c r="A265" s="611"/>
      <c r="B265" s="640"/>
      <c r="C265" s="507" t="s">
        <v>428</v>
      </c>
      <c r="D265" s="507" t="s">
        <v>1873</v>
      </c>
      <c r="E265" s="630" t="s">
        <v>429</v>
      </c>
      <c r="F265" s="630"/>
      <c r="G265" s="631" t="s">
        <v>351</v>
      </c>
      <c r="H265" s="632" t="s">
        <v>537</v>
      </c>
      <c r="I265" s="633"/>
      <c r="J265" s="634" t="s">
        <v>456</v>
      </c>
      <c r="K265" s="635"/>
      <c r="L265" s="626"/>
      <c r="M265" s="627"/>
      <c r="N265" s="636" t="s">
        <v>967</v>
      </c>
      <c r="O265" s="636" t="s">
        <v>2179</v>
      </c>
      <c r="P265" s="507" t="s">
        <v>2455</v>
      </c>
      <c r="Q265" s="631"/>
      <c r="S265" s="611"/>
      <c r="T265" s="611"/>
      <c r="U265" s="611"/>
      <c r="V265" s="611"/>
      <c r="W265" s="611"/>
      <c r="X265" s="611"/>
      <c r="Y265" s="611"/>
      <c r="Z265" s="611"/>
      <c r="AA265" s="611"/>
    </row>
    <row r="266" spans="1:27" ht="12" customHeight="1">
      <c r="A266" s="611"/>
      <c r="B266" s="640"/>
      <c r="C266" s="507" t="s">
        <v>634</v>
      </c>
      <c r="D266" s="507" t="s">
        <v>2037</v>
      </c>
      <c r="E266" s="637" t="s">
        <v>2022</v>
      </c>
      <c r="F266" s="637"/>
      <c r="G266" s="631" t="s">
        <v>3890</v>
      </c>
      <c r="H266" s="632" t="s">
        <v>538</v>
      </c>
      <c r="I266" s="638"/>
      <c r="J266" s="634" t="s">
        <v>3429</v>
      </c>
      <c r="K266" s="635"/>
      <c r="L266" s="626"/>
      <c r="M266" s="627"/>
      <c r="N266" s="636" t="s">
        <v>3430</v>
      </c>
      <c r="O266" s="636" t="s">
        <v>1014</v>
      </c>
      <c r="P266" s="507" t="s">
        <v>2456</v>
      </c>
      <c r="Q266" s="631"/>
      <c r="S266" s="611"/>
      <c r="T266" s="611"/>
      <c r="U266" s="611"/>
      <c r="V266" s="611"/>
      <c r="W266" s="611"/>
      <c r="X266" s="611"/>
      <c r="Y266" s="611"/>
      <c r="Z266" s="611"/>
      <c r="AA266" s="611"/>
    </row>
    <row r="267" spans="1:27" ht="12" customHeight="1">
      <c r="A267" s="611"/>
      <c r="B267" s="640"/>
      <c r="C267" s="507" t="s">
        <v>635</v>
      </c>
      <c r="D267" s="507" t="s">
        <v>2037</v>
      </c>
      <c r="E267" s="637" t="s">
        <v>1343</v>
      </c>
      <c r="F267" s="637"/>
      <c r="G267" s="631" t="s">
        <v>352</v>
      </c>
      <c r="H267" s="632" t="s">
        <v>538</v>
      </c>
      <c r="I267" s="638"/>
      <c r="J267" s="634" t="s">
        <v>3431</v>
      </c>
      <c r="K267" s="635"/>
      <c r="L267" s="626"/>
      <c r="M267" s="627"/>
      <c r="N267" s="636" t="s">
        <v>2034</v>
      </c>
      <c r="O267" s="636" t="s">
        <v>1012</v>
      </c>
      <c r="P267" s="507" t="s">
        <v>2457</v>
      </c>
      <c r="Q267" s="631"/>
      <c r="S267" s="611"/>
      <c r="T267" s="611"/>
      <c r="U267" s="611"/>
      <c r="V267" s="611"/>
      <c r="W267" s="611"/>
      <c r="X267" s="611"/>
      <c r="Y267" s="611"/>
      <c r="Z267" s="611"/>
      <c r="AA267" s="611"/>
    </row>
    <row r="268" spans="1:27" ht="12" customHeight="1">
      <c r="A268" s="611"/>
      <c r="B268" s="640"/>
      <c r="C268" s="507" t="s">
        <v>2178</v>
      </c>
      <c r="D268" s="507" t="s">
        <v>1873</v>
      </c>
      <c r="E268" s="630" t="s">
        <v>2714</v>
      </c>
      <c r="F268" s="630"/>
      <c r="G268" s="631" t="s">
        <v>3893</v>
      </c>
      <c r="H268" s="632" t="s">
        <v>538</v>
      </c>
      <c r="I268" s="633"/>
      <c r="J268" s="634" t="s">
        <v>3432</v>
      </c>
      <c r="K268" s="635"/>
      <c r="L268" s="626"/>
      <c r="M268" s="627"/>
      <c r="N268" s="636" t="s">
        <v>3434</v>
      </c>
      <c r="O268" s="636" t="s">
        <v>118</v>
      </c>
      <c r="P268" s="507" t="s">
        <v>2458</v>
      </c>
      <c r="Q268" s="631"/>
      <c r="S268" s="611"/>
      <c r="T268" s="611"/>
      <c r="U268" s="611"/>
      <c r="V268" s="611"/>
      <c r="W268" s="611"/>
      <c r="X268" s="611"/>
      <c r="Y268" s="611"/>
      <c r="Z268" s="611"/>
      <c r="AA268" s="611"/>
    </row>
    <row r="269" spans="1:27" ht="12" customHeight="1">
      <c r="A269" s="611"/>
      <c r="B269" s="640"/>
      <c r="C269" s="507" t="s">
        <v>2179</v>
      </c>
      <c r="D269" s="507" t="s">
        <v>1873</v>
      </c>
      <c r="E269" s="630" t="s">
        <v>2180</v>
      </c>
      <c r="F269" s="630"/>
      <c r="G269" s="631" t="s">
        <v>353</v>
      </c>
      <c r="H269" s="632" t="s">
        <v>537</v>
      </c>
      <c r="I269" s="633"/>
      <c r="J269" s="634" t="s">
        <v>3433</v>
      </c>
      <c r="K269" s="635"/>
      <c r="L269" s="626"/>
      <c r="M269" s="627"/>
      <c r="N269" s="636" t="s">
        <v>2316</v>
      </c>
      <c r="O269" s="636" t="s">
        <v>2541</v>
      </c>
      <c r="P269" s="507" t="s">
        <v>2459</v>
      </c>
      <c r="Q269" s="631"/>
      <c r="S269" s="611"/>
      <c r="T269" s="611"/>
      <c r="U269" s="611"/>
      <c r="V269" s="611"/>
      <c r="W269" s="611"/>
      <c r="X269" s="611"/>
      <c r="Y269" s="611"/>
      <c r="Z269" s="611"/>
      <c r="AA269" s="611"/>
    </row>
    <row r="270" spans="1:27" ht="12" customHeight="1">
      <c r="A270" s="611"/>
      <c r="B270" s="640"/>
      <c r="C270" s="507" t="s">
        <v>2181</v>
      </c>
      <c r="D270" s="507" t="s">
        <v>1873</v>
      </c>
      <c r="E270" s="637" t="s">
        <v>2812</v>
      </c>
      <c r="F270" s="637"/>
      <c r="G270" s="631" t="s">
        <v>1805</v>
      </c>
      <c r="H270" s="632" t="s">
        <v>538</v>
      </c>
      <c r="I270" s="638"/>
      <c r="J270" s="634" t="s">
        <v>2315</v>
      </c>
      <c r="K270" s="635"/>
      <c r="L270" s="626"/>
      <c r="M270" s="627"/>
      <c r="N270" s="636" t="s">
        <v>2318</v>
      </c>
      <c r="O270" s="636" t="s">
        <v>1005</v>
      </c>
      <c r="P270" s="507" t="s">
        <v>2460</v>
      </c>
      <c r="Q270" s="631"/>
      <c r="S270" s="611"/>
      <c r="T270" s="611"/>
      <c r="U270" s="611"/>
      <c r="V270" s="611"/>
      <c r="W270" s="611"/>
      <c r="X270" s="611"/>
      <c r="Y270" s="611"/>
      <c r="Z270" s="611"/>
      <c r="AA270" s="611"/>
    </row>
    <row r="271" spans="1:27" ht="12" customHeight="1">
      <c r="A271" s="611"/>
      <c r="B271" s="640"/>
      <c r="C271" s="507" t="s">
        <v>2182</v>
      </c>
      <c r="D271" s="507" t="s">
        <v>1873</v>
      </c>
      <c r="E271" s="630" t="s">
        <v>1344</v>
      </c>
      <c r="F271" s="630"/>
      <c r="G271" s="631" t="s">
        <v>354</v>
      </c>
      <c r="H271" s="632" t="s">
        <v>538</v>
      </c>
      <c r="I271" s="633"/>
      <c r="J271" s="634" t="s">
        <v>2317</v>
      </c>
      <c r="K271" s="635"/>
      <c r="L271" s="626"/>
      <c r="M271" s="627"/>
      <c r="N271" s="636" t="s">
        <v>2320</v>
      </c>
      <c r="O271" s="636" t="s">
        <v>220</v>
      </c>
      <c r="P271" s="507" t="s">
        <v>2461</v>
      </c>
      <c r="Q271" s="631"/>
      <c r="S271" s="611"/>
      <c r="T271" s="611"/>
      <c r="U271" s="611"/>
      <c r="V271" s="611"/>
      <c r="W271" s="611"/>
      <c r="X271" s="611"/>
      <c r="Y271" s="611"/>
      <c r="Z271" s="611"/>
      <c r="AA271" s="611"/>
    </row>
    <row r="272" spans="1:27" ht="12" customHeight="1">
      <c r="A272" s="611"/>
      <c r="B272" s="640"/>
      <c r="C272" s="507" t="s">
        <v>2183</v>
      </c>
      <c r="D272" s="507" t="s">
        <v>2037</v>
      </c>
      <c r="E272" s="630" t="s">
        <v>2184</v>
      </c>
      <c r="F272" s="630"/>
      <c r="G272" s="631" t="s">
        <v>3811</v>
      </c>
      <c r="H272" s="632" t="s">
        <v>537</v>
      </c>
      <c r="I272" s="633"/>
      <c r="J272" s="634" t="s">
        <v>2319</v>
      </c>
      <c r="K272" s="635"/>
      <c r="L272" s="626"/>
      <c r="M272" s="627"/>
      <c r="N272" s="636" t="s">
        <v>2322</v>
      </c>
      <c r="O272" s="636" t="s">
        <v>2015</v>
      </c>
      <c r="P272" s="507" t="s">
        <v>2462</v>
      </c>
      <c r="Q272" s="631"/>
      <c r="S272" s="611"/>
      <c r="T272" s="611"/>
      <c r="U272" s="611"/>
      <c r="V272" s="611"/>
      <c r="W272" s="611"/>
      <c r="X272" s="611"/>
      <c r="Y272" s="611"/>
      <c r="Z272" s="611"/>
      <c r="AA272" s="611"/>
    </row>
    <row r="273" spans="1:27" ht="12" customHeight="1">
      <c r="A273" s="611"/>
      <c r="B273" s="640"/>
      <c r="C273" s="507" t="s">
        <v>2185</v>
      </c>
      <c r="D273" s="507" t="s">
        <v>1873</v>
      </c>
      <c r="E273" s="630" t="s">
        <v>2186</v>
      </c>
      <c r="F273" s="630"/>
      <c r="G273" s="631" t="s">
        <v>1049</v>
      </c>
      <c r="H273" s="632" t="s">
        <v>538</v>
      </c>
      <c r="I273" s="633"/>
      <c r="J273" s="634" t="s">
        <v>2321</v>
      </c>
      <c r="K273" s="635"/>
      <c r="L273" s="626"/>
      <c r="M273" s="627"/>
      <c r="N273" s="636" t="s">
        <v>2324</v>
      </c>
      <c r="O273" s="636" t="s">
        <v>236</v>
      </c>
      <c r="P273" s="507" t="s">
        <v>2463</v>
      </c>
      <c r="Q273" s="631"/>
      <c r="S273" s="611"/>
      <c r="T273" s="611"/>
      <c r="U273" s="611"/>
      <c r="V273" s="611"/>
      <c r="W273" s="611"/>
      <c r="X273" s="611"/>
      <c r="Y273" s="611"/>
      <c r="Z273" s="611"/>
      <c r="AA273" s="611"/>
    </row>
    <row r="274" spans="1:27" ht="12" customHeight="1">
      <c r="A274" s="611"/>
      <c r="B274" s="640"/>
      <c r="C274" s="507" t="s">
        <v>232</v>
      </c>
      <c r="D274" s="507" t="s">
        <v>1873</v>
      </c>
      <c r="E274" s="630" t="s">
        <v>2714</v>
      </c>
      <c r="F274" s="630"/>
      <c r="G274" s="631" t="s">
        <v>3893</v>
      </c>
      <c r="H274" s="632" t="s">
        <v>538</v>
      </c>
      <c r="I274" s="633"/>
      <c r="J274" s="634" t="s">
        <v>2323</v>
      </c>
      <c r="K274" s="635"/>
      <c r="L274" s="626"/>
      <c r="M274" s="627"/>
      <c r="N274" s="636" t="s">
        <v>2772</v>
      </c>
      <c r="O274" s="636" t="s">
        <v>1005</v>
      </c>
      <c r="P274" s="507" t="s">
        <v>2464</v>
      </c>
      <c r="Q274" s="631"/>
      <c r="S274" s="611"/>
      <c r="T274" s="611"/>
      <c r="U274" s="611"/>
      <c r="V274" s="611"/>
      <c r="W274" s="611"/>
      <c r="X274" s="611"/>
      <c r="Y274" s="611"/>
      <c r="Z274" s="611"/>
      <c r="AA274" s="611"/>
    </row>
    <row r="275" spans="1:27" ht="12" customHeight="1">
      <c r="A275" s="611"/>
      <c r="B275" s="640"/>
      <c r="C275" s="507" t="s">
        <v>233</v>
      </c>
      <c r="D275" s="507" t="s">
        <v>2013</v>
      </c>
      <c r="E275" s="637" t="s">
        <v>234</v>
      </c>
      <c r="F275" s="637"/>
      <c r="G275" s="631" t="s">
        <v>1050</v>
      </c>
      <c r="H275" s="632" t="s">
        <v>537</v>
      </c>
      <c r="I275" s="638"/>
      <c r="J275" s="634" t="s">
        <v>2771</v>
      </c>
      <c r="K275" s="635"/>
      <c r="L275" s="626"/>
      <c r="M275" s="627"/>
      <c r="N275" s="636" t="s">
        <v>2774</v>
      </c>
      <c r="O275" s="636" t="s">
        <v>1223</v>
      </c>
      <c r="P275" s="507" t="s">
        <v>2465</v>
      </c>
      <c r="Q275" s="631"/>
      <c r="S275" s="611"/>
      <c r="T275" s="611"/>
      <c r="U275" s="611"/>
      <c r="V275" s="611"/>
      <c r="W275" s="611"/>
      <c r="X275" s="611"/>
      <c r="Y275" s="611"/>
      <c r="Z275" s="611"/>
      <c r="AA275" s="611"/>
    </row>
    <row r="276" spans="1:27" ht="12" customHeight="1">
      <c r="A276" s="611"/>
      <c r="B276" s="640"/>
      <c r="C276" s="507" t="s">
        <v>2022</v>
      </c>
      <c r="D276" s="507" t="s">
        <v>2037</v>
      </c>
      <c r="E276" s="630" t="s">
        <v>235</v>
      </c>
      <c r="F276" s="630"/>
      <c r="G276" s="631" t="s">
        <v>1051</v>
      </c>
      <c r="H276" s="632" t="s">
        <v>537</v>
      </c>
      <c r="I276" s="633"/>
      <c r="J276" s="634" t="s">
        <v>2773</v>
      </c>
      <c r="K276" s="635"/>
      <c r="L276" s="626"/>
      <c r="M276" s="627"/>
      <c r="N276" s="636" t="s">
        <v>1643</v>
      </c>
      <c r="O276" s="636" t="s">
        <v>2016</v>
      </c>
      <c r="P276" s="507" t="s">
        <v>2466</v>
      </c>
      <c r="Q276" s="631"/>
      <c r="S276" s="611"/>
      <c r="T276" s="611"/>
      <c r="U276" s="611"/>
      <c r="V276" s="611"/>
      <c r="W276" s="611"/>
      <c r="X276" s="611"/>
      <c r="Y276" s="611"/>
      <c r="Z276" s="611"/>
      <c r="AA276" s="611"/>
    </row>
    <row r="277" spans="1:27" ht="12" customHeight="1">
      <c r="A277" s="611"/>
      <c r="B277" s="640"/>
      <c r="C277" s="507" t="s">
        <v>236</v>
      </c>
      <c r="D277" s="507" t="s">
        <v>2037</v>
      </c>
      <c r="E277" s="630" t="s">
        <v>3135</v>
      </c>
      <c r="F277" s="630"/>
      <c r="G277" s="631" t="s">
        <v>957</v>
      </c>
      <c r="H277" s="632" t="s">
        <v>538</v>
      </c>
      <c r="I277" s="633"/>
      <c r="J277" s="634" t="s">
        <v>2775</v>
      </c>
      <c r="K277" s="635"/>
      <c r="L277" s="626"/>
      <c r="M277" s="627"/>
      <c r="N277" s="636" t="s">
        <v>1646</v>
      </c>
      <c r="O277" s="636" t="s">
        <v>1003</v>
      </c>
      <c r="P277" s="507" t="s">
        <v>2467</v>
      </c>
      <c r="Q277" s="631"/>
      <c r="S277" s="611"/>
      <c r="T277" s="611"/>
      <c r="U277" s="611"/>
      <c r="V277" s="611"/>
      <c r="W277" s="611"/>
      <c r="X277" s="611"/>
      <c r="Y277" s="611"/>
      <c r="Z277" s="611"/>
      <c r="AA277" s="611"/>
    </row>
    <row r="278" spans="1:27" ht="12" customHeight="1">
      <c r="A278" s="611"/>
      <c r="B278" s="640"/>
      <c r="C278" s="507" t="s">
        <v>458</v>
      </c>
      <c r="D278" s="507" t="s">
        <v>2037</v>
      </c>
      <c r="E278" s="637" t="s">
        <v>217</v>
      </c>
      <c r="F278" s="637"/>
      <c r="G278" s="631" t="s">
        <v>2700</v>
      </c>
      <c r="H278" s="632" t="s">
        <v>538</v>
      </c>
      <c r="I278" s="638"/>
      <c r="J278" s="634" t="s">
        <v>1644</v>
      </c>
      <c r="K278" s="635"/>
      <c r="L278" s="626"/>
      <c r="M278" s="627"/>
      <c r="N278" s="636" t="s">
        <v>303</v>
      </c>
      <c r="O278" s="636" t="s">
        <v>3818</v>
      </c>
      <c r="P278" s="507" t="s">
        <v>2468</v>
      </c>
      <c r="Q278" s="631"/>
      <c r="S278" s="611"/>
      <c r="T278" s="611"/>
      <c r="U278" s="611"/>
      <c r="V278" s="611"/>
      <c r="W278" s="611"/>
      <c r="X278" s="611"/>
      <c r="Y278" s="611"/>
      <c r="Z278" s="611"/>
      <c r="AA278" s="611"/>
    </row>
    <row r="279" spans="1:27" ht="12" customHeight="1">
      <c r="A279" s="611"/>
      <c r="B279" s="640"/>
      <c r="C279" s="507" t="s">
        <v>2938</v>
      </c>
      <c r="D279" s="507" t="s">
        <v>2037</v>
      </c>
      <c r="E279" s="637" t="s">
        <v>1341</v>
      </c>
      <c r="F279" s="637"/>
      <c r="G279" s="631" t="s">
        <v>3912</v>
      </c>
      <c r="H279" s="632" t="s">
        <v>538</v>
      </c>
      <c r="I279" s="638"/>
      <c r="J279" s="634" t="s">
        <v>1645</v>
      </c>
      <c r="K279" s="635"/>
      <c r="L279" s="626"/>
      <c r="M279" s="627"/>
      <c r="N279" s="636" t="s">
        <v>2787</v>
      </c>
      <c r="O279" s="636" t="s">
        <v>1729</v>
      </c>
      <c r="P279" s="507" t="s">
        <v>2469</v>
      </c>
      <c r="Q279" s="631"/>
      <c r="S279" s="611"/>
      <c r="T279" s="611"/>
      <c r="U279" s="611"/>
      <c r="V279" s="611"/>
      <c r="W279" s="611"/>
      <c r="X279" s="611"/>
      <c r="Y279" s="611"/>
      <c r="Z279" s="611"/>
      <c r="AA279" s="611"/>
    </row>
    <row r="280" spans="1:27" ht="12" customHeight="1">
      <c r="A280" s="611"/>
      <c r="B280" s="640"/>
      <c r="C280" s="507" t="s">
        <v>2939</v>
      </c>
      <c r="D280" s="507" t="s">
        <v>1873</v>
      </c>
      <c r="E280" s="630" t="s">
        <v>13</v>
      </c>
      <c r="F280" s="630"/>
      <c r="G280" s="631" t="s">
        <v>3892</v>
      </c>
      <c r="H280" s="632" t="s">
        <v>538</v>
      </c>
      <c r="I280" s="633"/>
      <c r="J280" s="634" t="s">
        <v>302</v>
      </c>
      <c r="K280" s="635"/>
      <c r="L280" s="626"/>
      <c r="M280" s="627"/>
      <c r="N280" s="636" t="s">
        <v>3156</v>
      </c>
      <c r="O280" s="636" t="s">
        <v>416</v>
      </c>
      <c r="P280" s="507" t="s">
        <v>2470</v>
      </c>
      <c r="Q280" s="631"/>
      <c r="S280" s="611"/>
      <c r="T280" s="611"/>
      <c r="U280" s="611"/>
      <c r="V280" s="611"/>
      <c r="W280" s="611"/>
      <c r="X280" s="611"/>
      <c r="Y280" s="611"/>
      <c r="Z280" s="611"/>
      <c r="AA280" s="611"/>
    </row>
    <row r="281" spans="1:27" ht="12" customHeight="1">
      <c r="A281" s="611"/>
      <c r="B281" s="640"/>
      <c r="C281" s="507" t="s">
        <v>2940</v>
      </c>
      <c r="D281" s="507" t="s">
        <v>2037</v>
      </c>
      <c r="E281" s="637" t="s">
        <v>1345</v>
      </c>
      <c r="F281" s="637"/>
      <c r="G281" s="631" t="s">
        <v>1052</v>
      </c>
      <c r="H281" s="632" t="s">
        <v>538</v>
      </c>
      <c r="I281" s="638"/>
      <c r="J281" s="634" t="s">
        <v>304</v>
      </c>
      <c r="K281" s="635"/>
      <c r="L281" s="626"/>
      <c r="M281" s="627"/>
      <c r="N281" s="636" t="s">
        <v>3158</v>
      </c>
      <c r="O281" s="636" t="s">
        <v>414</v>
      </c>
      <c r="P281" s="507" t="s">
        <v>2471</v>
      </c>
      <c r="Q281" s="631"/>
      <c r="S281" s="611"/>
      <c r="T281" s="611"/>
      <c r="U281" s="611"/>
      <c r="V281" s="611"/>
      <c r="W281" s="611"/>
      <c r="X281" s="611"/>
      <c r="Y281" s="611"/>
      <c r="Z281" s="611"/>
      <c r="AA281" s="611"/>
    </row>
    <row r="282" spans="1:27" ht="12" customHeight="1">
      <c r="A282" s="611"/>
      <c r="B282" s="640"/>
      <c r="C282" s="507" t="s">
        <v>2539</v>
      </c>
      <c r="D282" s="507" t="s">
        <v>1873</v>
      </c>
      <c r="E282" s="630" t="s">
        <v>2540</v>
      </c>
      <c r="F282" s="630"/>
      <c r="G282" s="631" t="s">
        <v>1053</v>
      </c>
      <c r="H282" s="632" t="s">
        <v>537</v>
      </c>
      <c r="I282" s="633"/>
      <c r="J282" s="634" t="s">
        <v>1948</v>
      </c>
      <c r="K282" s="635"/>
      <c r="L282" s="626"/>
      <c r="M282" s="627"/>
      <c r="N282" s="636" t="s">
        <v>3160</v>
      </c>
      <c r="O282" s="636" t="s">
        <v>965</v>
      </c>
      <c r="P282" s="507" t="s">
        <v>2472</v>
      </c>
      <c r="Q282" s="631"/>
      <c r="S282" s="611"/>
      <c r="T282" s="611"/>
      <c r="U282" s="611"/>
      <c r="V282" s="611"/>
      <c r="W282" s="611"/>
      <c r="X282" s="611"/>
      <c r="Y282" s="611"/>
      <c r="Z282" s="611"/>
      <c r="AA282" s="611"/>
    </row>
    <row r="283" spans="1:27" ht="12" customHeight="1">
      <c r="A283" s="611"/>
      <c r="B283" s="640"/>
      <c r="C283" s="507" t="s">
        <v>2541</v>
      </c>
      <c r="D283" s="507" t="s">
        <v>1873</v>
      </c>
      <c r="E283" s="630" t="s">
        <v>2542</v>
      </c>
      <c r="F283" s="630"/>
      <c r="G283" s="631" t="s">
        <v>1054</v>
      </c>
      <c r="H283" s="632" t="s">
        <v>537</v>
      </c>
      <c r="I283" s="633"/>
      <c r="J283" s="634" t="s">
        <v>3155</v>
      </c>
      <c r="K283" s="635"/>
      <c r="L283" s="626"/>
      <c r="M283" s="627"/>
      <c r="N283" s="636" t="s">
        <v>3162</v>
      </c>
      <c r="O283" s="636" t="s">
        <v>3899</v>
      </c>
      <c r="P283" s="507" t="s">
        <v>2473</v>
      </c>
      <c r="Q283" s="631"/>
      <c r="S283" s="611"/>
      <c r="T283" s="611"/>
      <c r="U283" s="611"/>
      <c r="V283" s="611"/>
      <c r="W283" s="611"/>
      <c r="X283" s="611"/>
      <c r="Y283" s="611"/>
      <c r="Z283" s="611"/>
      <c r="AA283" s="611"/>
    </row>
    <row r="284" spans="1:27" ht="12" customHeight="1">
      <c r="A284" s="611"/>
      <c r="B284" s="640"/>
      <c r="C284" s="507" t="s">
        <v>2543</v>
      </c>
      <c r="D284" s="507" t="s">
        <v>2037</v>
      </c>
      <c r="E284" s="637" t="s">
        <v>3134</v>
      </c>
      <c r="F284" s="637"/>
      <c r="G284" s="631" t="s">
        <v>1055</v>
      </c>
      <c r="H284" s="632" t="s">
        <v>538</v>
      </c>
      <c r="I284" s="638"/>
      <c r="J284" s="634" t="s">
        <v>3157</v>
      </c>
      <c r="K284" s="635"/>
      <c r="L284" s="626"/>
      <c r="M284" s="627"/>
      <c r="N284" s="636" t="s">
        <v>1044</v>
      </c>
      <c r="O284" s="636" t="s">
        <v>1868</v>
      </c>
      <c r="P284" s="507" t="s">
        <v>2474</v>
      </c>
      <c r="Q284" s="631"/>
      <c r="S284" s="611"/>
      <c r="T284" s="611"/>
      <c r="U284" s="611"/>
      <c r="V284" s="611"/>
      <c r="W284" s="611"/>
      <c r="X284" s="611"/>
      <c r="Y284" s="611"/>
      <c r="Z284" s="611"/>
      <c r="AA284" s="611"/>
    </row>
    <row r="285" spans="1:27" ht="12" customHeight="1">
      <c r="A285" s="611"/>
      <c r="B285" s="640"/>
      <c r="C285" s="507" t="s">
        <v>241</v>
      </c>
      <c r="D285" s="507" t="s">
        <v>1873</v>
      </c>
      <c r="E285" s="630" t="s">
        <v>242</v>
      </c>
      <c r="F285" s="630"/>
      <c r="G285" s="631" t="s">
        <v>1056</v>
      </c>
      <c r="H285" s="632" t="s">
        <v>537</v>
      </c>
      <c r="I285" s="633"/>
      <c r="J285" s="634" t="s">
        <v>3159</v>
      </c>
      <c r="K285" s="635"/>
      <c r="L285" s="626"/>
      <c r="M285" s="627"/>
      <c r="N285" s="507" t="s">
        <v>3870</v>
      </c>
      <c r="O285" s="507" t="s">
        <v>3087</v>
      </c>
      <c r="P285" s="1580" t="s">
        <v>3242</v>
      </c>
      <c r="Q285" s="631"/>
      <c r="S285" s="611"/>
      <c r="T285" s="611"/>
      <c r="U285" s="611"/>
      <c r="V285" s="611"/>
      <c r="W285" s="611"/>
      <c r="X285" s="611"/>
      <c r="Y285" s="611"/>
      <c r="Z285" s="611"/>
      <c r="AA285" s="611"/>
    </row>
    <row r="286" spans="1:27" ht="12" customHeight="1">
      <c r="A286" s="611"/>
      <c r="B286" s="640"/>
      <c r="C286" s="507" t="s">
        <v>3897</v>
      </c>
      <c r="D286" s="507" t="s">
        <v>2037</v>
      </c>
      <c r="E286" s="637" t="s">
        <v>3898</v>
      </c>
      <c r="F286" s="637"/>
      <c r="G286" s="631" t="s">
        <v>1057</v>
      </c>
      <c r="H286" s="632" t="s">
        <v>537</v>
      </c>
      <c r="I286" s="638"/>
      <c r="J286" s="634" t="s">
        <v>3161</v>
      </c>
      <c r="K286" s="635"/>
      <c r="L286" s="626"/>
      <c r="M286" s="627"/>
      <c r="N286" s="636" t="s">
        <v>3164</v>
      </c>
      <c r="O286" s="636" t="s">
        <v>257</v>
      </c>
      <c r="P286" s="507" t="s">
        <v>2475</v>
      </c>
      <c r="Q286" s="631"/>
      <c r="S286" s="611"/>
      <c r="T286" s="611"/>
      <c r="U286" s="611"/>
      <c r="V286" s="611"/>
      <c r="W286" s="611"/>
      <c r="X286" s="611"/>
      <c r="Y286" s="611"/>
      <c r="Z286" s="611"/>
      <c r="AA286" s="611"/>
    </row>
    <row r="287" spans="1:27" ht="12" customHeight="1">
      <c r="A287" s="611"/>
      <c r="B287" s="640"/>
      <c r="C287" s="507" t="s">
        <v>3899</v>
      </c>
      <c r="D287" s="507" t="s">
        <v>2013</v>
      </c>
      <c r="E287" s="630" t="s">
        <v>3900</v>
      </c>
      <c r="F287" s="630"/>
      <c r="G287" s="631" t="s">
        <v>3028</v>
      </c>
      <c r="H287" s="632" t="s">
        <v>538</v>
      </c>
      <c r="I287" s="633"/>
      <c r="J287" s="634" t="s">
        <v>3163</v>
      </c>
      <c r="K287" s="635"/>
      <c r="L287" s="626"/>
      <c r="M287" s="627"/>
      <c r="N287" s="636" t="s">
        <v>3166</v>
      </c>
      <c r="O287" s="636" t="s">
        <v>257</v>
      </c>
      <c r="P287" s="507" t="s">
        <v>2476</v>
      </c>
      <c r="Q287" s="631"/>
      <c r="S287" s="611"/>
      <c r="T287" s="611"/>
      <c r="U287" s="611"/>
      <c r="V287" s="611"/>
      <c r="W287" s="611"/>
      <c r="X287" s="611"/>
      <c r="Y287" s="611"/>
      <c r="Z287" s="611"/>
      <c r="AA287" s="611"/>
    </row>
    <row r="288" spans="1:27" ht="12" customHeight="1">
      <c r="A288" s="611"/>
      <c r="B288" s="640"/>
      <c r="C288" s="507" t="s">
        <v>3901</v>
      </c>
      <c r="D288" s="507" t="s">
        <v>2037</v>
      </c>
      <c r="E288" s="637" t="s">
        <v>217</v>
      </c>
      <c r="F288" s="637"/>
      <c r="G288" s="631" t="s">
        <v>2700</v>
      </c>
      <c r="H288" s="632" t="s">
        <v>538</v>
      </c>
      <c r="I288" s="638"/>
      <c r="J288" s="634" t="s">
        <v>3165</v>
      </c>
      <c r="K288" s="635"/>
      <c r="L288" s="626"/>
      <c r="M288" s="627"/>
      <c r="N288" s="636" t="s">
        <v>1022</v>
      </c>
      <c r="O288" s="636" t="s">
        <v>3087</v>
      </c>
      <c r="P288" s="507" t="s">
        <v>2477</v>
      </c>
      <c r="Q288" s="631"/>
      <c r="S288" s="611"/>
      <c r="T288" s="611"/>
      <c r="U288" s="611"/>
      <c r="V288" s="611"/>
      <c r="W288" s="611"/>
      <c r="X288" s="611"/>
      <c r="Y288" s="611"/>
      <c r="Z288" s="611"/>
      <c r="AA288" s="611"/>
    </row>
    <row r="289" spans="1:27" ht="12" customHeight="1">
      <c r="A289" s="611"/>
      <c r="B289" s="640"/>
      <c r="C289" s="507" t="s">
        <v>3902</v>
      </c>
      <c r="D289" s="507" t="s">
        <v>2037</v>
      </c>
      <c r="E289" s="637" t="s">
        <v>1340</v>
      </c>
      <c r="F289" s="637"/>
      <c r="G289" s="631" t="s">
        <v>3887</v>
      </c>
      <c r="H289" s="632" t="s">
        <v>538</v>
      </c>
      <c r="I289" s="638"/>
      <c r="J289" s="634" t="s">
        <v>1021</v>
      </c>
      <c r="K289" s="635"/>
      <c r="L289" s="626"/>
      <c r="M289" s="627"/>
      <c r="N289" s="636" t="s">
        <v>3477</v>
      </c>
      <c r="O289" s="636" t="s">
        <v>137</v>
      </c>
      <c r="P289" s="507" t="s">
        <v>2478</v>
      </c>
      <c r="Q289" s="631"/>
      <c r="S289" s="611"/>
      <c r="T289" s="611"/>
      <c r="U289" s="611"/>
      <c r="V289" s="611"/>
      <c r="W289" s="611"/>
      <c r="X289" s="611"/>
      <c r="Y289" s="611"/>
      <c r="Z289" s="611"/>
      <c r="AA289" s="611"/>
    </row>
    <row r="290" spans="1:27" ht="12" customHeight="1">
      <c r="A290" s="611"/>
      <c r="B290" s="640"/>
      <c r="C290" s="507" t="s">
        <v>3903</v>
      </c>
      <c r="D290" s="507" t="s">
        <v>2037</v>
      </c>
      <c r="E290" s="630" t="s">
        <v>3135</v>
      </c>
      <c r="F290" s="630"/>
      <c r="G290" s="631" t="s">
        <v>957</v>
      </c>
      <c r="H290" s="632" t="s">
        <v>538</v>
      </c>
      <c r="I290" s="633"/>
      <c r="J290" s="634" t="s">
        <v>3475</v>
      </c>
      <c r="K290" s="635"/>
      <c r="L290" s="626"/>
      <c r="M290" s="627"/>
      <c r="N290" s="636" t="s">
        <v>1926</v>
      </c>
      <c r="O290" s="636" t="s">
        <v>965</v>
      </c>
      <c r="P290" s="507" t="s">
        <v>2479</v>
      </c>
      <c r="Q290" s="631"/>
      <c r="S290" s="611"/>
      <c r="T290" s="611"/>
      <c r="U290" s="611"/>
      <c r="V290" s="611"/>
      <c r="W290" s="611"/>
      <c r="X290" s="611"/>
      <c r="Y290" s="611"/>
      <c r="Z290" s="611"/>
      <c r="AA290" s="611"/>
    </row>
    <row r="291" spans="1:27" ht="12" customHeight="1">
      <c r="A291" s="611"/>
      <c r="B291" s="640"/>
      <c r="C291" s="507" t="s">
        <v>3904</v>
      </c>
      <c r="D291" s="507" t="s">
        <v>2037</v>
      </c>
      <c r="E291" s="630" t="s">
        <v>3135</v>
      </c>
      <c r="F291" s="630"/>
      <c r="G291" s="631" t="s">
        <v>957</v>
      </c>
      <c r="H291" s="632" t="s">
        <v>538</v>
      </c>
      <c r="I291" s="633"/>
      <c r="J291" s="634" t="s">
        <v>3476</v>
      </c>
      <c r="K291" s="635"/>
      <c r="L291" s="626"/>
      <c r="M291" s="627"/>
      <c r="N291" s="636" t="s">
        <v>1928</v>
      </c>
      <c r="O291" s="636" t="s">
        <v>3373</v>
      </c>
      <c r="P291" s="507" t="s">
        <v>2480</v>
      </c>
      <c r="Q291" s="631"/>
      <c r="S291" s="611"/>
      <c r="T291" s="611"/>
      <c r="U291" s="611"/>
      <c r="V291" s="611"/>
      <c r="W291" s="611"/>
      <c r="X291" s="611"/>
      <c r="Y291" s="611"/>
      <c r="Z291" s="611"/>
      <c r="AA291" s="611"/>
    </row>
    <row r="292" spans="1:27" ht="12" customHeight="1">
      <c r="A292" s="611"/>
      <c r="B292" s="640"/>
      <c r="C292" s="507" t="s">
        <v>3905</v>
      </c>
      <c r="D292" s="507" t="s">
        <v>2013</v>
      </c>
      <c r="E292" s="637" t="s">
        <v>1340</v>
      </c>
      <c r="F292" s="637"/>
      <c r="G292" s="631" t="s">
        <v>3887</v>
      </c>
      <c r="H292" s="632" t="s">
        <v>538</v>
      </c>
      <c r="I292" s="638"/>
      <c r="J292" s="634" t="s">
        <v>1925</v>
      </c>
      <c r="K292" s="635"/>
      <c r="L292" s="626"/>
      <c r="M292" s="627"/>
      <c r="N292" s="636" t="s">
        <v>3759</v>
      </c>
      <c r="O292" s="636" t="s">
        <v>1737</v>
      </c>
      <c r="P292" s="507" t="s">
        <v>2481</v>
      </c>
      <c r="Q292" s="631"/>
      <c r="S292" s="611"/>
      <c r="T292" s="611"/>
      <c r="U292" s="611"/>
      <c r="V292" s="611"/>
      <c r="W292" s="611"/>
      <c r="X292" s="611"/>
      <c r="Y292" s="611"/>
      <c r="Z292" s="611"/>
      <c r="AA292" s="611"/>
    </row>
    <row r="293" spans="1:27" ht="12" customHeight="1">
      <c r="A293" s="611"/>
      <c r="B293" s="640"/>
      <c r="C293" s="507" t="s">
        <v>1723</v>
      </c>
      <c r="D293" s="507" t="s">
        <v>2037</v>
      </c>
      <c r="E293" s="637" t="s">
        <v>1724</v>
      </c>
      <c r="F293" s="637"/>
      <c r="G293" s="631" t="s">
        <v>3029</v>
      </c>
      <c r="H293" s="632" t="s">
        <v>537</v>
      </c>
      <c r="I293" s="638"/>
      <c r="J293" s="634" t="s">
        <v>1927</v>
      </c>
      <c r="K293" s="635"/>
      <c r="L293" s="626"/>
      <c r="M293" s="627"/>
      <c r="N293" s="636" t="s">
        <v>1931</v>
      </c>
      <c r="O293" s="636" t="s">
        <v>407</v>
      </c>
      <c r="P293" s="507" t="s">
        <v>2482</v>
      </c>
      <c r="Q293" s="631"/>
      <c r="S293" s="611"/>
      <c r="T293" s="611"/>
      <c r="U293" s="611"/>
      <c r="V293" s="611"/>
      <c r="W293" s="611"/>
      <c r="X293" s="611"/>
      <c r="Y293" s="611"/>
      <c r="Z293" s="611"/>
      <c r="AA293" s="611"/>
    </row>
    <row r="294" spans="1:27" ht="12" customHeight="1">
      <c r="A294" s="611"/>
      <c r="B294" s="640"/>
      <c r="C294" s="507" t="s">
        <v>1725</v>
      </c>
      <c r="D294" s="507" t="s">
        <v>2013</v>
      </c>
      <c r="E294" s="637" t="s">
        <v>1340</v>
      </c>
      <c r="F294" s="637"/>
      <c r="G294" s="631" t="s">
        <v>3887</v>
      </c>
      <c r="H294" s="632" t="s">
        <v>538</v>
      </c>
      <c r="I294" s="638"/>
      <c r="J294" s="634" t="s">
        <v>1929</v>
      </c>
      <c r="K294" s="635"/>
      <c r="L294" s="626"/>
      <c r="M294" s="627"/>
      <c r="N294" s="636" t="s">
        <v>3773</v>
      </c>
      <c r="O294" s="636" t="s">
        <v>128</v>
      </c>
      <c r="P294" s="507" t="s">
        <v>2483</v>
      </c>
      <c r="Q294" s="631"/>
      <c r="S294" s="611"/>
      <c r="T294" s="611"/>
      <c r="U294" s="611"/>
      <c r="V294" s="611"/>
      <c r="W294" s="611"/>
      <c r="X294" s="611"/>
      <c r="Y294" s="611"/>
      <c r="Z294" s="611"/>
      <c r="AA294" s="611"/>
    </row>
    <row r="295" spans="1:27" ht="12" customHeight="1">
      <c r="A295" s="611"/>
      <c r="B295" s="640"/>
      <c r="C295" s="507" t="s">
        <v>1726</v>
      </c>
      <c r="D295" s="507" t="s">
        <v>1873</v>
      </c>
      <c r="E295" s="630" t="s">
        <v>1727</v>
      </c>
      <c r="F295" s="630"/>
      <c r="G295" s="631" t="s">
        <v>3030</v>
      </c>
      <c r="H295" s="632" t="s">
        <v>537</v>
      </c>
      <c r="I295" s="633"/>
      <c r="J295" s="634" t="s">
        <v>1930</v>
      </c>
      <c r="K295" s="635"/>
      <c r="L295" s="626"/>
      <c r="M295" s="627"/>
      <c r="N295" s="636" t="s">
        <v>91</v>
      </c>
      <c r="O295" s="636" t="s">
        <v>254</v>
      </c>
      <c r="P295" s="507" t="s">
        <v>2484</v>
      </c>
      <c r="Q295" s="631"/>
      <c r="S295" s="611"/>
      <c r="T295" s="611"/>
      <c r="U295" s="611"/>
      <c r="V295" s="611"/>
      <c r="W295" s="611"/>
      <c r="X295" s="611"/>
      <c r="Y295" s="611"/>
      <c r="Z295" s="611"/>
      <c r="AA295" s="611"/>
    </row>
    <row r="296" spans="1:27" ht="12" customHeight="1">
      <c r="A296" s="611"/>
      <c r="B296" s="640"/>
      <c r="C296" s="507" t="s">
        <v>1728</v>
      </c>
      <c r="D296" s="507" t="s">
        <v>2037</v>
      </c>
      <c r="E296" s="637" t="s">
        <v>1340</v>
      </c>
      <c r="F296" s="637"/>
      <c r="G296" s="631" t="s">
        <v>3887</v>
      </c>
      <c r="H296" s="632" t="s">
        <v>538</v>
      </c>
      <c r="I296" s="638"/>
      <c r="J296" s="634" t="s">
        <v>1932</v>
      </c>
      <c r="K296" s="635"/>
      <c r="L296" s="626"/>
      <c r="M296" s="627"/>
      <c r="N296" s="636" t="s">
        <v>95</v>
      </c>
      <c r="O296" s="636" t="s">
        <v>3291</v>
      </c>
      <c r="P296" s="507" t="s">
        <v>2485</v>
      </c>
      <c r="Q296" s="611"/>
      <c r="S296" s="611"/>
      <c r="T296" s="611"/>
      <c r="U296" s="611"/>
      <c r="V296" s="611"/>
      <c r="W296" s="611"/>
      <c r="X296" s="611"/>
      <c r="Y296" s="611"/>
      <c r="Z296" s="611"/>
      <c r="AA296" s="611"/>
    </row>
    <row r="297" spans="1:27" ht="12" customHeight="1">
      <c r="A297" s="611"/>
      <c r="B297" s="640"/>
      <c r="C297" s="507" t="s">
        <v>1729</v>
      </c>
      <c r="D297" s="507" t="s">
        <v>2013</v>
      </c>
      <c r="E297" s="630" t="s">
        <v>1730</v>
      </c>
      <c r="F297" s="630"/>
      <c r="G297" s="631" t="s">
        <v>3031</v>
      </c>
      <c r="H297" s="632" t="s">
        <v>537</v>
      </c>
      <c r="I297" s="633"/>
      <c r="J297" s="634" t="s">
        <v>3774</v>
      </c>
      <c r="K297" s="635"/>
      <c r="L297" s="626"/>
      <c r="M297" s="627"/>
      <c r="N297" s="636" t="s">
        <v>97</v>
      </c>
      <c r="O297" s="636" t="s">
        <v>2023</v>
      </c>
      <c r="P297" s="507" t="s">
        <v>2486</v>
      </c>
      <c r="Q297" s="631"/>
      <c r="S297" s="611"/>
      <c r="T297" s="611"/>
      <c r="U297" s="611"/>
      <c r="V297" s="611"/>
      <c r="W297" s="611"/>
      <c r="X297" s="611"/>
      <c r="Y297" s="611"/>
      <c r="Z297" s="611"/>
      <c r="AA297" s="611"/>
    </row>
    <row r="298" spans="1:27" ht="12" customHeight="1">
      <c r="A298" s="611"/>
      <c r="B298" s="640"/>
      <c r="C298" s="507" t="s">
        <v>1731</v>
      </c>
      <c r="D298" s="507" t="s">
        <v>1873</v>
      </c>
      <c r="E298" s="637" t="s">
        <v>1732</v>
      </c>
      <c r="F298" s="637"/>
      <c r="G298" s="631" t="s">
        <v>3032</v>
      </c>
      <c r="H298" s="632" t="s">
        <v>537</v>
      </c>
      <c r="I298" s="638"/>
      <c r="J298" s="634" t="s">
        <v>92</v>
      </c>
      <c r="K298" s="635"/>
      <c r="L298" s="626"/>
      <c r="M298" s="627"/>
      <c r="N298" s="636" t="s">
        <v>1890</v>
      </c>
      <c r="O298" s="636" t="s">
        <v>3026</v>
      </c>
      <c r="P298" s="507" t="s">
        <v>2487</v>
      </c>
      <c r="Q298" s="631"/>
      <c r="S298" s="611"/>
      <c r="T298" s="611"/>
      <c r="U298" s="611"/>
      <c r="V298" s="611"/>
      <c r="W298" s="611"/>
      <c r="X298" s="611"/>
      <c r="Y298" s="611"/>
      <c r="Z298" s="611"/>
      <c r="AA298" s="611"/>
    </row>
    <row r="299" spans="1:27" ht="12" customHeight="1">
      <c r="A299" s="611"/>
      <c r="B299" s="640"/>
      <c r="C299" s="507" t="s">
        <v>1733</v>
      </c>
      <c r="D299" s="507" t="s">
        <v>2037</v>
      </c>
      <c r="E299" s="637" t="s">
        <v>1734</v>
      </c>
      <c r="F299" s="637"/>
      <c r="G299" s="631" t="s">
        <v>3033</v>
      </c>
      <c r="H299" s="632" t="s">
        <v>537</v>
      </c>
      <c r="I299" s="638"/>
      <c r="J299" s="634" t="s">
        <v>93</v>
      </c>
      <c r="K299" s="635"/>
      <c r="L299" s="626"/>
      <c r="M299" s="627"/>
      <c r="N299" s="636" t="s">
        <v>1892</v>
      </c>
      <c r="O299" s="636" t="s">
        <v>236</v>
      </c>
      <c r="P299" s="507" t="s">
        <v>2488</v>
      </c>
      <c r="Q299" s="631"/>
      <c r="S299" s="611"/>
      <c r="T299" s="611"/>
      <c r="U299" s="611"/>
      <c r="V299" s="611"/>
      <c r="W299" s="611"/>
      <c r="X299" s="611"/>
      <c r="Y299" s="611"/>
      <c r="Z299" s="611"/>
      <c r="AA299" s="611"/>
    </row>
    <row r="300" spans="1:27" ht="12" customHeight="1">
      <c r="A300" s="611"/>
      <c r="B300" s="640"/>
      <c r="C300" s="507" t="s">
        <v>1735</v>
      </c>
      <c r="D300" s="507" t="s">
        <v>1873</v>
      </c>
      <c r="E300" s="630" t="s">
        <v>1736</v>
      </c>
      <c r="F300" s="630"/>
      <c r="G300" s="631" t="s">
        <v>2815</v>
      </c>
      <c r="H300" s="632" t="s">
        <v>537</v>
      </c>
      <c r="I300" s="633"/>
      <c r="J300" s="634" t="s">
        <v>94</v>
      </c>
      <c r="K300" s="635"/>
      <c r="L300" s="626"/>
      <c r="M300" s="627"/>
      <c r="N300" s="636" t="s">
        <v>1894</v>
      </c>
      <c r="O300" s="636" t="s">
        <v>1739</v>
      </c>
      <c r="P300" s="1579" t="s">
        <v>1413</v>
      </c>
      <c r="Q300" s="611"/>
      <c r="S300" s="611"/>
      <c r="T300" s="611"/>
      <c r="U300" s="611"/>
      <c r="V300" s="611"/>
      <c r="W300" s="611"/>
      <c r="X300" s="611"/>
      <c r="Y300" s="611"/>
      <c r="Z300" s="611"/>
      <c r="AA300" s="611"/>
    </row>
    <row r="301" spans="1:27" ht="12" customHeight="1">
      <c r="A301" s="611"/>
      <c r="B301" s="640"/>
      <c r="C301" s="507" t="s">
        <v>1737</v>
      </c>
      <c r="D301" s="507" t="s">
        <v>2013</v>
      </c>
      <c r="E301" s="630" t="s">
        <v>1738</v>
      </c>
      <c r="F301" s="630"/>
      <c r="G301" s="631" t="s">
        <v>2816</v>
      </c>
      <c r="H301" s="632" t="s">
        <v>537</v>
      </c>
      <c r="I301" s="633"/>
      <c r="J301" s="634" t="s">
        <v>96</v>
      </c>
      <c r="K301" s="635"/>
      <c r="L301" s="626"/>
      <c r="M301" s="627"/>
      <c r="N301" s="636" t="s">
        <v>1896</v>
      </c>
      <c r="O301" s="636" t="s">
        <v>1868</v>
      </c>
      <c r="P301" s="507" t="s">
        <v>2489</v>
      </c>
      <c r="Q301" s="631"/>
      <c r="S301" s="611"/>
      <c r="T301" s="611"/>
      <c r="U301" s="611"/>
      <c r="V301" s="611"/>
      <c r="W301" s="611"/>
      <c r="X301" s="611"/>
      <c r="Y301" s="611"/>
      <c r="Z301" s="611"/>
      <c r="AA301" s="611"/>
    </row>
    <row r="302" spans="1:27" ht="12" customHeight="1">
      <c r="A302" s="611"/>
      <c r="B302" s="640"/>
      <c r="C302" s="507" t="s">
        <v>1739</v>
      </c>
      <c r="D302" s="507" t="s">
        <v>1873</v>
      </c>
      <c r="E302" s="630" t="s">
        <v>1740</v>
      </c>
      <c r="F302" s="630"/>
      <c r="G302" s="631" t="s">
        <v>2817</v>
      </c>
      <c r="H302" s="632" t="s">
        <v>537</v>
      </c>
      <c r="I302" s="633"/>
      <c r="J302" s="634" t="s">
        <v>1889</v>
      </c>
      <c r="K302" s="635"/>
      <c r="L302" s="626"/>
      <c r="M302" s="627"/>
      <c r="N302" s="636" t="s">
        <v>1898</v>
      </c>
      <c r="O302" s="636" t="s">
        <v>3291</v>
      </c>
      <c r="P302" s="507" t="s">
        <v>2490</v>
      </c>
      <c r="Q302" s="631"/>
      <c r="S302" s="611"/>
      <c r="T302" s="611"/>
      <c r="U302" s="611"/>
      <c r="V302" s="611"/>
      <c r="W302" s="611"/>
      <c r="X302" s="611"/>
      <c r="Y302" s="611"/>
      <c r="Z302" s="611"/>
      <c r="AA302" s="611"/>
    </row>
    <row r="303" spans="1:27" ht="12" customHeight="1">
      <c r="A303" s="611"/>
      <c r="B303" s="640"/>
      <c r="C303" s="507" t="s">
        <v>1741</v>
      </c>
      <c r="D303" s="507" t="s">
        <v>2037</v>
      </c>
      <c r="E303" s="637" t="s">
        <v>1341</v>
      </c>
      <c r="F303" s="637"/>
      <c r="G303" s="631" t="s">
        <v>3912</v>
      </c>
      <c r="H303" s="632" t="s">
        <v>538</v>
      </c>
      <c r="I303" s="638"/>
      <c r="J303" s="634" t="s">
        <v>1891</v>
      </c>
      <c r="K303" s="635"/>
      <c r="L303" s="626"/>
      <c r="M303" s="627"/>
      <c r="N303" s="636" t="s">
        <v>3765</v>
      </c>
      <c r="O303" s="636" t="s">
        <v>2539</v>
      </c>
      <c r="P303" s="507" t="s">
        <v>2491</v>
      </c>
      <c r="Q303" s="631"/>
      <c r="S303" s="611"/>
      <c r="T303" s="611"/>
      <c r="U303" s="611"/>
      <c r="V303" s="611"/>
      <c r="W303" s="611"/>
      <c r="X303" s="611"/>
      <c r="Y303" s="611"/>
      <c r="Z303" s="611"/>
      <c r="AA303" s="611"/>
    </row>
    <row r="304" spans="1:27" ht="12" customHeight="1">
      <c r="A304" s="611"/>
      <c r="B304" s="640"/>
      <c r="C304" s="507" t="s">
        <v>1742</v>
      </c>
      <c r="D304" s="507" t="s">
        <v>2037</v>
      </c>
      <c r="E304" s="637" t="s">
        <v>1340</v>
      </c>
      <c r="F304" s="637"/>
      <c r="G304" s="631" t="s">
        <v>3887</v>
      </c>
      <c r="H304" s="632" t="s">
        <v>538</v>
      </c>
      <c r="I304" s="638"/>
      <c r="J304" s="634" t="s">
        <v>1893</v>
      </c>
      <c r="K304" s="635"/>
      <c r="L304" s="626"/>
      <c r="M304" s="627"/>
      <c r="N304" s="636" t="s">
        <v>217</v>
      </c>
      <c r="O304" s="636" t="s">
        <v>3901</v>
      </c>
      <c r="P304" s="1579" t="s">
        <v>1413</v>
      </c>
      <c r="Q304" s="611"/>
      <c r="S304" s="611"/>
      <c r="T304" s="611"/>
      <c r="U304" s="611"/>
      <c r="V304" s="611"/>
      <c r="W304" s="611"/>
      <c r="X304" s="611"/>
      <c r="Y304" s="611"/>
      <c r="Z304" s="611"/>
      <c r="AA304" s="611"/>
    </row>
    <row r="305" spans="1:27" ht="12" customHeight="1">
      <c r="A305" s="611"/>
      <c r="B305" s="640"/>
      <c r="C305" s="507" t="s">
        <v>1743</v>
      </c>
      <c r="D305" s="507" t="s">
        <v>2037</v>
      </c>
      <c r="E305" s="630" t="s">
        <v>3275</v>
      </c>
      <c r="F305" s="630"/>
      <c r="G305" s="631" t="s">
        <v>2818</v>
      </c>
      <c r="H305" s="632" t="s">
        <v>537</v>
      </c>
      <c r="I305" s="633"/>
      <c r="J305" s="634" t="s">
        <v>1895</v>
      </c>
      <c r="K305" s="635"/>
      <c r="L305" s="626"/>
      <c r="M305" s="627"/>
      <c r="N305" s="636" t="s">
        <v>1487</v>
      </c>
      <c r="O305" s="636" t="s">
        <v>236</v>
      </c>
      <c r="P305" s="507" t="s">
        <v>2492</v>
      </c>
      <c r="Q305" s="631"/>
      <c r="S305" s="611"/>
      <c r="T305" s="611"/>
      <c r="U305" s="611"/>
      <c r="V305" s="611"/>
      <c r="W305" s="611"/>
      <c r="X305" s="611"/>
      <c r="Y305" s="611"/>
      <c r="Z305" s="611"/>
      <c r="AA305" s="611"/>
    </row>
    <row r="306" spans="1:27" ht="12" customHeight="1">
      <c r="A306" s="611"/>
      <c r="B306" s="640"/>
      <c r="C306" s="507" t="s">
        <v>3276</v>
      </c>
      <c r="D306" s="507" t="s">
        <v>1873</v>
      </c>
      <c r="E306" s="630" t="s">
        <v>3277</v>
      </c>
      <c r="F306" s="630"/>
      <c r="G306" s="631" t="s">
        <v>2819</v>
      </c>
      <c r="H306" s="632" t="s">
        <v>537</v>
      </c>
      <c r="I306" s="633"/>
      <c r="J306" s="634" t="s">
        <v>1897</v>
      </c>
      <c r="K306" s="635"/>
      <c r="L306" s="626"/>
      <c r="M306" s="627"/>
      <c r="N306" s="636" t="s">
        <v>1489</v>
      </c>
      <c r="O306" s="636" t="s">
        <v>419</v>
      </c>
      <c r="P306" s="507" t="s">
        <v>2493</v>
      </c>
      <c r="Q306" s="631"/>
      <c r="S306" s="611"/>
      <c r="T306" s="611"/>
      <c r="U306" s="611"/>
      <c r="V306" s="611"/>
      <c r="W306" s="611"/>
      <c r="X306" s="611"/>
      <c r="Y306" s="611"/>
      <c r="Z306" s="611"/>
      <c r="AA306" s="611"/>
    </row>
    <row r="307" spans="1:27" ht="12" customHeight="1">
      <c r="A307" s="611"/>
      <c r="B307" s="640"/>
      <c r="C307" s="507" t="s">
        <v>2371</v>
      </c>
      <c r="D307" s="507" t="s">
        <v>2371</v>
      </c>
      <c r="E307" s="507" t="s">
        <v>2371</v>
      </c>
      <c r="F307" s="630"/>
      <c r="G307" s="631"/>
      <c r="H307" s="632"/>
      <c r="I307" s="638"/>
      <c r="J307" s="634" t="s">
        <v>1899</v>
      </c>
      <c r="K307" s="635"/>
      <c r="L307" s="626"/>
      <c r="M307" s="627"/>
      <c r="N307" s="636" t="s">
        <v>1491</v>
      </c>
      <c r="O307" s="636" t="s">
        <v>1728</v>
      </c>
      <c r="P307" s="507" t="s">
        <v>2494</v>
      </c>
      <c r="Q307" s="611"/>
      <c r="S307" s="611"/>
      <c r="T307" s="611"/>
      <c r="U307" s="611"/>
      <c r="V307" s="611"/>
      <c r="W307" s="611"/>
      <c r="X307" s="611"/>
      <c r="Y307" s="611"/>
      <c r="Z307" s="611"/>
      <c r="AA307" s="611"/>
    </row>
    <row r="308" spans="1:27" ht="12" customHeight="1">
      <c r="A308" s="611"/>
      <c r="B308" s="640"/>
      <c r="C308" s="507" t="s">
        <v>3278</v>
      </c>
      <c r="D308" s="507" t="s">
        <v>1873</v>
      </c>
      <c r="E308" s="637" t="s">
        <v>3279</v>
      </c>
      <c r="F308" s="637"/>
      <c r="G308" s="631" t="s">
        <v>671</v>
      </c>
      <c r="H308" s="632" t="s">
        <v>537</v>
      </c>
      <c r="I308" s="638"/>
      <c r="J308" s="634" t="s">
        <v>1485</v>
      </c>
      <c r="K308" s="635"/>
      <c r="L308" s="626"/>
      <c r="M308" s="627"/>
      <c r="N308" s="507" t="s">
        <v>3871</v>
      </c>
      <c r="O308" s="507" t="s">
        <v>3759</v>
      </c>
      <c r="P308" s="1580" t="s">
        <v>3242</v>
      </c>
      <c r="Q308" s="611"/>
      <c r="S308" s="611"/>
      <c r="T308" s="611"/>
      <c r="U308" s="611"/>
      <c r="V308" s="611"/>
      <c r="W308" s="611"/>
      <c r="X308" s="611"/>
      <c r="Y308" s="611"/>
      <c r="Z308" s="611"/>
      <c r="AA308" s="611"/>
    </row>
    <row r="309" spans="1:27" ht="12" customHeight="1">
      <c r="A309" s="611"/>
      <c r="B309" s="640"/>
      <c r="C309" s="507" t="s">
        <v>3280</v>
      </c>
      <c r="D309" s="507" t="s">
        <v>2037</v>
      </c>
      <c r="E309" s="637" t="s">
        <v>1340</v>
      </c>
      <c r="F309" s="637"/>
      <c r="G309" s="631" t="s">
        <v>3887</v>
      </c>
      <c r="H309" s="632" t="s">
        <v>538</v>
      </c>
      <c r="I309" s="638"/>
      <c r="J309" s="634" t="s">
        <v>1486</v>
      </c>
      <c r="K309" s="635"/>
      <c r="L309" s="626"/>
      <c r="M309" s="627"/>
      <c r="N309" s="636" t="s">
        <v>3241</v>
      </c>
      <c r="O309" s="636" t="s">
        <v>1742</v>
      </c>
      <c r="P309" s="507" t="s">
        <v>2495</v>
      </c>
      <c r="Q309" s="631"/>
      <c r="S309" s="611"/>
      <c r="T309" s="611"/>
      <c r="U309" s="611"/>
      <c r="V309" s="611"/>
      <c r="W309" s="611"/>
      <c r="X309" s="611"/>
      <c r="Y309" s="611"/>
      <c r="Z309" s="611"/>
      <c r="AA309" s="611"/>
    </row>
    <row r="310" spans="1:27" ht="12" customHeight="1">
      <c r="A310" s="611"/>
      <c r="B310" s="640"/>
      <c r="C310" s="507" t="s">
        <v>3281</v>
      </c>
      <c r="D310" s="507" t="s">
        <v>2013</v>
      </c>
      <c r="E310" s="637" t="s">
        <v>3282</v>
      </c>
      <c r="F310" s="637"/>
      <c r="G310" s="631" t="s">
        <v>284</v>
      </c>
      <c r="H310" s="632" t="s">
        <v>537</v>
      </c>
      <c r="I310" s="633"/>
      <c r="J310" s="634" t="s">
        <v>1488</v>
      </c>
      <c r="K310" s="635"/>
      <c r="L310" s="626"/>
      <c r="M310" s="627"/>
      <c r="N310" s="636" t="s">
        <v>3152</v>
      </c>
      <c r="O310" s="636" t="s">
        <v>2663</v>
      </c>
      <c r="P310" s="507" t="s">
        <v>2496</v>
      </c>
      <c r="Q310" s="631"/>
      <c r="S310" s="611"/>
      <c r="T310" s="611"/>
      <c r="U310" s="611"/>
      <c r="V310" s="611"/>
      <c r="W310" s="611"/>
      <c r="X310" s="611"/>
      <c r="Y310" s="611"/>
      <c r="Z310" s="611"/>
      <c r="AA310" s="611"/>
    </row>
    <row r="311" spans="1:27" ht="12" customHeight="1">
      <c r="A311" s="611"/>
      <c r="B311" s="640"/>
      <c r="C311" s="507" t="s">
        <v>3283</v>
      </c>
      <c r="D311" s="507" t="s">
        <v>1873</v>
      </c>
      <c r="E311" s="630" t="s">
        <v>3284</v>
      </c>
      <c r="F311" s="630"/>
      <c r="G311" s="631" t="s">
        <v>2135</v>
      </c>
      <c r="H311" s="632" t="s">
        <v>537</v>
      </c>
      <c r="I311" s="633"/>
      <c r="J311" s="634" t="s">
        <v>1490</v>
      </c>
      <c r="K311" s="635"/>
      <c r="L311" s="626"/>
      <c r="M311" s="627"/>
      <c r="N311" s="636" t="s">
        <v>3154</v>
      </c>
      <c r="O311" s="636" t="s">
        <v>3822</v>
      </c>
      <c r="P311" s="507" t="s">
        <v>2497</v>
      </c>
      <c r="Q311" s="631"/>
      <c r="S311" s="611"/>
      <c r="T311" s="611"/>
      <c r="U311" s="611"/>
      <c r="V311" s="611"/>
      <c r="W311" s="611"/>
      <c r="X311" s="611"/>
      <c r="Y311" s="611"/>
      <c r="Z311" s="611"/>
      <c r="AA311" s="611"/>
    </row>
    <row r="312" spans="1:27" ht="12" customHeight="1">
      <c r="A312" s="611"/>
      <c r="B312" s="640"/>
      <c r="C312" s="507" t="s">
        <v>3285</v>
      </c>
      <c r="D312" s="507" t="s">
        <v>1873</v>
      </c>
      <c r="E312" s="630" t="s">
        <v>3286</v>
      </c>
      <c r="F312" s="630"/>
      <c r="G312" s="631" t="s">
        <v>2136</v>
      </c>
      <c r="H312" s="632" t="s">
        <v>537</v>
      </c>
      <c r="I312" s="633"/>
      <c r="J312" s="634" t="s">
        <v>3239</v>
      </c>
      <c r="K312" s="635"/>
      <c r="L312" s="626"/>
      <c r="M312" s="627"/>
      <c r="N312" s="636" t="s">
        <v>1415</v>
      </c>
      <c r="O312" s="636" t="s">
        <v>414</v>
      </c>
      <c r="P312" s="1579" t="s">
        <v>1413</v>
      </c>
      <c r="Q312" s="611"/>
      <c r="S312" s="611"/>
      <c r="T312" s="611"/>
      <c r="U312" s="611"/>
      <c r="V312" s="611"/>
      <c r="W312" s="611"/>
      <c r="X312" s="611"/>
      <c r="Y312" s="611"/>
      <c r="Z312" s="611"/>
      <c r="AA312" s="611"/>
    </row>
    <row r="313" spans="1:27" ht="12" customHeight="1">
      <c r="A313" s="611"/>
      <c r="B313" s="640"/>
      <c r="C313" s="507" t="s">
        <v>3287</v>
      </c>
      <c r="D313" s="507" t="s">
        <v>2037</v>
      </c>
      <c r="E313" s="630" t="s">
        <v>3288</v>
      </c>
      <c r="F313" s="630"/>
      <c r="G313" s="631" t="s">
        <v>2137</v>
      </c>
      <c r="H313" s="632" t="s">
        <v>537</v>
      </c>
      <c r="I313" s="633"/>
      <c r="J313" s="634" t="s">
        <v>3240</v>
      </c>
      <c r="K313" s="635"/>
      <c r="L313" s="626"/>
      <c r="M313" s="627"/>
      <c r="N313" s="636" t="s">
        <v>933</v>
      </c>
      <c r="O313" s="636" t="s">
        <v>137</v>
      </c>
      <c r="P313" s="507" t="s">
        <v>2498</v>
      </c>
      <c r="Q313" s="631"/>
      <c r="S313" s="611"/>
      <c r="T313" s="611"/>
      <c r="U313" s="611"/>
      <c r="V313" s="611"/>
      <c r="W313" s="611"/>
      <c r="X313" s="611"/>
      <c r="Y313" s="611"/>
      <c r="Z313" s="611"/>
      <c r="AA313" s="611"/>
    </row>
    <row r="314" spans="1:27" ht="12" customHeight="1">
      <c r="A314" s="611"/>
      <c r="B314" s="640"/>
      <c r="C314" s="507" t="s">
        <v>3289</v>
      </c>
      <c r="D314" s="507" t="s">
        <v>2037</v>
      </c>
      <c r="E314" s="630" t="s">
        <v>3290</v>
      </c>
      <c r="F314" s="630"/>
      <c r="G314" s="631" t="s">
        <v>3093</v>
      </c>
      <c r="H314" s="632" t="s">
        <v>537</v>
      </c>
      <c r="I314" s="633"/>
      <c r="J314" s="634" t="s">
        <v>3151</v>
      </c>
      <c r="K314" s="635"/>
      <c r="L314" s="626"/>
      <c r="M314" s="627"/>
      <c r="N314" s="507" t="s">
        <v>3872</v>
      </c>
      <c r="O314" s="507" t="s">
        <v>2029</v>
      </c>
      <c r="P314" s="1580" t="s">
        <v>3242</v>
      </c>
      <c r="Q314" s="631"/>
      <c r="S314" s="611"/>
      <c r="T314" s="611"/>
      <c r="U314" s="611"/>
      <c r="V314" s="611"/>
      <c r="W314" s="611"/>
      <c r="X314" s="611"/>
      <c r="Y314" s="611"/>
      <c r="Z314" s="611"/>
      <c r="AA314" s="611"/>
    </row>
    <row r="315" spans="1:27" ht="12" customHeight="1">
      <c r="A315" s="611"/>
      <c r="B315" s="640"/>
      <c r="C315" s="507" t="s">
        <v>3291</v>
      </c>
      <c r="D315" s="507" t="s">
        <v>1873</v>
      </c>
      <c r="E315" s="630" t="s">
        <v>3292</v>
      </c>
      <c r="F315" s="630"/>
      <c r="G315" s="631" t="s">
        <v>3094</v>
      </c>
      <c r="H315" s="632" t="s">
        <v>537</v>
      </c>
      <c r="I315" s="633"/>
      <c r="J315" s="634" t="s">
        <v>3153</v>
      </c>
      <c r="K315" s="635"/>
      <c r="L315" s="626"/>
      <c r="M315" s="627"/>
      <c r="N315" s="636" t="s">
        <v>935</v>
      </c>
      <c r="O315" s="636" t="s">
        <v>3902</v>
      </c>
      <c r="P315" s="507" t="s">
        <v>2499</v>
      </c>
      <c r="Q315" s="611"/>
      <c r="S315" s="611"/>
      <c r="T315" s="611"/>
      <c r="U315" s="611"/>
      <c r="V315" s="611"/>
      <c r="W315" s="611"/>
      <c r="X315" s="611"/>
      <c r="Y315" s="611"/>
      <c r="Z315" s="611"/>
      <c r="AA315" s="611"/>
    </row>
    <row r="316" spans="1:27" ht="12" customHeight="1">
      <c r="A316" s="611"/>
      <c r="B316" s="640"/>
      <c r="C316" s="507" t="s">
        <v>3293</v>
      </c>
      <c r="D316" s="507" t="s">
        <v>2037</v>
      </c>
      <c r="E316" s="630" t="s">
        <v>1462</v>
      </c>
      <c r="F316" s="630"/>
      <c r="G316" s="631" t="s">
        <v>3095</v>
      </c>
      <c r="H316" s="632" t="s">
        <v>537</v>
      </c>
      <c r="I316" s="633"/>
      <c r="J316" s="634" t="s">
        <v>931</v>
      </c>
      <c r="K316" s="635"/>
      <c r="L316" s="626"/>
      <c r="M316" s="627"/>
      <c r="N316" s="636" t="s">
        <v>3821</v>
      </c>
      <c r="O316" s="636" t="s">
        <v>3904</v>
      </c>
      <c r="P316" s="507" t="s">
        <v>2500</v>
      </c>
      <c r="Q316" s="631"/>
      <c r="S316" s="611"/>
      <c r="T316" s="611"/>
      <c r="U316" s="611"/>
      <c r="V316" s="611"/>
      <c r="W316" s="611"/>
      <c r="X316" s="611"/>
      <c r="Y316" s="611"/>
      <c r="Z316" s="611"/>
      <c r="AA316" s="611"/>
    </row>
    <row r="317" spans="1:27" ht="12" customHeight="1">
      <c r="A317" s="611"/>
      <c r="B317" s="640"/>
      <c r="C317" s="507" t="s">
        <v>1463</v>
      </c>
      <c r="D317" s="507" t="s">
        <v>1873</v>
      </c>
      <c r="E317" s="630" t="s">
        <v>1464</v>
      </c>
      <c r="F317" s="630"/>
      <c r="G317" s="631" t="s">
        <v>3096</v>
      </c>
      <c r="H317" s="632" t="s">
        <v>537</v>
      </c>
      <c r="I317" s="638"/>
      <c r="J317" s="634" t="s">
        <v>932</v>
      </c>
      <c r="K317" s="635"/>
      <c r="L317" s="626"/>
      <c r="M317" s="627"/>
      <c r="N317" s="636" t="s">
        <v>939</v>
      </c>
      <c r="O317" s="636" t="s">
        <v>3289</v>
      </c>
      <c r="P317" s="507" t="s">
        <v>2501</v>
      </c>
      <c r="Q317" s="631"/>
      <c r="S317" s="611"/>
      <c r="T317" s="611"/>
      <c r="U317" s="611"/>
      <c r="V317" s="611"/>
      <c r="W317" s="611"/>
      <c r="X317" s="611"/>
      <c r="Y317" s="611"/>
      <c r="Z317" s="611"/>
      <c r="AA317" s="611"/>
    </row>
    <row r="318" spans="1:27" ht="12" customHeight="1">
      <c r="A318" s="611"/>
      <c r="B318" s="640"/>
      <c r="C318" s="507" t="s">
        <v>2662</v>
      </c>
      <c r="D318" s="507" t="s">
        <v>1873</v>
      </c>
      <c r="E318" s="637" t="s">
        <v>2812</v>
      </c>
      <c r="F318" s="637"/>
      <c r="G318" s="631" t="s">
        <v>1805</v>
      </c>
      <c r="H318" s="632" t="s">
        <v>538</v>
      </c>
      <c r="I318" s="638"/>
      <c r="J318" s="634" t="s">
        <v>934</v>
      </c>
      <c r="K318" s="635"/>
      <c r="L318" s="626"/>
      <c r="M318" s="627"/>
      <c r="N318" s="636" t="s">
        <v>941</v>
      </c>
      <c r="O318" s="636" t="s">
        <v>2543</v>
      </c>
      <c r="P318" s="507" t="s">
        <v>2502</v>
      </c>
      <c r="Q318" s="631"/>
      <c r="S318" s="611"/>
      <c r="T318" s="611"/>
      <c r="U318" s="611"/>
      <c r="V318" s="611"/>
      <c r="W318" s="611"/>
      <c r="X318" s="611"/>
      <c r="Y318" s="611"/>
      <c r="Z318" s="611"/>
      <c r="AA318" s="611"/>
    </row>
    <row r="319" spans="1:27" ht="12" customHeight="1">
      <c r="A319" s="611"/>
      <c r="B319" s="640"/>
      <c r="C319" s="507" t="s">
        <v>2663</v>
      </c>
      <c r="D319" s="507" t="s">
        <v>1873</v>
      </c>
      <c r="E319" s="637" t="s">
        <v>2664</v>
      </c>
      <c r="F319" s="637"/>
      <c r="G319" s="631" t="s">
        <v>3097</v>
      </c>
      <c r="H319" s="632" t="s">
        <v>537</v>
      </c>
      <c r="I319" s="638"/>
      <c r="J319" s="634" t="s">
        <v>936</v>
      </c>
      <c r="K319" s="635"/>
      <c r="L319" s="626"/>
      <c r="M319" s="627"/>
      <c r="N319" s="636" t="s">
        <v>842</v>
      </c>
      <c r="O319" s="636" t="s">
        <v>1004</v>
      </c>
      <c r="P319" s="507" t="s">
        <v>2503</v>
      </c>
      <c r="Q319" s="611"/>
      <c r="S319" s="611"/>
      <c r="T319" s="611"/>
      <c r="U319" s="611"/>
      <c r="V319" s="611"/>
      <c r="W319" s="611"/>
      <c r="X319" s="611"/>
      <c r="Y319" s="611"/>
      <c r="Z319" s="611"/>
      <c r="AA319" s="611"/>
    </row>
    <row r="320" spans="1:27" ht="12" customHeight="1">
      <c r="A320" s="611"/>
      <c r="B320" s="640"/>
      <c r="C320" s="507" t="s">
        <v>2665</v>
      </c>
      <c r="D320" s="507" t="s">
        <v>1873</v>
      </c>
      <c r="E320" s="637" t="s">
        <v>2979</v>
      </c>
      <c r="F320" s="637"/>
      <c r="G320" s="631" t="s">
        <v>1811</v>
      </c>
      <c r="H320" s="632" t="s">
        <v>537</v>
      </c>
      <c r="I320" s="638"/>
      <c r="J320" s="634" t="s">
        <v>937</v>
      </c>
      <c r="K320" s="635"/>
      <c r="L320" s="626"/>
      <c r="M320" s="627"/>
      <c r="N320" s="636" t="s">
        <v>844</v>
      </c>
      <c r="O320" s="636" t="s">
        <v>216</v>
      </c>
      <c r="P320" s="1579" t="s">
        <v>1413</v>
      </c>
      <c r="Q320" s="631"/>
      <c r="S320" s="611"/>
      <c r="T320" s="611"/>
      <c r="U320" s="611"/>
      <c r="V320" s="611"/>
      <c r="W320" s="611"/>
      <c r="X320" s="611"/>
      <c r="Y320" s="611"/>
      <c r="Z320" s="611"/>
      <c r="AA320" s="611"/>
    </row>
    <row r="321" spans="1:27" ht="12" customHeight="1">
      <c r="A321" s="611"/>
      <c r="B321" s="640"/>
      <c r="C321" s="507" t="s">
        <v>2980</v>
      </c>
      <c r="D321" s="507" t="s">
        <v>1873</v>
      </c>
      <c r="E321" s="637" t="s">
        <v>2981</v>
      </c>
      <c r="F321" s="637"/>
      <c r="G321" s="631" t="s">
        <v>1812</v>
      </c>
      <c r="H321" s="632" t="s">
        <v>537</v>
      </c>
      <c r="I321" s="638"/>
      <c r="J321" s="634" t="s">
        <v>938</v>
      </c>
      <c r="K321" s="635"/>
      <c r="L321" s="626"/>
      <c r="M321" s="627"/>
      <c r="N321" s="636" t="s">
        <v>1236</v>
      </c>
      <c r="O321" s="636" t="s">
        <v>1739</v>
      </c>
      <c r="P321" s="507" t="s">
        <v>2504</v>
      </c>
      <c r="Q321" s="631"/>
      <c r="S321" s="611"/>
      <c r="T321" s="611"/>
      <c r="U321" s="611"/>
      <c r="V321" s="611"/>
      <c r="W321" s="611"/>
      <c r="X321" s="611"/>
      <c r="Y321" s="611"/>
      <c r="Z321" s="611"/>
      <c r="AA321" s="611"/>
    </row>
    <row r="322" spans="1:27" ht="12" customHeight="1">
      <c r="A322" s="611"/>
      <c r="B322" s="640"/>
      <c r="C322" s="507" t="s">
        <v>2982</v>
      </c>
      <c r="D322" s="507" t="s">
        <v>2013</v>
      </c>
      <c r="E322" s="637" t="s">
        <v>2983</v>
      </c>
      <c r="F322" s="637"/>
      <c r="G322" s="631" t="s">
        <v>1813</v>
      </c>
      <c r="H322" s="632" t="s">
        <v>537</v>
      </c>
      <c r="I322" s="638"/>
      <c r="J322" s="634" t="s">
        <v>940</v>
      </c>
      <c r="K322" s="635"/>
      <c r="L322" s="626"/>
      <c r="M322" s="627"/>
      <c r="N322" s="636" t="s">
        <v>1238</v>
      </c>
      <c r="O322" s="636" t="s">
        <v>136</v>
      </c>
      <c r="P322" s="507" t="s">
        <v>2505</v>
      </c>
      <c r="Q322" s="631"/>
      <c r="S322" s="611"/>
      <c r="T322" s="611"/>
      <c r="U322" s="611"/>
      <c r="V322" s="611"/>
      <c r="W322" s="611"/>
      <c r="X322" s="611"/>
      <c r="Y322" s="611"/>
      <c r="Z322" s="611"/>
      <c r="AA322" s="611"/>
    </row>
    <row r="323" spans="1:27" ht="12" customHeight="1">
      <c r="A323" s="611"/>
      <c r="B323" s="640"/>
      <c r="C323" s="507" t="s">
        <v>2984</v>
      </c>
      <c r="D323" s="507" t="s">
        <v>1873</v>
      </c>
      <c r="E323" s="637" t="s">
        <v>2985</v>
      </c>
      <c r="F323" s="637"/>
      <c r="G323" s="631" t="s">
        <v>1814</v>
      </c>
      <c r="H323" s="632" t="s">
        <v>537</v>
      </c>
      <c r="I323" s="633"/>
      <c r="J323" s="634" t="s">
        <v>942</v>
      </c>
      <c r="K323" s="635"/>
      <c r="L323" s="626"/>
      <c r="M323" s="627"/>
      <c r="N323" s="636" t="s">
        <v>43</v>
      </c>
      <c r="O323" s="636" t="s">
        <v>233</v>
      </c>
      <c r="P323" s="507" t="s">
        <v>2506</v>
      </c>
      <c r="Q323" s="631"/>
      <c r="S323" s="611"/>
      <c r="T323" s="611"/>
      <c r="U323" s="611"/>
      <c r="V323" s="611"/>
      <c r="W323" s="611"/>
      <c r="X323" s="611"/>
      <c r="Y323" s="611"/>
      <c r="Z323" s="611"/>
      <c r="AA323" s="611"/>
    </row>
    <row r="324" spans="1:27" ht="12" customHeight="1">
      <c r="A324" s="611"/>
      <c r="B324" s="640"/>
      <c r="C324" s="507" t="s">
        <v>2986</v>
      </c>
      <c r="D324" s="507" t="s">
        <v>2037</v>
      </c>
      <c r="E324" s="630" t="s">
        <v>2987</v>
      </c>
      <c r="F324" s="630"/>
      <c r="G324" s="631" t="s">
        <v>1815</v>
      </c>
      <c r="H324" s="632" t="s">
        <v>537</v>
      </c>
      <c r="I324" s="638"/>
      <c r="J324" s="634" t="s">
        <v>843</v>
      </c>
      <c r="K324" s="635"/>
      <c r="L324" s="626"/>
      <c r="M324" s="627"/>
      <c r="N324" s="636" t="s">
        <v>3042</v>
      </c>
      <c r="O324" s="636" t="s">
        <v>3373</v>
      </c>
      <c r="P324" s="507" t="s">
        <v>2507</v>
      </c>
      <c r="Q324" s="631"/>
      <c r="S324" s="611"/>
      <c r="T324" s="611"/>
      <c r="U324" s="611"/>
      <c r="V324" s="611"/>
      <c r="W324" s="611"/>
      <c r="X324" s="611"/>
      <c r="Y324" s="611"/>
      <c r="Z324" s="611"/>
      <c r="AA324" s="611"/>
    </row>
    <row r="325" spans="1:27" ht="12" customHeight="1">
      <c r="A325" s="611"/>
      <c r="B325" s="640"/>
      <c r="C325" s="507" t="s">
        <v>2988</v>
      </c>
      <c r="D325" s="507" t="s">
        <v>1873</v>
      </c>
      <c r="E325" s="637" t="s">
        <v>2989</v>
      </c>
      <c r="F325" s="637"/>
      <c r="G325" s="631" t="s">
        <v>1816</v>
      </c>
      <c r="H325" s="632" t="s">
        <v>537</v>
      </c>
      <c r="I325" s="638"/>
      <c r="J325" s="634" t="s">
        <v>1800</v>
      </c>
      <c r="K325" s="635"/>
      <c r="L325" s="626"/>
      <c r="M325" s="627"/>
      <c r="N325" s="636" t="s">
        <v>3044</v>
      </c>
      <c r="O325" s="636" t="s">
        <v>3905</v>
      </c>
      <c r="P325" s="507" t="s">
        <v>2508</v>
      </c>
      <c r="Q325" s="631"/>
      <c r="S325" s="611"/>
      <c r="T325" s="611"/>
      <c r="U325" s="611"/>
      <c r="V325" s="611"/>
      <c r="W325" s="611"/>
      <c r="X325" s="611"/>
      <c r="Y325" s="611"/>
      <c r="Z325" s="611"/>
      <c r="AA325" s="611"/>
    </row>
    <row r="326" spans="1:27" ht="12" customHeight="1">
      <c r="A326" s="611"/>
      <c r="B326" s="640"/>
      <c r="C326" s="507" t="s">
        <v>2990</v>
      </c>
      <c r="D326" s="507" t="s">
        <v>2037</v>
      </c>
      <c r="E326" s="637" t="s">
        <v>2022</v>
      </c>
      <c r="F326" s="637"/>
      <c r="G326" s="631" t="s">
        <v>3890</v>
      </c>
      <c r="H326" s="632" t="s">
        <v>538</v>
      </c>
      <c r="I326" s="638"/>
      <c r="J326" s="634" t="s">
        <v>1237</v>
      </c>
      <c r="K326" s="635"/>
      <c r="L326" s="626"/>
      <c r="M326" s="627"/>
      <c r="N326" s="636" t="s">
        <v>432</v>
      </c>
      <c r="O326" s="636" t="s">
        <v>3026</v>
      </c>
      <c r="P326" s="507" t="s">
        <v>2509</v>
      </c>
      <c r="Q326" s="631"/>
      <c r="S326" s="611"/>
      <c r="T326" s="611"/>
      <c r="U326" s="611"/>
      <c r="V326" s="611"/>
      <c r="W326" s="611"/>
      <c r="X326" s="611"/>
      <c r="Y326" s="611"/>
      <c r="Z326" s="611"/>
      <c r="AA326" s="611"/>
    </row>
    <row r="327" spans="1:27" ht="12" customHeight="1">
      <c r="A327" s="611"/>
      <c r="B327" s="640"/>
      <c r="C327" s="507" t="s">
        <v>2991</v>
      </c>
      <c r="D327" s="507" t="s">
        <v>2013</v>
      </c>
      <c r="E327" s="637" t="s">
        <v>2992</v>
      </c>
      <c r="F327" s="637"/>
      <c r="G327" s="631" t="s">
        <v>1817</v>
      </c>
      <c r="H327" s="632" t="s">
        <v>537</v>
      </c>
      <c r="I327" s="633"/>
      <c r="J327" s="634" t="s">
        <v>42</v>
      </c>
      <c r="K327" s="635"/>
      <c r="L327" s="626"/>
      <c r="M327" s="627"/>
      <c r="N327" s="636" t="s">
        <v>434</v>
      </c>
      <c r="O327" s="636" t="s">
        <v>1466</v>
      </c>
      <c r="P327" s="507" t="s">
        <v>2510</v>
      </c>
      <c r="Q327" s="631"/>
      <c r="S327" s="611"/>
      <c r="T327" s="611"/>
      <c r="U327" s="611"/>
      <c r="V327" s="611"/>
      <c r="W327" s="611"/>
      <c r="X327" s="611"/>
      <c r="Y327" s="611"/>
      <c r="Z327" s="611"/>
      <c r="AA327" s="611"/>
    </row>
    <row r="328" spans="1:27" ht="12" customHeight="1">
      <c r="A328" s="611"/>
      <c r="B328" s="640"/>
      <c r="C328" s="507" t="s">
        <v>3085</v>
      </c>
      <c r="D328" s="507" t="s">
        <v>2037</v>
      </c>
      <c r="E328" s="630" t="s">
        <v>3086</v>
      </c>
      <c r="F328" s="630"/>
      <c r="G328" s="631" t="s">
        <v>1818</v>
      </c>
      <c r="H328" s="632" t="s">
        <v>537</v>
      </c>
      <c r="I328" s="638"/>
      <c r="J328" s="634" t="s">
        <v>3041</v>
      </c>
      <c r="K328" s="635"/>
      <c r="L328" s="626"/>
      <c r="M328" s="627"/>
      <c r="N328" s="636" t="s">
        <v>436</v>
      </c>
      <c r="O328" s="636" t="s">
        <v>236</v>
      </c>
      <c r="P328" s="507" t="s">
        <v>2511</v>
      </c>
      <c r="Q328" s="631"/>
      <c r="S328" s="611"/>
      <c r="T328" s="611"/>
      <c r="U328" s="611"/>
      <c r="V328" s="611"/>
      <c r="W328" s="611"/>
      <c r="X328" s="611"/>
      <c r="Y328" s="611"/>
      <c r="Z328" s="611"/>
      <c r="AA328" s="611"/>
    </row>
    <row r="329" spans="1:27" ht="12" customHeight="1">
      <c r="A329" s="611"/>
      <c r="B329" s="640"/>
      <c r="C329" s="507" t="s">
        <v>3087</v>
      </c>
      <c r="D329" s="507" t="s">
        <v>2013</v>
      </c>
      <c r="E329" s="637" t="s">
        <v>2272</v>
      </c>
      <c r="F329" s="637"/>
      <c r="G329" s="631" t="s">
        <v>2698</v>
      </c>
      <c r="H329" s="632" t="s">
        <v>538</v>
      </c>
      <c r="I329" s="638"/>
      <c r="J329" s="634" t="s">
        <v>3043</v>
      </c>
      <c r="K329" s="635"/>
      <c r="L329" s="626"/>
      <c r="M329" s="627"/>
      <c r="N329" s="636" t="s">
        <v>438</v>
      </c>
      <c r="O329" s="636" t="s">
        <v>3634</v>
      </c>
      <c r="P329" s="507" t="s">
        <v>2512</v>
      </c>
      <c r="Q329" s="631"/>
      <c r="S329" s="611"/>
      <c r="T329" s="611"/>
      <c r="U329" s="611"/>
      <c r="V329" s="611"/>
      <c r="W329" s="611"/>
      <c r="X329" s="611"/>
      <c r="Y329" s="611"/>
      <c r="Z329" s="611"/>
      <c r="AA329" s="611"/>
    </row>
    <row r="330" spans="1:27" ht="12" customHeight="1">
      <c r="A330" s="611"/>
      <c r="B330" s="640"/>
      <c r="C330" s="507" t="s">
        <v>3088</v>
      </c>
      <c r="D330" s="507" t="s">
        <v>2037</v>
      </c>
      <c r="E330" s="637" t="s">
        <v>1340</v>
      </c>
      <c r="F330" s="637"/>
      <c r="G330" s="631" t="s">
        <v>3887</v>
      </c>
      <c r="H330" s="632" t="s">
        <v>538</v>
      </c>
      <c r="I330" s="638"/>
      <c r="J330" s="634" t="s">
        <v>431</v>
      </c>
      <c r="K330" s="635"/>
      <c r="L330" s="626"/>
      <c r="M330" s="627"/>
      <c r="N330" s="636" t="s">
        <v>440</v>
      </c>
      <c r="O330" s="636" t="s">
        <v>2939</v>
      </c>
      <c r="P330" s="507" t="s">
        <v>2513</v>
      </c>
      <c r="Q330" s="631"/>
      <c r="S330" s="611"/>
      <c r="T330" s="611"/>
      <c r="U330" s="611"/>
      <c r="V330" s="611"/>
      <c r="W330" s="611"/>
      <c r="X330" s="611"/>
      <c r="Y330" s="611"/>
      <c r="Z330" s="611"/>
      <c r="AA330" s="611"/>
    </row>
    <row r="331" spans="1:27" ht="12" customHeight="1">
      <c r="A331" s="611"/>
      <c r="B331" s="640"/>
      <c r="C331" s="507" t="s">
        <v>3089</v>
      </c>
      <c r="D331" s="507" t="s">
        <v>1873</v>
      </c>
      <c r="E331" s="637" t="s">
        <v>117</v>
      </c>
      <c r="F331" s="637"/>
      <c r="G331" s="631" t="s">
        <v>1819</v>
      </c>
      <c r="H331" s="632" t="s">
        <v>537</v>
      </c>
      <c r="I331" s="638"/>
      <c r="J331" s="634" t="s">
        <v>433</v>
      </c>
      <c r="K331" s="635"/>
      <c r="L331" s="626"/>
      <c r="M331" s="627"/>
      <c r="N331" s="636" t="s">
        <v>442</v>
      </c>
      <c r="O331" s="636" t="s">
        <v>232</v>
      </c>
      <c r="P331" s="507" t="s">
        <v>1256</v>
      </c>
      <c r="Q331" s="631"/>
      <c r="S331" s="611"/>
      <c r="T331" s="611"/>
      <c r="U331" s="611"/>
      <c r="V331" s="611"/>
      <c r="W331" s="611"/>
      <c r="X331" s="611"/>
      <c r="Y331" s="611"/>
      <c r="Z331" s="611"/>
      <c r="AA331" s="611"/>
    </row>
    <row r="332" spans="1:27" ht="12" customHeight="1">
      <c r="A332" s="611"/>
      <c r="B332" s="640"/>
      <c r="C332" s="507" t="s">
        <v>118</v>
      </c>
      <c r="D332" s="507" t="s">
        <v>2037</v>
      </c>
      <c r="E332" s="637" t="s">
        <v>119</v>
      </c>
      <c r="F332" s="637"/>
      <c r="G332" s="631" t="s">
        <v>1820</v>
      </c>
      <c r="H332" s="632" t="s">
        <v>537</v>
      </c>
      <c r="I332" s="638"/>
      <c r="J332" s="634" t="s">
        <v>435</v>
      </c>
      <c r="K332" s="635"/>
      <c r="L332" s="626"/>
      <c r="M332" s="627"/>
      <c r="N332" s="636" t="s">
        <v>3013</v>
      </c>
      <c r="O332" s="636" t="s">
        <v>120</v>
      </c>
      <c r="P332" s="507" t="s">
        <v>1257</v>
      </c>
      <c r="Q332" s="631"/>
      <c r="S332" s="611"/>
      <c r="T332" s="611"/>
      <c r="U332" s="611"/>
      <c r="V332" s="611"/>
      <c r="W332" s="611"/>
      <c r="X332" s="611"/>
      <c r="Y332" s="611"/>
      <c r="Z332" s="611"/>
      <c r="AA332" s="611"/>
    </row>
    <row r="333" spans="1:27" ht="12" customHeight="1">
      <c r="A333" s="611"/>
      <c r="B333" s="640"/>
      <c r="C333" s="507" t="s">
        <v>120</v>
      </c>
      <c r="D333" s="507" t="s">
        <v>1873</v>
      </c>
      <c r="E333" s="637" t="s">
        <v>121</v>
      </c>
      <c r="F333" s="637"/>
      <c r="G333" s="631" t="s">
        <v>1821</v>
      </c>
      <c r="H333" s="632" t="s">
        <v>537</v>
      </c>
      <c r="I333" s="638"/>
      <c r="J333" s="634" t="s">
        <v>437</v>
      </c>
      <c r="K333" s="635"/>
      <c r="L333" s="626"/>
      <c r="M333" s="627"/>
      <c r="N333" s="636" t="s">
        <v>253</v>
      </c>
      <c r="O333" s="636" t="s">
        <v>2662</v>
      </c>
      <c r="P333" s="507" t="s">
        <v>1258</v>
      </c>
      <c r="Q333" s="631"/>
      <c r="S333" s="611"/>
      <c r="T333" s="611"/>
      <c r="U333" s="611"/>
      <c r="V333" s="611"/>
      <c r="W333" s="611"/>
      <c r="X333" s="611"/>
      <c r="Y333" s="611"/>
      <c r="Z333" s="611"/>
      <c r="AA333" s="611"/>
    </row>
    <row r="334" spans="1:27" ht="12" customHeight="1">
      <c r="A334" s="611"/>
      <c r="B334" s="640"/>
      <c r="C334" s="507" t="s">
        <v>122</v>
      </c>
      <c r="D334" s="507" t="s">
        <v>1873</v>
      </c>
      <c r="E334" s="637" t="s">
        <v>123</v>
      </c>
      <c r="F334" s="637"/>
      <c r="G334" s="631" t="s">
        <v>1822</v>
      </c>
      <c r="H334" s="632" t="s">
        <v>537</v>
      </c>
      <c r="I334" s="638"/>
      <c r="J334" s="634" t="s">
        <v>439</v>
      </c>
      <c r="K334" s="635"/>
      <c r="L334" s="626"/>
      <c r="M334" s="627"/>
      <c r="N334" s="636" t="s">
        <v>3259</v>
      </c>
      <c r="O334" s="636" t="s">
        <v>253</v>
      </c>
      <c r="P334" s="507" t="s">
        <v>1259</v>
      </c>
      <c r="Q334" s="631"/>
      <c r="S334" s="611"/>
      <c r="T334" s="611"/>
      <c r="U334" s="611"/>
      <c r="V334" s="611"/>
      <c r="W334" s="611"/>
      <c r="X334" s="611"/>
      <c r="Y334" s="611"/>
      <c r="Z334" s="611"/>
      <c r="AA334" s="611"/>
    </row>
    <row r="335" spans="1:27" ht="12" customHeight="1">
      <c r="A335" s="611"/>
      <c r="B335" s="640"/>
      <c r="C335" s="507" t="s">
        <v>124</v>
      </c>
      <c r="D335" s="507" t="s">
        <v>1873</v>
      </c>
      <c r="E335" s="637" t="s">
        <v>125</v>
      </c>
      <c r="F335" s="637"/>
      <c r="G335" s="631" t="s">
        <v>1823</v>
      </c>
      <c r="H335" s="632" t="s">
        <v>537</v>
      </c>
      <c r="I335" s="638"/>
      <c r="J335" s="634" t="s">
        <v>441</v>
      </c>
      <c r="K335" s="635"/>
      <c r="L335" s="626"/>
      <c r="M335" s="627"/>
      <c r="N335" s="636" t="s">
        <v>1045</v>
      </c>
      <c r="O335" s="636" t="s">
        <v>3285</v>
      </c>
      <c r="P335" s="507" t="s">
        <v>1260</v>
      </c>
      <c r="Q335" s="631"/>
      <c r="S335" s="611"/>
      <c r="T335" s="611"/>
      <c r="U335" s="611"/>
      <c r="V335" s="611"/>
      <c r="W335" s="611"/>
      <c r="X335" s="611"/>
      <c r="Y335" s="611"/>
      <c r="Z335" s="611"/>
      <c r="AA335" s="611"/>
    </row>
    <row r="336" spans="1:27" ht="12" customHeight="1">
      <c r="A336" s="611"/>
      <c r="B336" s="640"/>
      <c r="C336" s="507" t="s">
        <v>126</v>
      </c>
      <c r="D336" s="507" t="s">
        <v>1873</v>
      </c>
      <c r="E336" s="637" t="s">
        <v>127</v>
      </c>
      <c r="F336" s="637"/>
      <c r="G336" s="631" t="s">
        <v>3563</v>
      </c>
      <c r="H336" s="632" t="s">
        <v>537</v>
      </c>
      <c r="I336" s="638"/>
      <c r="J336" s="634" t="s">
        <v>3012</v>
      </c>
      <c r="K336" s="635"/>
      <c r="L336" s="626"/>
      <c r="M336" s="627"/>
      <c r="N336" s="636" t="s">
        <v>211</v>
      </c>
      <c r="O336" s="636" t="s">
        <v>2938</v>
      </c>
      <c r="P336" s="507" t="s">
        <v>1261</v>
      </c>
      <c r="Q336" s="631"/>
      <c r="S336" s="611"/>
      <c r="T336" s="611"/>
      <c r="U336" s="611"/>
      <c r="V336" s="611"/>
      <c r="W336" s="611"/>
      <c r="X336" s="611"/>
      <c r="Y336" s="611"/>
      <c r="Z336" s="611"/>
      <c r="AA336" s="611"/>
    </row>
    <row r="337" spans="1:27" ht="12" customHeight="1">
      <c r="A337" s="611"/>
      <c r="B337" s="640"/>
      <c r="C337" s="507" t="s">
        <v>128</v>
      </c>
      <c r="D337" s="507" t="s">
        <v>2013</v>
      </c>
      <c r="E337" s="637" t="s">
        <v>129</v>
      </c>
      <c r="F337" s="637"/>
      <c r="G337" s="631" t="s">
        <v>3564</v>
      </c>
      <c r="H337" s="632" t="s">
        <v>537</v>
      </c>
      <c r="I337" s="633"/>
      <c r="J337" s="634" t="s">
        <v>3014</v>
      </c>
      <c r="K337" s="635"/>
      <c r="L337" s="626"/>
      <c r="M337" s="627"/>
      <c r="N337" s="636" t="s">
        <v>254</v>
      </c>
      <c r="O337" s="636" t="s">
        <v>965</v>
      </c>
      <c r="P337" s="507" t="s">
        <v>1262</v>
      </c>
      <c r="Q337" s="631"/>
      <c r="S337" s="611"/>
      <c r="T337" s="611"/>
      <c r="U337" s="611"/>
      <c r="V337" s="611"/>
      <c r="W337" s="611"/>
      <c r="X337" s="611"/>
      <c r="Y337" s="611"/>
      <c r="Z337" s="611"/>
      <c r="AA337" s="611"/>
    </row>
    <row r="338" spans="1:27" ht="12" customHeight="1">
      <c r="A338" s="611"/>
      <c r="B338" s="640"/>
      <c r="C338" s="507" t="s">
        <v>3026</v>
      </c>
      <c r="D338" s="507" t="s">
        <v>2013</v>
      </c>
      <c r="E338" s="630" t="s">
        <v>432</v>
      </c>
      <c r="F338" s="630"/>
      <c r="G338" s="631" t="s">
        <v>3565</v>
      </c>
      <c r="H338" s="632" t="s">
        <v>538</v>
      </c>
      <c r="I338" s="638"/>
      <c r="J338" s="634" t="s">
        <v>3258</v>
      </c>
      <c r="K338" s="635"/>
      <c r="L338" s="626"/>
      <c r="M338" s="627"/>
      <c r="N338" s="507" t="s">
        <v>3873</v>
      </c>
      <c r="O338" s="507" t="s">
        <v>3089</v>
      </c>
      <c r="P338" s="1580" t="s">
        <v>3242</v>
      </c>
      <c r="Q338" s="631"/>
      <c r="S338" s="611"/>
      <c r="T338" s="611"/>
      <c r="U338" s="611"/>
      <c r="V338" s="611"/>
      <c r="W338" s="611"/>
      <c r="X338" s="611"/>
      <c r="Y338" s="611"/>
      <c r="Z338" s="611"/>
      <c r="AA338" s="611"/>
    </row>
    <row r="339" spans="1:27" ht="12" customHeight="1">
      <c r="A339" s="611"/>
      <c r="B339" s="640"/>
      <c r="C339" s="507" t="s">
        <v>3027</v>
      </c>
      <c r="D339" s="507" t="s">
        <v>1873</v>
      </c>
      <c r="E339" s="637" t="s">
        <v>3631</v>
      </c>
      <c r="F339" s="637"/>
      <c r="G339" s="631" t="s">
        <v>3566</v>
      </c>
      <c r="H339" s="632" t="s">
        <v>537</v>
      </c>
      <c r="I339" s="638"/>
      <c r="J339" s="634" t="s">
        <v>209</v>
      </c>
      <c r="K339" s="635"/>
      <c r="L339" s="626"/>
      <c r="M339" s="627"/>
      <c r="N339" s="636" t="s">
        <v>1374</v>
      </c>
      <c r="O339" s="636" t="s">
        <v>120</v>
      </c>
      <c r="P339" s="507" t="s">
        <v>1263</v>
      </c>
      <c r="Q339" s="631"/>
      <c r="S339" s="611"/>
      <c r="T339" s="611"/>
      <c r="U339" s="611"/>
      <c r="V339" s="611"/>
      <c r="W339" s="611"/>
      <c r="X339" s="611"/>
      <c r="Y339" s="611"/>
      <c r="Z339" s="611"/>
      <c r="AA339" s="611"/>
    </row>
    <row r="340" spans="1:27" ht="12" customHeight="1">
      <c r="A340" s="611"/>
      <c r="B340" s="640"/>
      <c r="C340" s="507" t="s">
        <v>3632</v>
      </c>
      <c r="D340" s="507" t="s">
        <v>2037</v>
      </c>
      <c r="E340" s="637" t="s">
        <v>3633</v>
      </c>
      <c r="F340" s="637"/>
      <c r="G340" s="631" t="s">
        <v>535</v>
      </c>
      <c r="H340" s="632" t="s">
        <v>537</v>
      </c>
      <c r="I340" s="638"/>
      <c r="J340" s="634" t="s">
        <v>210</v>
      </c>
      <c r="K340" s="635"/>
      <c r="L340" s="626"/>
      <c r="M340" s="627"/>
      <c r="N340" s="636" t="s">
        <v>1376</v>
      </c>
      <c r="O340" s="636" t="s">
        <v>137</v>
      </c>
      <c r="P340" s="507" t="s">
        <v>1264</v>
      </c>
      <c r="Q340" s="631"/>
      <c r="R340" s="434"/>
      <c r="S340" s="507"/>
      <c r="T340" s="611"/>
      <c r="U340" s="611"/>
      <c r="V340" s="611"/>
      <c r="W340" s="611"/>
      <c r="X340" s="611"/>
      <c r="Y340" s="611"/>
      <c r="Z340" s="611"/>
      <c r="AA340" s="611"/>
    </row>
    <row r="341" spans="1:27" ht="12" customHeight="1">
      <c r="A341" s="611"/>
      <c r="B341" s="640"/>
      <c r="C341" s="507" t="s">
        <v>3634</v>
      </c>
      <c r="D341" s="507" t="s">
        <v>2037</v>
      </c>
      <c r="E341" s="637" t="s">
        <v>3635</v>
      </c>
      <c r="F341" s="637"/>
      <c r="G341" s="631" t="s">
        <v>536</v>
      </c>
      <c r="H341" s="632" t="s">
        <v>537</v>
      </c>
      <c r="I341" s="638"/>
      <c r="J341" s="634" t="s">
        <v>2336</v>
      </c>
      <c r="K341" s="635"/>
      <c r="L341" s="626"/>
      <c r="M341" s="627"/>
      <c r="N341" s="636" t="s">
        <v>1378</v>
      </c>
      <c r="O341" s="636" t="s">
        <v>422</v>
      </c>
      <c r="P341" s="507" t="s">
        <v>1265</v>
      </c>
      <c r="Q341" s="631"/>
      <c r="R341" s="434"/>
      <c r="S341" s="507"/>
      <c r="T341" s="611"/>
      <c r="U341" s="611"/>
      <c r="V341" s="611"/>
      <c r="W341" s="611"/>
      <c r="X341" s="611"/>
      <c r="Y341" s="611"/>
      <c r="Z341" s="611"/>
      <c r="AA341" s="611"/>
    </row>
    <row r="342" spans="1:27" ht="12" customHeight="1">
      <c r="A342" s="611"/>
      <c r="B342" s="612"/>
      <c r="C342" s="507" t="s">
        <v>3636</v>
      </c>
      <c r="D342" s="507" t="s">
        <v>1873</v>
      </c>
      <c r="E342" s="637" t="s">
        <v>2812</v>
      </c>
      <c r="F342" s="637"/>
      <c r="G342" s="631" t="s">
        <v>1805</v>
      </c>
      <c r="H342" s="632" t="s">
        <v>538</v>
      </c>
      <c r="I342" s="611"/>
      <c r="J342" s="634" t="s">
        <v>1373</v>
      </c>
      <c r="K342" s="635"/>
      <c r="L342" s="626"/>
      <c r="M342" s="627"/>
      <c r="N342" s="636" t="s">
        <v>3671</v>
      </c>
      <c r="O342" s="636" t="s">
        <v>2179</v>
      </c>
      <c r="P342" s="507" t="s">
        <v>1266</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1375</v>
      </c>
      <c r="K343" s="635"/>
      <c r="L343" s="626"/>
      <c r="M343" s="627"/>
      <c r="N343" s="636" t="s">
        <v>3673</v>
      </c>
      <c r="O343" s="636" t="s">
        <v>1737</v>
      </c>
      <c r="P343" s="507" t="s">
        <v>1267</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1377</v>
      </c>
      <c r="K344" s="635"/>
      <c r="L344" s="626"/>
      <c r="M344" s="627"/>
      <c r="N344" s="507" t="s">
        <v>3874</v>
      </c>
      <c r="O344" s="507" t="s">
        <v>1011</v>
      </c>
      <c r="P344" s="1580" t="s">
        <v>3242</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3669</v>
      </c>
      <c r="K345" s="635"/>
      <c r="L345" s="626"/>
      <c r="M345" s="627"/>
      <c r="N345" s="636" t="s">
        <v>485</v>
      </c>
      <c r="O345" s="636" t="s">
        <v>3765</v>
      </c>
      <c r="P345" s="507" t="s">
        <v>1268</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3670</v>
      </c>
      <c r="K346" s="635"/>
      <c r="L346" s="626"/>
      <c r="M346" s="627"/>
      <c r="N346" s="636" t="s">
        <v>487</v>
      </c>
      <c r="O346" s="636" t="s">
        <v>3278</v>
      </c>
      <c r="P346" s="507" t="s">
        <v>1269</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3672</v>
      </c>
      <c r="K347" s="635"/>
      <c r="L347" s="626"/>
      <c r="M347" s="627"/>
      <c r="N347" s="636" t="s">
        <v>57</v>
      </c>
      <c r="O347" s="636" t="s">
        <v>1550</v>
      </c>
      <c r="P347" s="507" t="s">
        <v>1270</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3674</v>
      </c>
      <c r="K348" s="635"/>
      <c r="L348" s="626"/>
      <c r="M348" s="627"/>
      <c r="N348" s="636" t="s">
        <v>59</v>
      </c>
      <c r="O348" s="636" t="s">
        <v>965</v>
      </c>
      <c r="P348" s="507" t="s">
        <v>1271</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3675</v>
      </c>
      <c r="K349" s="635"/>
      <c r="L349" s="626"/>
      <c r="M349" s="627"/>
      <c r="N349" s="636" t="s">
        <v>1465</v>
      </c>
      <c r="O349" s="636" t="s">
        <v>3763</v>
      </c>
      <c r="P349" s="507" t="s">
        <v>1272</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486</v>
      </c>
      <c r="K350" s="635"/>
      <c r="L350" s="626"/>
      <c r="M350" s="627"/>
      <c r="N350" s="636" t="s">
        <v>2995</v>
      </c>
      <c r="O350" s="636" t="s">
        <v>1465</v>
      </c>
      <c r="P350" s="507" t="s">
        <v>1273</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3875</v>
      </c>
      <c r="O351" s="507" t="s">
        <v>965</v>
      </c>
      <c r="P351" s="1580" t="s">
        <v>3242</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3000</v>
      </c>
      <c r="O352" s="636" t="s">
        <v>2179</v>
      </c>
      <c r="P352" s="507" t="s">
        <v>1274</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2993</v>
      </c>
      <c r="K353" s="635"/>
      <c r="L353" s="626"/>
      <c r="M353" s="627"/>
      <c r="N353" s="636" t="s">
        <v>3002</v>
      </c>
      <c r="O353" s="636" t="s">
        <v>2179</v>
      </c>
      <c r="P353" s="507" t="s">
        <v>1275</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2994</v>
      </c>
      <c r="K354" s="635"/>
      <c r="L354" s="626"/>
      <c r="M354" s="627"/>
      <c r="N354" s="636" t="s">
        <v>1075</v>
      </c>
      <c r="O354" s="636" t="s">
        <v>136</v>
      </c>
      <c r="P354" s="507" t="s">
        <v>1276</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2996</v>
      </c>
      <c r="K355" s="635"/>
      <c r="L355" s="626"/>
      <c r="M355" s="627"/>
      <c r="N355" s="641" t="s">
        <v>1046</v>
      </c>
      <c r="O355" s="636" t="s">
        <v>965</v>
      </c>
      <c r="P355" s="507" t="s">
        <v>1277</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2997</v>
      </c>
      <c r="K356" s="635"/>
      <c r="L356" s="626"/>
      <c r="M356" s="627"/>
      <c r="N356" s="636" t="s">
        <v>2998</v>
      </c>
      <c r="O356" s="636" t="s">
        <v>3760</v>
      </c>
      <c r="P356" s="507" t="s">
        <v>1278</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2999</v>
      </c>
      <c r="K357" s="635"/>
      <c r="L357" s="626"/>
      <c r="M357" s="627"/>
      <c r="N357" s="636" t="s">
        <v>1782</v>
      </c>
      <c r="O357" s="636" t="s">
        <v>2179</v>
      </c>
      <c r="P357" s="507" t="s">
        <v>1279</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3001</v>
      </c>
      <c r="K358" s="635"/>
      <c r="L358" s="626"/>
      <c r="M358" s="627"/>
      <c r="N358" s="636" t="s">
        <v>1784</v>
      </c>
      <c r="O358" s="636" t="s">
        <v>1007</v>
      </c>
      <c r="P358" s="627" t="s">
        <v>1280</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1074</v>
      </c>
      <c r="K359" s="635"/>
      <c r="L359" s="626"/>
      <c r="M359" s="627"/>
      <c r="N359" s="507" t="s">
        <v>3876</v>
      </c>
      <c r="O359" s="507" t="s">
        <v>3280</v>
      </c>
      <c r="P359" s="1580" t="s">
        <v>3242</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1781</v>
      </c>
      <c r="K360" s="635"/>
      <c r="L360" s="626"/>
      <c r="M360" s="627"/>
      <c r="N360" s="507" t="s">
        <v>3877</v>
      </c>
      <c r="O360" s="507" t="s">
        <v>3820</v>
      </c>
      <c r="P360" s="1580" t="s">
        <v>3242</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1783</v>
      </c>
      <c r="K361" s="635"/>
      <c r="L361" s="626"/>
      <c r="M361" s="627"/>
      <c r="N361" s="636" t="s">
        <v>1786</v>
      </c>
      <c r="O361" s="636" t="s">
        <v>1868</v>
      </c>
      <c r="P361" s="627" t="s">
        <v>1281</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1785</v>
      </c>
      <c r="K362" s="635"/>
      <c r="L362" s="626"/>
      <c r="M362" s="627"/>
      <c r="N362" s="636" t="s">
        <v>3801</v>
      </c>
      <c r="O362" s="636" t="s">
        <v>257</v>
      </c>
      <c r="P362" s="627" t="s">
        <v>1282</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3800</v>
      </c>
      <c r="K363" s="635"/>
      <c r="L363" s="626"/>
      <c r="M363" s="627"/>
      <c r="N363" s="636" t="s">
        <v>670</v>
      </c>
      <c r="O363" s="636" t="s">
        <v>1733</v>
      </c>
      <c r="P363" s="627" t="s">
        <v>1283</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3802</v>
      </c>
      <c r="K364" s="635"/>
      <c r="L364" s="626"/>
      <c r="M364" s="627"/>
      <c r="N364" s="636" t="s">
        <v>246</v>
      </c>
      <c r="O364" s="636" t="s">
        <v>1009</v>
      </c>
      <c r="P364" s="627" t="s">
        <v>1284</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395</v>
      </c>
      <c r="O365" s="636" t="s">
        <v>2034</v>
      </c>
      <c r="P365" s="627" t="s">
        <v>1285</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2870</v>
      </c>
      <c r="O366" s="636" t="s">
        <v>1470</v>
      </c>
      <c r="P366" s="627" t="s">
        <v>1286</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2869</v>
      </c>
      <c r="K367" s="635"/>
      <c r="L367" s="626"/>
      <c r="M367" s="627"/>
      <c r="N367" s="636" t="s">
        <v>2872</v>
      </c>
      <c r="O367" s="636" t="s">
        <v>1743</v>
      </c>
      <c r="P367" s="627" t="s">
        <v>1287</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2871</v>
      </c>
      <c r="K368" s="635"/>
      <c r="L368" s="626"/>
      <c r="M368" s="627"/>
      <c r="N368" s="636" t="s">
        <v>2955</v>
      </c>
      <c r="O368" s="636" t="s">
        <v>3765</v>
      </c>
      <c r="P368" s="627" t="s">
        <v>1288</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2954</v>
      </c>
      <c r="K369" s="635"/>
      <c r="L369" s="626"/>
      <c r="M369" s="627"/>
      <c r="N369" s="636" t="s">
        <v>2958</v>
      </c>
      <c r="O369" s="636" t="s">
        <v>1007</v>
      </c>
      <c r="P369" s="627" t="s">
        <v>1289</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2956</v>
      </c>
      <c r="K370" s="635"/>
      <c r="L370" s="626"/>
      <c r="M370" s="627"/>
      <c r="N370" s="636" t="s">
        <v>2960</v>
      </c>
      <c r="O370" s="636" t="s">
        <v>2016</v>
      </c>
      <c r="P370" s="627" t="s">
        <v>1290</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2957</v>
      </c>
      <c r="K371" s="635"/>
      <c r="L371" s="626"/>
      <c r="M371" s="627"/>
      <c r="N371" s="636" t="s">
        <v>2962</v>
      </c>
      <c r="O371" s="636" t="s">
        <v>2019</v>
      </c>
      <c r="P371" s="627" t="s">
        <v>1291</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2959</v>
      </c>
      <c r="K372" s="635"/>
      <c r="L372" s="626"/>
      <c r="M372" s="627"/>
      <c r="N372" s="636" t="s">
        <v>3005</v>
      </c>
      <c r="O372" s="636" t="s">
        <v>414</v>
      </c>
      <c r="P372" s="627" t="s">
        <v>1292</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2961</v>
      </c>
      <c r="K373" s="635"/>
      <c r="L373" s="626"/>
      <c r="M373" s="627"/>
      <c r="N373" s="636" t="s">
        <v>3008</v>
      </c>
      <c r="O373" s="636" t="s">
        <v>3899</v>
      </c>
      <c r="P373" s="627" t="s">
        <v>1293</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3004</v>
      </c>
      <c r="K374" s="635"/>
      <c r="L374" s="626"/>
      <c r="M374" s="627"/>
      <c r="N374" s="636" t="s">
        <v>3010</v>
      </c>
      <c r="O374" s="636" t="s">
        <v>2016</v>
      </c>
      <c r="P374" s="627" t="s">
        <v>1294</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3006</v>
      </c>
      <c r="K375" s="635"/>
      <c r="L375" s="626"/>
      <c r="M375" s="627"/>
      <c r="N375" s="507" t="s">
        <v>3373</v>
      </c>
      <c r="O375" s="507" t="s">
        <v>3817</v>
      </c>
      <c r="P375" s="1580" t="s">
        <v>3242</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3007</v>
      </c>
      <c r="K376" s="635"/>
      <c r="L376" s="626"/>
      <c r="M376" s="627"/>
      <c r="N376" s="507" t="s">
        <v>3878</v>
      </c>
      <c r="O376" s="507" t="s">
        <v>3280</v>
      </c>
      <c r="P376" s="1580" t="s">
        <v>3242</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3009</v>
      </c>
      <c r="K377" s="635"/>
      <c r="L377" s="626"/>
      <c r="M377" s="627"/>
      <c r="N377" s="507" t="s">
        <v>3879</v>
      </c>
      <c r="O377" s="507" t="s">
        <v>3762</v>
      </c>
      <c r="P377" s="1580" t="s">
        <v>3242</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3011</v>
      </c>
      <c r="K378" s="635"/>
      <c r="L378" s="626"/>
      <c r="M378" s="627"/>
      <c r="N378" s="636" t="s">
        <v>534</v>
      </c>
      <c r="O378" s="636" t="s">
        <v>1868</v>
      </c>
      <c r="P378" s="627" t="s">
        <v>1295</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533</v>
      </c>
      <c r="K379" s="635"/>
      <c r="L379" s="626"/>
      <c r="M379" s="627"/>
      <c r="N379" s="636" t="s">
        <v>290</v>
      </c>
      <c r="O379" s="636" t="s">
        <v>1012</v>
      </c>
      <c r="P379" s="627" t="s">
        <v>1296</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3880</v>
      </c>
      <c r="O380" s="507" t="s">
        <v>3087</v>
      </c>
      <c r="P380" s="1580" t="s">
        <v>3242</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2692</v>
      </c>
      <c r="K381" s="635"/>
      <c r="L381" s="626"/>
      <c r="M381" s="627"/>
      <c r="N381" s="636" t="s">
        <v>2693</v>
      </c>
      <c r="O381" s="636" t="s">
        <v>3760</v>
      </c>
      <c r="P381" s="627" t="s">
        <v>1297</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2777</v>
      </c>
      <c r="K382" s="635"/>
      <c r="L382" s="626"/>
      <c r="M382" s="627"/>
      <c r="N382" s="636" t="s">
        <v>3412</v>
      </c>
      <c r="O382" s="636" t="s">
        <v>1002</v>
      </c>
      <c r="P382" s="627" t="s">
        <v>1298</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3411</v>
      </c>
      <c r="K383" s="635"/>
      <c r="L383" s="626"/>
      <c r="M383" s="627"/>
      <c r="N383" s="636" t="s">
        <v>3414</v>
      </c>
      <c r="O383" s="636" t="s">
        <v>2017</v>
      </c>
      <c r="P383" s="627" t="s">
        <v>1299</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3413</v>
      </c>
      <c r="K384" s="635"/>
      <c r="L384" s="626"/>
      <c r="M384" s="627"/>
      <c r="N384" s="636" t="s">
        <v>1607</v>
      </c>
      <c r="O384" s="636" t="s">
        <v>2182</v>
      </c>
      <c r="P384" s="627" t="s">
        <v>1300</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1606</v>
      </c>
      <c r="K385" s="635"/>
      <c r="L385" s="626"/>
      <c r="M385" s="627"/>
      <c r="N385" s="636" t="s">
        <v>877</v>
      </c>
      <c r="O385" s="636" t="s">
        <v>2033</v>
      </c>
      <c r="P385" s="627" t="s">
        <v>1301</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1028</v>
      </c>
      <c r="K386" s="635"/>
      <c r="L386" s="626"/>
      <c r="M386" s="627"/>
      <c r="N386" s="636" t="s">
        <v>1020</v>
      </c>
      <c r="O386" s="636" t="s">
        <v>407</v>
      </c>
      <c r="P386" s="627" t="s">
        <v>1302</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876</v>
      </c>
      <c r="K387" s="635"/>
      <c r="L387" s="626"/>
      <c r="M387" s="627"/>
      <c r="N387" s="636" t="s">
        <v>3620</v>
      </c>
      <c r="O387" s="636" t="s">
        <v>213</v>
      </c>
      <c r="P387" s="627" t="s">
        <v>1303</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1019</v>
      </c>
      <c r="K388" s="635"/>
      <c r="L388" s="626"/>
      <c r="M388" s="627"/>
      <c r="N388" s="636" t="s">
        <v>283</v>
      </c>
      <c r="O388" s="636" t="s">
        <v>3759</v>
      </c>
      <c r="P388" s="627" t="s">
        <v>1304</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3619</v>
      </c>
      <c r="K389" s="635"/>
      <c r="L389" s="626"/>
      <c r="M389" s="627"/>
      <c r="N389" s="636" t="s">
        <v>1004</v>
      </c>
      <c r="O389" s="636" t="s">
        <v>2543</v>
      </c>
      <c r="P389" s="627" t="s">
        <v>1305</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3569</v>
      </c>
      <c r="O390" s="636" t="s">
        <v>3757</v>
      </c>
      <c r="P390" s="627" t="s">
        <v>1306</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1361</v>
      </c>
      <c r="K391" s="635"/>
      <c r="L391" s="626"/>
      <c r="M391" s="627"/>
      <c r="N391" s="636" t="s">
        <v>296</v>
      </c>
      <c r="O391" s="636" t="s">
        <v>2271</v>
      </c>
      <c r="P391" s="627" t="s">
        <v>1307</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1362</v>
      </c>
      <c r="K392" s="635"/>
      <c r="L392" s="626"/>
      <c r="M392" s="627"/>
      <c r="N392" s="507" t="s">
        <v>1673</v>
      </c>
      <c r="O392" s="507" t="s">
        <v>2182</v>
      </c>
      <c r="P392" s="1580" t="s">
        <v>3242</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1723</v>
      </c>
      <c r="P393" s="627" t="s">
        <v>1308</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1005</v>
      </c>
      <c r="O394" s="636" t="s">
        <v>414</v>
      </c>
      <c r="P394" s="627" t="s">
        <v>1309</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1370</v>
      </c>
      <c r="O395" s="636" t="s">
        <v>1005</v>
      </c>
      <c r="P395" s="627" t="s">
        <v>1310</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1368</v>
      </c>
      <c r="K396" s="635"/>
      <c r="L396" s="626"/>
      <c r="M396" s="627"/>
      <c r="N396" s="636" t="s">
        <v>1881</v>
      </c>
      <c r="O396" s="636" t="s">
        <v>3765</v>
      </c>
      <c r="P396" s="627" t="s">
        <v>1311</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1369</v>
      </c>
      <c r="K397" s="635"/>
      <c r="L397" s="626"/>
      <c r="M397" s="627"/>
      <c r="N397" s="636" t="s">
        <v>1883</v>
      </c>
      <c r="O397" s="636" t="s">
        <v>407</v>
      </c>
      <c r="P397" s="627" t="s">
        <v>1312</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1371</v>
      </c>
      <c r="K398" s="635"/>
      <c r="L398" s="626"/>
      <c r="M398" s="627"/>
      <c r="N398" s="636" t="s">
        <v>1885</v>
      </c>
      <c r="O398" s="636" t="s">
        <v>215</v>
      </c>
      <c r="P398" s="627" t="s">
        <v>1885</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2310</v>
      </c>
      <c r="K399" s="635"/>
      <c r="L399" s="626"/>
      <c r="M399" s="627"/>
      <c r="N399" s="636" t="s">
        <v>1493</v>
      </c>
      <c r="O399" s="636" t="s">
        <v>3371</v>
      </c>
      <c r="P399" s="627" t="s">
        <v>1313</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1882</v>
      </c>
      <c r="K400" s="635"/>
      <c r="L400" s="626"/>
      <c r="M400" s="627"/>
      <c r="N400" s="636" t="s">
        <v>3735</v>
      </c>
      <c r="O400" s="636" t="s">
        <v>2940</v>
      </c>
      <c r="P400" s="627" t="s">
        <v>1314</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1884</v>
      </c>
      <c r="K401" s="635"/>
      <c r="L401" s="626"/>
      <c r="M401" s="627"/>
      <c r="N401" s="636" t="s">
        <v>1497</v>
      </c>
      <c r="O401" s="636" t="s">
        <v>3287</v>
      </c>
      <c r="P401" s="627" t="s">
        <v>1315</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1492</v>
      </c>
      <c r="K402" s="635"/>
      <c r="L402" s="626"/>
      <c r="M402" s="627"/>
      <c r="N402" s="636" t="s">
        <v>1499</v>
      </c>
      <c r="O402" s="636" t="s">
        <v>1735</v>
      </c>
      <c r="P402" s="1579" t="s">
        <v>1413</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3734</v>
      </c>
      <c r="K403" s="635"/>
      <c r="L403" s="626"/>
      <c r="M403" s="627"/>
      <c r="N403" s="636" t="s">
        <v>1501</v>
      </c>
      <c r="O403" s="636" t="s">
        <v>1009</v>
      </c>
      <c r="P403" s="627" t="s">
        <v>1316</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1496</v>
      </c>
      <c r="K404" s="635"/>
      <c r="L404" s="626"/>
      <c r="M404" s="627"/>
      <c r="N404" s="636" t="s">
        <v>1503</v>
      </c>
      <c r="O404" s="636" t="s">
        <v>407</v>
      </c>
      <c r="P404" s="627" t="s">
        <v>1317</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1498</v>
      </c>
      <c r="K405" s="635"/>
      <c r="L405" s="626"/>
      <c r="M405" s="627"/>
      <c r="N405" s="636" t="s">
        <v>1505</v>
      </c>
      <c r="O405" s="636" t="s">
        <v>2031</v>
      </c>
      <c r="P405" s="627" t="s">
        <v>1318</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1500</v>
      </c>
      <c r="K406" s="635"/>
      <c r="L406" s="626"/>
      <c r="M406" s="627"/>
      <c r="N406" s="636" t="s">
        <v>1031</v>
      </c>
      <c r="O406" s="636" t="s">
        <v>3291</v>
      </c>
      <c r="P406" s="627" t="s">
        <v>1319</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1502</v>
      </c>
      <c r="K407" s="635"/>
      <c r="L407" s="626"/>
      <c r="M407" s="627"/>
      <c r="N407" s="636" t="s">
        <v>64</v>
      </c>
      <c r="O407" s="636" t="s">
        <v>126</v>
      </c>
      <c r="P407" s="627" t="s">
        <v>1320</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1504</v>
      </c>
      <c r="K408" s="635"/>
      <c r="L408" s="626"/>
      <c r="M408" s="627"/>
      <c r="N408" s="636" t="s">
        <v>1562</v>
      </c>
      <c r="O408" s="636" t="s">
        <v>3088</v>
      </c>
      <c r="P408" s="627" t="s">
        <v>1321</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1030</v>
      </c>
      <c r="K409" s="635"/>
      <c r="L409" s="626"/>
      <c r="M409" s="627"/>
      <c r="N409" s="636" t="s">
        <v>1012</v>
      </c>
      <c r="O409" s="636" t="s">
        <v>3634</v>
      </c>
      <c r="P409" s="627" t="s">
        <v>1322</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1614</v>
      </c>
      <c r="O410" s="636" t="s">
        <v>1872</v>
      </c>
      <c r="P410" s="627" t="s">
        <v>1323</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1561</v>
      </c>
      <c r="K411" s="635"/>
      <c r="L411" s="626"/>
      <c r="M411" s="627"/>
      <c r="N411" s="636" t="s">
        <v>1616</v>
      </c>
      <c r="O411" s="636" t="s">
        <v>3820</v>
      </c>
      <c r="P411" s="627" t="s">
        <v>1324</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2770</v>
      </c>
      <c r="K412" s="635"/>
      <c r="L412" s="626"/>
      <c r="M412" s="627"/>
      <c r="N412" s="636" t="s">
        <v>1594</v>
      </c>
      <c r="O412" s="636" t="s">
        <v>634</v>
      </c>
      <c r="P412" s="627" t="s">
        <v>1325</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1612</v>
      </c>
      <c r="K413" s="635"/>
      <c r="L413" s="626"/>
      <c r="M413" s="627"/>
      <c r="N413" s="636" t="s">
        <v>1596</v>
      </c>
      <c r="O413" s="636" t="s">
        <v>136</v>
      </c>
      <c r="P413" s="627" t="s">
        <v>1326</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1613</v>
      </c>
      <c r="K414" s="635"/>
      <c r="L414" s="626"/>
      <c r="M414" s="627"/>
      <c r="N414" s="636" t="s">
        <v>1598</v>
      </c>
      <c r="O414" s="636" t="s">
        <v>1016</v>
      </c>
      <c r="P414" s="627" t="s">
        <v>1327</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1615</v>
      </c>
      <c r="K415" s="635"/>
      <c r="L415" s="626"/>
      <c r="M415" s="627"/>
      <c r="N415" s="636" t="s">
        <v>1600</v>
      </c>
      <c r="O415" s="636" t="s">
        <v>2940</v>
      </c>
      <c r="P415" s="627" t="s">
        <v>1328</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1593</v>
      </c>
      <c r="K416" s="635"/>
      <c r="L416" s="626"/>
      <c r="M416" s="627"/>
      <c r="N416" s="507" t="s">
        <v>1674</v>
      </c>
      <c r="O416" s="507" t="s">
        <v>965</v>
      </c>
      <c r="P416" s="1580" t="s">
        <v>3242</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1595</v>
      </c>
      <c r="K417" s="635"/>
      <c r="L417" s="626"/>
      <c r="M417" s="627"/>
      <c r="N417" s="636" t="s">
        <v>882</v>
      </c>
      <c r="O417" s="636" t="s">
        <v>3280</v>
      </c>
      <c r="P417" s="627" t="s">
        <v>1329</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1597</v>
      </c>
      <c r="K418" s="635"/>
      <c r="L418" s="626"/>
      <c r="M418" s="627"/>
      <c r="N418" s="636" t="s">
        <v>477</v>
      </c>
      <c r="O418" s="636" t="s">
        <v>3817</v>
      </c>
      <c r="P418" s="627" t="s">
        <v>1330</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1599</v>
      </c>
      <c r="K419" s="635"/>
      <c r="L419" s="626"/>
      <c r="M419" s="627"/>
      <c r="N419" s="636" t="s">
        <v>479</v>
      </c>
      <c r="O419" s="636" t="s">
        <v>2182</v>
      </c>
      <c r="P419" s="627" t="s">
        <v>1331</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881</v>
      </c>
      <c r="K420" s="635"/>
      <c r="L420" s="626"/>
      <c r="M420" s="627"/>
      <c r="N420" s="507" t="s">
        <v>1675</v>
      </c>
      <c r="O420" s="507" t="s">
        <v>2982</v>
      </c>
      <c r="P420" s="1580" t="s">
        <v>3242</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476</v>
      </c>
      <c r="K421" s="635"/>
      <c r="L421" s="626"/>
      <c r="M421" s="627"/>
      <c r="N421" s="636" t="s">
        <v>481</v>
      </c>
      <c r="O421" s="636" t="s">
        <v>1469</v>
      </c>
      <c r="P421" s="627" t="s">
        <v>1332</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478</v>
      </c>
      <c r="K422" s="635"/>
      <c r="L422" s="626"/>
      <c r="M422" s="627"/>
      <c r="N422" s="636" t="s">
        <v>2129</v>
      </c>
      <c r="O422" s="636" t="s">
        <v>3373</v>
      </c>
      <c r="P422" s="627" t="s">
        <v>1333</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480</v>
      </c>
      <c r="K423" s="635"/>
      <c r="L423" s="626"/>
      <c r="M423" s="627"/>
      <c r="N423" s="636" t="s">
        <v>2356</v>
      </c>
      <c r="O423" s="636" t="s">
        <v>232</v>
      </c>
      <c r="P423" s="627" t="s">
        <v>1334</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928</v>
      </c>
      <c r="K424" s="635"/>
      <c r="L424" s="626"/>
      <c r="M424" s="627"/>
      <c r="N424" s="636" t="s">
        <v>1624</v>
      </c>
      <c r="O424" s="636" t="s">
        <v>411</v>
      </c>
      <c r="P424" s="627" t="s">
        <v>1335</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2128</v>
      </c>
      <c r="K425" s="635"/>
      <c r="L425" s="626"/>
      <c r="M425" s="627"/>
      <c r="N425" s="636" t="s">
        <v>1626</v>
      </c>
      <c r="O425" s="636" t="s">
        <v>415</v>
      </c>
      <c r="P425" s="627" t="s">
        <v>1336</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2355</v>
      </c>
      <c r="K426" s="635"/>
      <c r="L426" s="626"/>
      <c r="M426" s="627"/>
      <c r="N426" s="507" t="s">
        <v>1676</v>
      </c>
      <c r="O426" s="507" t="s">
        <v>3085</v>
      </c>
      <c r="P426" s="1580" t="s">
        <v>3242</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1623</v>
      </c>
      <c r="K427" s="635"/>
      <c r="L427" s="626"/>
      <c r="M427" s="627"/>
      <c r="N427" s="636" t="s">
        <v>1628</v>
      </c>
      <c r="O427" s="636" t="s">
        <v>1868</v>
      </c>
      <c r="P427" s="627" t="s">
        <v>2553</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1625</v>
      </c>
      <c r="K428" s="635"/>
      <c r="L428" s="626"/>
      <c r="M428" s="627"/>
      <c r="N428" s="636" t="s">
        <v>410</v>
      </c>
      <c r="O428" s="636" t="s">
        <v>3820</v>
      </c>
      <c r="P428" s="627" t="s">
        <v>2554</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1627</v>
      </c>
      <c r="K429" s="635"/>
      <c r="L429" s="626"/>
      <c r="M429" s="627"/>
      <c r="N429" s="636" t="s">
        <v>2697</v>
      </c>
      <c r="O429" s="636" t="s">
        <v>3817</v>
      </c>
      <c r="P429" s="627" t="s">
        <v>2555</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2694</v>
      </c>
      <c r="K430" s="635"/>
      <c r="L430" s="626"/>
      <c r="M430" s="627"/>
      <c r="N430" s="636" t="s">
        <v>1455</v>
      </c>
      <c r="O430" s="636" t="s">
        <v>120</v>
      </c>
      <c r="P430" s="627" t="s">
        <v>2556</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2695</v>
      </c>
      <c r="K431" s="635"/>
      <c r="L431" s="626"/>
      <c r="M431" s="627"/>
      <c r="N431" s="636" t="s">
        <v>1457</v>
      </c>
      <c r="O431" s="636" t="s">
        <v>412</v>
      </c>
      <c r="P431" s="627" t="s">
        <v>2557</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2696</v>
      </c>
      <c r="K432" s="635"/>
      <c r="L432" s="626"/>
      <c r="M432" s="627"/>
      <c r="N432" s="636" t="s">
        <v>2769</v>
      </c>
      <c r="O432" s="636" t="s">
        <v>1731</v>
      </c>
      <c r="P432" s="627" t="s">
        <v>2558</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1454</v>
      </c>
      <c r="K433" s="635"/>
      <c r="L433" s="626"/>
      <c r="M433" s="627"/>
      <c r="N433" s="636" t="s">
        <v>968</v>
      </c>
      <c r="O433" s="636" t="s">
        <v>422</v>
      </c>
      <c r="P433" s="627" t="s">
        <v>2559</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1456</v>
      </c>
      <c r="K434" s="635"/>
      <c r="L434" s="626"/>
      <c r="M434" s="627"/>
      <c r="N434" s="636" t="s">
        <v>2750</v>
      </c>
      <c r="O434" s="636" t="s">
        <v>128</v>
      </c>
      <c r="P434" s="627" t="s">
        <v>2560</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1458</v>
      </c>
      <c r="K435" s="635"/>
      <c r="L435" s="626"/>
      <c r="M435" s="627"/>
      <c r="N435" s="636" t="s">
        <v>3428</v>
      </c>
      <c r="O435" s="636" t="s">
        <v>1463</v>
      </c>
      <c r="P435" s="627" t="s">
        <v>2561</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640</v>
      </c>
      <c r="K436" s="635"/>
      <c r="L436" s="626"/>
      <c r="M436" s="627"/>
      <c r="N436" s="636" t="s">
        <v>3084</v>
      </c>
      <c r="O436" s="636" t="s">
        <v>1741</v>
      </c>
      <c r="P436" s="627" t="s">
        <v>2562</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2749</v>
      </c>
      <c r="K437" s="635"/>
      <c r="L437" s="626"/>
      <c r="M437" s="627"/>
      <c r="N437" s="636" t="s">
        <v>1657</v>
      </c>
      <c r="O437" s="636" t="s">
        <v>2982</v>
      </c>
      <c r="P437" s="627" t="s">
        <v>2563</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3427</v>
      </c>
      <c r="K438" s="635"/>
      <c r="L438" s="626"/>
      <c r="M438" s="627"/>
      <c r="N438" s="636" t="s">
        <v>522</v>
      </c>
      <c r="O438" s="636" t="s">
        <v>241</v>
      </c>
      <c r="P438" s="627" t="s">
        <v>2564</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3083</v>
      </c>
      <c r="K439" s="635"/>
      <c r="L439" s="626"/>
      <c r="M439" s="627"/>
      <c r="N439" s="507" t="s">
        <v>1677</v>
      </c>
      <c r="O439" s="507" t="s">
        <v>1728</v>
      </c>
      <c r="P439" s="1580" t="s">
        <v>3242</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1656</v>
      </c>
      <c r="K440" s="635"/>
      <c r="L440" s="626"/>
      <c r="M440" s="627"/>
      <c r="N440" s="636" t="s">
        <v>525</v>
      </c>
      <c r="O440" s="636" t="s">
        <v>3276</v>
      </c>
      <c r="P440" s="627" t="s">
        <v>2565</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521</v>
      </c>
      <c r="K441" s="635"/>
      <c r="L441" s="626"/>
      <c r="M441" s="627"/>
      <c r="N441" s="636" t="s">
        <v>3016</v>
      </c>
      <c r="O441" s="636" t="s">
        <v>2182</v>
      </c>
      <c r="P441" s="627" t="s">
        <v>2566</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523</v>
      </c>
      <c r="K442" s="635"/>
      <c r="L442" s="626"/>
      <c r="M442" s="627"/>
      <c r="N442" s="636" t="s">
        <v>729</v>
      </c>
      <c r="O442" s="636" t="s">
        <v>3905</v>
      </c>
      <c r="P442" s="627" t="s">
        <v>2567</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524</v>
      </c>
      <c r="K443" s="635"/>
      <c r="L443" s="626"/>
      <c r="M443" s="627"/>
      <c r="N443" s="636" t="s">
        <v>3267</v>
      </c>
      <c r="O443" s="636" t="s">
        <v>2025</v>
      </c>
      <c r="P443" s="627" t="s">
        <v>2568</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3015</v>
      </c>
      <c r="K444" s="635"/>
      <c r="L444" s="626"/>
      <c r="M444" s="627"/>
      <c r="N444" s="636" t="s">
        <v>2632</v>
      </c>
      <c r="O444" s="636" t="s">
        <v>2986</v>
      </c>
      <c r="P444" s="627" t="s">
        <v>2569</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728</v>
      </c>
      <c r="K445" s="635"/>
      <c r="L445" s="626"/>
      <c r="M445" s="627"/>
      <c r="N445" s="636" t="s">
        <v>2634</v>
      </c>
      <c r="O445" s="636" t="s">
        <v>220</v>
      </c>
      <c r="P445" s="627" t="s">
        <v>2570</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3266</v>
      </c>
      <c r="K446" s="635"/>
      <c r="L446" s="626"/>
      <c r="M446" s="627"/>
      <c r="N446" s="636" t="s">
        <v>403</v>
      </c>
      <c r="O446" s="636" t="s">
        <v>213</v>
      </c>
      <c r="P446" s="627" t="s">
        <v>2571</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2631</v>
      </c>
      <c r="K447" s="635"/>
      <c r="L447" s="626"/>
      <c r="M447" s="627"/>
      <c r="N447" s="636" t="s">
        <v>405</v>
      </c>
      <c r="O447" s="636" t="s">
        <v>2012</v>
      </c>
      <c r="P447" s="627" t="s">
        <v>2572</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2633</v>
      </c>
      <c r="K448" s="635"/>
      <c r="L448" s="626"/>
      <c r="M448" s="627"/>
      <c r="N448" s="636" t="s">
        <v>1539</v>
      </c>
      <c r="O448" s="636" t="s">
        <v>3760</v>
      </c>
      <c r="P448" s="627" t="s">
        <v>2573</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402</v>
      </c>
      <c r="K449" s="635"/>
      <c r="L449" s="626"/>
      <c r="M449" s="627"/>
      <c r="N449" s="636" t="s">
        <v>3468</v>
      </c>
      <c r="O449" s="636" t="s">
        <v>419</v>
      </c>
      <c r="P449" s="627" t="s">
        <v>2574</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404</v>
      </c>
      <c r="K450" s="635"/>
      <c r="L450" s="626"/>
      <c r="M450" s="627"/>
      <c r="N450" s="636" t="s">
        <v>3448</v>
      </c>
      <c r="O450" s="636" t="s">
        <v>236</v>
      </c>
      <c r="P450" s="627" t="s">
        <v>2575</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1538</v>
      </c>
      <c r="K451" s="635"/>
      <c r="L451" s="626"/>
      <c r="M451" s="627"/>
      <c r="N451" s="636" t="s">
        <v>3450</v>
      </c>
      <c r="O451" s="636" t="s">
        <v>2022</v>
      </c>
      <c r="P451" s="627" t="s">
        <v>2576</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3466</v>
      </c>
      <c r="K452" s="635"/>
      <c r="L452" s="626"/>
      <c r="M452" s="627"/>
      <c r="N452" s="636" t="s">
        <v>789</v>
      </c>
      <c r="O452" s="636" t="s">
        <v>236</v>
      </c>
      <c r="P452" s="627" t="s">
        <v>2577</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3467</v>
      </c>
      <c r="K453" s="635"/>
      <c r="L453" s="626"/>
      <c r="M453" s="627"/>
      <c r="N453" s="507" t="s">
        <v>1678</v>
      </c>
      <c r="O453" s="507" t="s">
        <v>2271</v>
      </c>
      <c r="P453" s="1580" t="s">
        <v>3242</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3446</v>
      </c>
      <c r="K454" s="635"/>
      <c r="L454" s="626"/>
      <c r="M454" s="627"/>
      <c r="N454" s="636" t="s">
        <v>244</v>
      </c>
      <c r="O454" s="636" t="s">
        <v>3278</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3447</v>
      </c>
      <c r="K455" s="635"/>
      <c r="L455" s="626"/>
      <c r="M455" s="627"/>
      <c r="N455" s="507" t="s">
        <v>1679</v>
      </c>
      <c r="O455" s="507" t="s">
        <v>3759</v>
      </c>
      <c r="P455" s="1580" t="s">
        <v>3242</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3449</v>
      </c>
      <c r="K456" s="635"/>
      <c r="L456" s="626"/>
      <c r="M456" s="627"/>
      <c r="N456" s="636" t="s">
        <v>3051</v>
      </c>
      <c r="O456" s="636" t="s">
        <v>3634</v>
      </c>
      <c r="P456" s="627" t="s">
        <v>2578</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788</v>
      </c>
      <c r="K457" s="635"/>
      <c r="L457" s="626"/>
      <c r="M457" s="627"/>
      <c r="N457" s="507" t="s">
        <v>1680</v>
      </c>
      <c r="O457" s="507" t="s">
        <v>215</v>
      </c>
      <c r="P457" s="1580" t="s">
        <v>3242</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3053</v>
      </c>
      <c r="O458" s="636" t="s">
        <v>3634</v>
      </c>
      <c r="P458" s="627" t="s">
        <v>2579</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3211</v>
      </c>
      <c r="K459" s="635"/>
      <c r="L459" s="626"/>
      <c r="M459" s="627"/>
      <c r="N459" s="636" t="s">
        <v>419</v>
      </c>
      <c r="O459" s="636" t="s">
        <v>2033</v>
      </c>
      <c r="P459" s="627" t="s">
        <v>2580</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3052</v>
      </c>
      <c r="K460" s="635"/>
      <c r="L460" s="626"/>
      <c r="M460" s="627"/>
      <c r="N460" s="636" t="s">
        <v>1788</v>
      </c>
      <c r="O460" s="636" t="s">
        <v>1463</v>
      </c>
      <c r="P460" s="627" t="s">
        <v>2581</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3054</v>
      </c>
      <c r="K461" s="635"/>
      <c r="L461" s="626"/>
      <c r="M461" s="627"/>
      <c r="N461" s="636" t="s">
        <v>1744</v>
      </c>
      <c r="O461" s="636" t="s">
        <v>1466</v>
      </c>
      <c r="P461" s="627" t="s">
        <v>2582</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1787</v>
      </c>
      <c r="K462" s="635"/>
      <c r="L462" s="626"/>
      <c r="M462" s="627"/>
      <c r="N462" s="636" t="s">
        <v>421</v>
      </c>
      <c r="O462" s="636" t="s">
        <v>1725</v>
      </c>
      <c r="P462" s="627" t="s">
        <v>2583</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1789</v>
      </c>
      <c r="K463" s="635"/>
      <c r="L463" s="626"/>
      <c r="M463" s="627"/>
      <c r="N463" s="636" t="s">
        <v>424</v>
      </c>
      <c r="O463" s="636" t="s">
        <v>419</v>
      </c>
      <c r="P463" s="627" t="s">
        <v>2584</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1745</v>
      </c>
      <c r="K464" s="635"/>
      <c r="L464" s="626"/>
      <c r="M464" s="627"/>
      <c r="N464" s="636" t="s">
        <v>83</v>
      </c>
      <c r="O464" s="636" t="s">
        <v>2990</v>
      </c>
      <c r="P464" s="627" t="s">
        <v>2585</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1746</v>
      </c>
      <c r="K465" s="635"/>
      <c r="L465" s="626"/>
      <c r="M465" s="627"/>
      <c r="N465" s="636" t="s">
        <v>3380</v>
      </c>
      <c r="O465" s="636" t="s">
        <v>2033</v>
      </c>
      <c r="P465" s="627" t="s">
        <v>2586</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2783</v>
      </c>
      <c r="O466" s="636" t="s">
        <v>3088</v>
      </c>
      <c r="P466" s="627" t="s">
        <v>2587</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472</v>
      </c>
      <c r="K467" s="635"/>
      <c r="L467" s="626"/>
      <c r="M467" s="627"/>
      <c r="N467" s="636" t="s">
        <v>2785</v>
      </c>
      <c r="O467" s="636" t="s">
        <v>122</v>
      </c>
      <c r="P467" s="627" t="s">
        <v>2588</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3379</v>
      </c>
      <c r="K468" s="635"/>
      <c r="L468" s="626"/>
      <c r="M468" s="627"/>
      <c r="N468" s="641" t="s">
        <v>1047</v>
      </c>
      <c r="O468" s="636" t="s">
        <v>1868</v>
      </c>
      <c r="P468" s="627" t="s">
        <v>2589</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2860</v>
      </c>
      <c r="K469" s="635"/>
      <c r="L469" s="626"/>
      <c r="M469" s="627"/>
      <c r="N469" s="636" t="s">
        <v>3558</v>
      </c>
      <c r="O469" s="636" t="s">
        <v>3759</v>
      </c>
      <c r="P469" s="627" t="s">
        <v>2590</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2784</v>
      </c>
      <c r="K470" s="635"/>
      <c r="L470" s="626"/>
      <c r="M470" s="627"/>
      <c r="N470" s="636" t="s">
        <v>3560</v>
      </c>
      <c r="O470" s="636" t="s">
        <v>3287</v>
      </c>
      <c r="P470" s="627" t="s">
        <v>3560</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700</v>
      </c>
      <c r="O471" s="636" t="s">
        <v>3762</v>
      </c>
      <c r="P471" s="627" t="s">
        <v>2591</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3559</v>
      </c>
      <c r="K472" s="635"/>
      <c r="L472" s="626"/>
      <c r="M472" s="627"/>
      <c r="N472" s="636" t="s">
        <v>702</v>
      </c>
      <c r="O472" s="636" t="s">
        <v>2031</v>
      </c>
      <c r="P472" s="627" t="s">
        <v>2592</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698</v>
      </c>
      <c r="K473" s="635"/>
      <c r="L473" s="626"/>
      <c r="M473" s="627"/>
      <c r="N473" s="507" t="s">
        <v>1681</v>
      </c>
      <c r="O473" s="507" t="s">
        <v>2036</v>
      </c>
      <c r="P473" s="1580" t="s">
        <v>3242</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699</v>
      </c>
      <c r="K474" s="635"/>
      <c r="L474" s="626"/>
      <c r="M474" s="627"/>
      <c r="N474" s="636" t="s">
        <v>704</v>
      </c>
      <c r="O474" s="636" t="s">
        <v>2036</v>
      </c>
      <c r="P474" s="627" t="s">
        <v>2593</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701</v>
      </c>
      <c r="K475" s="635"/>
      <c r="L475" s="626"/>
      <c r="M475" s="627"/>
      <c r="N475" s="636" t="s">
        <v>1919</v>
      </c>
      <c r="O475" s="636" t="s">
        <v>2016</v>
      </c>
      <c r="P475" s="627" t="s">
        <v>2594</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703</v>
      </c>
      <c r="K476" s="635"/>
      <c r="L476" s="626"/>
      <c r="M476" s="627"/>
      <c r="N476" s="636" t="s">
        <v>1921</v>
      </c>
      <c r="O476" s="636" t="s">
        <v>428</v>
      </c>
      <c r="P476" s="627" t="s">
        <v>2595</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1918</v>
      </c>
      <c r="K477" s="635"/>
      <c r="L477" s="626"/>
      <c r="M477" s="627"/>
      <c r="N477" s="636" t="s">
        <v>3073</v>
      </c>
      <c r="O477" s="636" t="s">
        <v>3087</v>
      </c>
      <c r="P477" s="627" t="s">
        <v>2596</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1920</v>
      </c>
      <c r="K478" s="635"/>
      <c r="L478" s="626"/>
      <c r="M478" s="627"/>
      <c r="N478" s="636" t="s">
        <v>86</v>
      </c>
      <c r="O478" s="636" t="s">
        <v>2986</v>
      </c>
      <c r="P478" s="627" t="s">
        <v>2597</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3071</v>
      </c>
      <c r="K479" s="635"/>
      <c r="L479" s="626"/>
      <c r="M479" s="627"/>
      <c r="N479" s="636" t="s">
        <v>969</v>
      </c>
      <c r="O479" s="636" t="s">
        <v>3759</v>
      </c>
      <c r="P479" s="627" t="s">
        <v>969</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3072</v>
      </c>
      <c r="K480" s="635"/>
      <c r="L480" s="626"/>
      <c r="M480" s="627"/>
      <c r="N480" s="636" t="s">
        <v>88</v>
      </c>
      <c r="O480" s="636" t="s">
        <v>232</v>
      </c>
      <c r="P480" s="627" t="s">
        <v>2598</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3657</v>
      </c>
      <c r="O481" s="636" t="s">
        <v>2178</v>
      </c>
      <c r="P481" s="627" t="s">
        <v>2599</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1682</v>
      </c>
      <c r="O482" s="507" t="s">
        <v>2271</v>
      </c>
      <c r="P482" s="1580" t="s">
        <v>3242</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3656</v>
      </c>
      <c r="K483" s="635"/>
      <c r="L483" s="626"/>
      <c r="M483" s="627"/>
      <c r="N483" s="507" t="s">
        <v>1683</v>
      </c>
      <c r="O483" s="507" t="s">
        <v>1742</v>
      </c>
      <c r="P483" s="1580" t="s">
        <v>3242</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3308</v>
      </c>
      <c r="K484" s="635"/>
      <c r="L484" s="626"/>
      <c r="M484" s="627"/>
      <c r="N484" s="636" t="s">
        <v>948</v>
      </c>
      <c r="O484" s="636" t="s">
        <v>1005</v>
      </c>
      <c r="P484" s="627" t="s">
        <v>2600</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3309</v>
      </c>
      <c r="K485" s="635"/>
      <c r="L485" s="626"/>
      <c r="M485" s="627"/>
      <c r="N485" s="636" t="s">
        <v>1576</v>
      </c>
      <c r="O485" s="636" t="s">
        <v>136</v>
      </c>
      <c r="P485" s="627" t="s">
        <v>2601</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1575</v>
      </c>
      <c r="K486" s="635"/>
      <c r="L486" s="626"/>
      <c r="M486" s="627"/>
      <c r="N486" s="636" t="s">
        <v>1578</v>
      </c>
      <c r="O486" s="636" t="s">
        <v>2034</v>
      </c>
      <c r="P486" s="627" t="s">
        <v>2602</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1577</v>
      </c>
      <c r="K487" s="635"/>
      <c r="L487" s="626"/>
      <c r="M487" s="627"/>
      <c r="N487" s="636" t="s">
        <v>2237</v>
      </c>
      <c r="O487" s="636" t="s">
        <v>2181</v>
      </c>
      <c r="P487" s="627" t="s">
        <v>2603</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2235</v>
      </c>
      <c r="K488" s="635"/>
      <c r="L488" s="626"/>
      <c r="M488" s="627"/>
      <c r="N488" s="636" t="s">
        <v>2239</v>
      </c>
      <c r="O488" s="636" t="s">
        <v>3818</v>
      </c>
      <c r="P488" s="627" t="s">
        <v>2604</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2236</v>
      </c>
      <c r="K489" s="635"/>
      <c r="L489" s="626"/>
      <c r="M489" s="627"/>
      <c r="N489" s="636" t="s">
        <v>2241</v>
      </c>
      <c r="O489" s="636" t="s">
        <v>3285</v>
      </c>
      <c r="P489" s="627" t="s">
        <v>2605</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2238</v>
      </c>
      <c r="K490" s="635"/>
      <c r="L490" s="626"/>
      <c r="M490" s="627"/>
      <c r="N490" s="636" t="s">
        <v>3485</v>
      </c>
      <c r="O490" s="636" t="s">
        <v>3904</v>
      </c>
      <c r="P490" s="627" t="s">
        <v>2606</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2240</v>
      </c>
      <c r="K491" s="635"/>
      <c r="L491" s="626"/>
      <c r="M491" s="627"/>
      <c r="N491" s="636" t="s">
        <v>3487</v>
      </c>
      <c r="O491" s="636" t="s">
        <v>136</v>
      </c>
      <c r="P491" s="627" t="s">
        <v>2607</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2242</v>
      </c>
      <c r="K492" s="635"/>
      <c r="L492" s="626"/>
      <c r="M492" s="627"/>
      <c r="N492" s="636" t="s">
        <v>1967</v>
      </c>
      <c r="O492" s="636" t="s">
        <v>1550</v>
      </c>
      <c r="P492" s="627" t="s">
        <v>2608</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3486</v>
      </c>
      <c r="K493" s="635"/>
      <c r="L493" s="626"/>
      <c r="M493" s="627"/>
      <c r="N493" s="507" t="s">
        <v>1684</v>
      </c>
      <c r="O493" s="507" t="s">
        <v>3085</v>
      </c>
      <c r="P493" s="1580" t="s">
        <v>3242</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3909</v>
      </c>
      <c r="K494" s="635"/>
      <c r="L494" s="626"/>
      <c r="M494" s="627"/>
      <c r="N494" s="636" t="s">
        <v>1969</v>
      </c>
      <c r="O494" s="636" t="s">
        <v>2183</v>
      </c>
      <c r="P494" s="627" t="s">
        <v>2609</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1968</v>
      </c>
      <c r="K495" s="635"/>
      <c r="L495" s="626"/>
      <c r="M495" s="627"/>
      <c r="N495" s="636" t="s">
        <v>1416</v>
      </c>
      <c r="O495" s="636" t="s">
        <v>3087</v>
      </c>
      <c r="P495" s="1579" t="s">
        <v>1413</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2259</v>
      </c>
      <c r="K496" s="635"/>
      <c r="L496" s="626"/>
      <c r="M496" s="627"/>
      <c r="N496" s="636" t="s">
        <v>1417</v>
      </c>
      <c r="O496" s="636" t="s">
        <v>1465</v>
      </c>
      <c r="P496" s="1579" t="s">
        <v>1413</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1402</v>
      </c>
      <c r="K497" s="635"/>
      <c r="L497" s="626"/>
      <c r="M497" s="627"/>
      <c r="N497" s="636" t="s">
        <v>1404</v>
      </c>
      <c r="O497" s="636" t="s">
        <v>965</v>
      </c>
      <c r="P497" s="627" t="s">
        <v>2610</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1403</v>
      </c>
      <c r="K498" s="635"/>
      <c r="L498" s="626"/>
      <c r="M498" s="627"/>
      <c r="N498" s="636" t="s">
        <v>1407</v>
      </c>
      <c r="O498" s="636" t="s">
        <v>415</v>
      </c>
      <c r="P498" s="627" t="s">
        <v>2611</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1405</v>
      </c>
      <c r="K499" s="635"/>
      <c r="L499" s="626"/>
      <c r="M499" s="627"/>
      <c r="N499" s="636" t="s">
        <v>135</v>
      </c>
      <c r="O499" s="636" t="s">
        <v>3088</v>
      </c>
      <c r="P499" s="627" t="s">
        <v>2612</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1406</v>
      </c>
      <c r="K500" s="635"/>
      <c r="L500" s="626"/>
      <c r="M500" s="627"/>
      <c r="N500" s="636" t="s">
        <v>319</v>
      </c>
      <c r="O500" s="636" t="s">
        <v>2940</v>
      </c>
      <c r="P500" s="627" t="s">
        <v>2613</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2256</v>
      </c>
      <c r="O501" s="636" t="s">
        <v>3087</v>
      </c>
      <c r="P501" s="627" t="s">
        <v>2614</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2260</v>
      </c>
      <c r="O502" s="636" t="s">
        <v>424</v>
      </c>
      <c r="P502" s="627" t="s">
        <v>2615</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2255</v>
      </c>
      <c r="K503" s="635"/>
      <c r="L503" s="626"/>
      <c r="M503" s="627"/>
      <c r="N503" s="636" t="s">
        <v>2262</v>
      </c>
      <c r="O503" s="636" t="s">
        <v>3759</v>
      </c>
      <c r="P503" s="627" t="s">
        <v>2616</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712</v>
      </c>
      <c r="O504" s="636" t="s">
        <v>2185</v>
      </c>
      <c r="P504" s="627" t="s">
        <v>2617</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2261</v>
      </c>
      <c r="K505" s="635"/>
      <c r="L505" s="626"/>
      <c r="M505" s="627"/>
      <c r="N505" s="636" t="s">
        <v>2102</v>
      </c>
      <c r="O505" s="636" t="s">
        <v>407</v>
      </c>
      <c r="P505" s="627" t="s">
        <v>2618</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2263</v>
      </c>
      <c r="K506" s="635"/>
      <c r="L506" s="626"/>
      <c r="M506" s="627"/>
      <c r="N506" s="636" t="s">
        <v>2104</v>
      </c>
      <c r="O506" s="636" t="s">
        <v>1463</v>
      </c>
      <c r="P506" s="627" t="s">
        <v>2104</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2101</v>
      </c>
      <c r="K507" s="635"/>
      <c r="L507" s="626"/>
      <c r="M507" s="627"/>
      <c r="N507" s="636" t="s">
        <v>233</v>
      </c>
      <c r="O507" s="636" t="s">
        <v>3283</v>
      </c>
      <c r="P507" s="627" t="s">
        <v>2619</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2103</v>
      </c>
      <c r="K508" s="635"/>
      <c r="L508" s="626"/>
      <c r="M508" s="627"/>
      <c r="N508" s="636" t="s">
        <v>2107</v>
      </c>
      <c r="O508" s="636" t="s">
        <v>2940</v>
      </c>
      <c r="P508" s="627" t="s">
        <v>2620</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2105</v>
      </c>
      <c r="K509" s="635"/>
      <c r="L509" s="626"/>
      <c r="M509" s="627"/>
      <c r="N509" s="636" t="s">
        <v>2109</v>
      </c>
      <c r="O509" s="636" t="s">
        <v>218</v>
      </c>
      <c r="P509" s="627" t="s">
        <v>2621</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2106</v>
      </c>
      <c r="K510" s="635"/>
      <c r="L510" s="626"/>
      <c r="M510" s="627"/>
      <c r="N510" s="636" t="s">
        <v>3772</v>
      </c>
      <c r="O510" s="636" t="s">
        <v>2980</v>
      </c>
      <c r="P510" s="627" t="s">
        <v>2622</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2108</v>
      </c>
      <c r="K511" s="635"/>
      <c r="L511" s="626"/>
      <c r="M511" s="627"/>
      <c r="N511" s="507" t="s">
        <v>1685</v>
      </c>
      <c r="O511" s="507" t="s">
        <v>3762</v>
      </c>
      <c r="P511" s="1580" t="s">
        <v>3242</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2110</v>
      </c>
      <c r="K512" s="635"/>
      <c r="L512" s="626"/>
      <c r="M512" s="627"/>
      <c r="N512" s="636" t="s">
        <v>2022</v>
      </c>
      <c r="O512" s="636" t="s">
        <v>2021</v>
      </c>
      <c r="P512" s="627" t="s">
        <v>2623</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2325</v>
      </c>
      <c r="K513" s="635"/>
      <c r="L513" s="626"/>
      <c r="M513" s="627"/>
      <c r="N513" s="636" t="s">
        <v>236</v>
      </c>
      <c r="O513" s="636" t="s">
        <v>3897</v>
      </c>
      <c r="P513" s="627" t="s">
        <v>2624</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2326</v>
      </c>
      <c r="K514" s="635"/>
      <c r="L514" s="626"/>
      <c r="M514" s="627"/>
      <c r="N514" s="636" t="s">
        <v>2329</v>
      </c>
      <c r="O514" s="636" t="s">
        <v>3291</v>
      </c>
      <c r="P514" s="627" t="s">
        <v>2351</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2327</v>
      </c>
      <c r="K515" s="635"/>
      <c r="L515" s="626"/>
      <c r="M515" s="627"/>
      <c r="N515" s="636" t="s">
        <v>2331</v>
      </c>
      <c r="O515" s="636" t="s">
        <v>2940</v>
      </c>
      <c r="P515" s="627" t="s">
        <v>2352</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2328</v>
      </c>
      <c r="K516" s="635"/>
      <c r="L516" s="626"/>
      <c r="M516" s="627"/>
      <c r="N516" s="636" t="s">
        <v>2334</v>
      </c>
      <c r="O516" s="636" t="s">
        <v>3902</v>
      </c>
      <c r="P516" s="627" t="s">
        <v>2353</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2330</v>
      </c>
      <c r="K517" s="635"/>
      <c r="L517" s="626"/>
      <c r="M517" s="627"/>
      <c r="N517" s="636" t="s">
        <v>482</v>
      </c>
      <c r="O517" s="636" t="s">
        <v>3762</v>
      </c>
      <c r="P517" s="627" t="s">
        <v>2354</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2332</v>
      </c>
      <c r="K518" s="635"/>
      <c r="L518" s="626"/>
      <c r="M518" s="627"/>
      <c r="N518" s="636" t="s">
        <v>484</v>
      </c>
      <c r="O518" s="636" t="s">
        <v>2022</v>
      </c>
      <c r="P518" s="627" t="s">
        <v>1096</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2333</v>
      </c>
      <c r="K519" s="635"/>
      <c r="L519" s="626"/>
      <c r="M519" s="627"/>
      <c r="N519" s="636" t="s">
        <v>316</v>
      </c>
      <c r="O519" s="636" t="s">
        <v>3281</v>
      </c>
      <c r="P519" s="627" t="s">
        <v>1097</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2335</v>
      </c>
      <c r="K520" s="635"/>
      <c r="L520" s="626"/>
      <c r="M520" s="627"/>
      <c r="N520" s="507" t="s">
        <v>2370</v>
      </c>
      <c r="O520" s="507" t="s">
        <v>3817</v>
      </c>
      <c r="P520" s="1580" t="s">
        <v>3242</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483</v>
      </c>
      <c r="K521" s="635"/>
      <c r="L521" s="626"/>
      <c r="M521" s="627"/>
      <c r="N521" s="636" t="s">
        <v>1718</v>
      </c>
      <c r="O521" s="636" t="s">
        <v>3904</v>
      </c>
      <c r="P521" s="627" t="s">
        <v>1098</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1720</v>
      </c>
      <c r="O522" s="636" t="s">
        <v>2012</v>
      </c>
      <c r="P522" s="627" t="s">
        <v>1099</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1722</v>
      </c>
      <c r="O523" s="636" t="s">
        <v>1000</v>
      </c>
      <c r="P523" s="627" t="s">
        <v>1100</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415</v>
      </c>
      <c r="P524" s="627" t="s">
        <v>1101</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1717</v>
      </c>
      <c r="K525" s="635"/>
      <c r="L525" s="626"/>
      <c r="M525" s="627"/>
      <c r="N525" s="636" t="s">
        <v>338</v>
      </c>
      <c r="O525" s="636" t="s">
        <v>3634</v>
      </c>
      <c r="P525" s="627" t="s">
        <v>1102</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1719</v>
      </c>
      <c r="K526" s="635"/>
      <c r="L526" s="626"/>
      <c r="M526" s="627"/>
      <c r="N526" s="636" t="s">
        <v>2534</v>
      </c>
      <c r="O526" s="636" t="s">
        <v>1463</v>
      </c>
      <c r="P526" s="627" t="s">
        <v>1103</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1721</v>
      </c>
      <c r="K527" s="635"/>
      <c r="L527" s="626"/>
      <c r="M527" s="627"/>
      <c r="N527" s="636" t="s">
        <v>3470</v>
      </c>
      <c r="O527" s="636" t="s">
        <v>1728</v>
      </c>
      <c r="P527" s="627" t="s">
        <v>1104</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711</v>
      </c>
      <c r="O528" s="636" t="s">
        <v>2663</v>
      </c>
      <c r="P528" s="627" t="s">
        <v>1105</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1041</v>
      </c>
      <c r="O529" s="636" t="s">
        <v>218</v>
      </c>
      <c r="P529" s="627" t="s">
        <v>1106</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2533</v>
      </c>
      <c r="K530" s="635"/>
      <c r="L530" s="626"/>
      <c r="M530" s="627"/>
      <c r="N530" s="636" t="s">
        <v>814</v>
      </c>
      <c r="O530" s="636" t="s">
        <v>1221</v>
      </c>
      <c r="P530" s="627" t="s">
        <v>1107</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3469</v>
      </c>
      <c r="K531" s="635"/>
      <c r="L531" s="626"/>
      <c r="M531" s="627"/>
      <c r="N531" s="636" t="s">
        <v>816</v>
      </c>
      <c r="O531" s="636" t="s">
        <v>2031</v>
      </c>
      <c r="P531" s="627" t="s">
        <v>1108</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710</v>
      </c>
      <c r="K532" s="635"/>
      <c r="L532" s="626"/>
      <c r="M532" s="627"/>
      <c r="N532" s="636" t="s">
        <v>818</v>
      </c>
      <c r="O532" s="636" t="s">
        <v>2182</v>
      </c>
      <c r="P532" s="627" t="s">
        <v>1109</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2002</v>
      </c>
      <c r="K533" s="635"/>
      <c r="L533" s="626"/>
      <c r="M533" s="627"/>
      <c r="N533" s="636" t="s">
        <v>820</v>
      </c>
      <c r="O533" s="636" t="s">
        <v>1463</v>
      </c>
      <c r="P533" s="627" t="s">
        <v>1110</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991</v>
      </c>
      <c r="K534" s="635"/>
      <c r="L534" s="626"/>
      <c r="M534" s="627"/>
      <c r="N534" s="636" t="s">
        <v>822</v>
      </c>
      <c r="O534" s="636" t="s">
        <v>2813</v>
      </c>
      <c r="P534" s="627" t="s">
        <v>1111</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1042</v>
      </c>
      <c r="K535" s="635"/>
      <c r="L535" s="626"/>
      <c r="M535" s="627"/>
      <c r="N535" s="636" t="s">
        <v>836</v>
      </c>
      <c r="O535" s="636" t="s">
        <v>426</v>
      </c>
      <c r="P535" s="627" t="s">
        <v>1112</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1043</v>
      </c>
      <c r="K536" s="635"/>
      <c r="L536" s="626"/>
      <c r="M536" s="627"/>
      <c r="N536" s="636" t="s">
        <v>838</v>
      </c>
      <c r="O536" s="636" t="s">
        <v>635</v>
      </c>
      <c r="P536" s="627" t="s">
        <v>1113</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815</v>
      </c>
      <c r="K537" s="635"/>
      <c r="L537" s="626"/>
      <c r="M537" s="627"/>
      <c r="N537" s="641" t="s">
        <v>1048</v>
      </c>
      <c r="O537" s="636" t="s">
        <v>1868</v>
      </c>
      <c r="P537" s="627" t="s">
        <v>1114</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817</v>
      </c>
      <c r="K538" s="635"/>
      <c r="L538" s="626"/>
      <c r="M538" s="627"/>
      <c r="N538" s="642" t="s">
        <v>1418</v>
      </c>
      <c r="O538" s="636" t="s">
        <v>1000</v>
      </c>
      <c r="P538" s="1579" t="s">
        <v>1413</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819</v>
      </c>
      <c r="K539" s="635"/>
      <c r="L539" s="626"/>
      <c r="M539" s="627"/>
      <c r="N539" s="636" t="s">
        <v>2541</v>
      </c>
      <c r="O539" s="636" t="s">
        <v>1009</v>
      </c>
      <c r="P539" s="627" t="s">
        <v>1115</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821</v>
      </c>
      <c r="K540" s="635"/>
      <c r="L540" s="626"/>
      <c r="M540" s="627"/>
      <c r="N540" s="636" t="s">
        <v>3174</v>
      </c>
      <c r="O540" s="636" t="s">
        <v>1728</v>
      </c>
      <c r="P540" s="627" t="s">
        <v>1116</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835</v>
      </c>
      <c r="K541" s="635"/>
      <c r="L541" s="626"/>
      <c r="M541" s="627"/>
      <c r="N541" s="636" t="s">
        <v>2543</v>
      </c>
      <c r="O541" s="636" t="s">
        <v>3088</v>
      </c>
      <c r="P541" s="627" t="s">
        <v>1117</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837</v>
      </c>
      <c r="K542" s="635"/>
      <c r="L542" s="626"/>
      <c r="M542" s="627"/>
      <c r="N542" s="636" t="s">
        <v>686</v>
      </c>
      <c r="O542" s="636" t="s">
        <v>2022</v>
      </c>
      <c r="P542" s="627" t="s">
        <v>1118</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1073</v>
      </c>
      <c r="K543" s="635"/>
      <c r="L543" s="626"/>
      <c r="M543" s="627"/>
      <c r="N543" s="507" t="s">
        <v>241</v>
      </c>
      <c r="O543" s="507" t="s">
        <v>215</v>
      </c>
      <c r="P543" s="1580" t="s">
        <v>3242</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902</v>
      </c>
      <c r="K544" s="635"/>
      <c r="L544" s="626"/>
      <c r="M544" s="627"/>
      <c r="N544" s="636" t="s">
        <v>1950</v>
      </c>
      <c r="O544" s="636" t="s">
        <v>421</v>
      </c>
      <c r="P544" s="627" t="s">
        <v>1119</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903</v>
      </c>
      <c r="K545" s="635"/>
      <c r="L545" s="626"/>
      <c r="M545" s="627"/>
      <c r="N545" s="636" t="s">
        <v>1609</v>
      </c>
      <c r="O545" s="636" t="s">
        <v>2179</v>
      </c>
      <c r="P545" s="627" t="s">
        <v>1120</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3173</v>
      </c>
      <c r="K546" s="635"/>
      <c r="L546" s="626"/>
      <c r="M546" s="627"/>
      <c r="N546" s="507" t="s">
        <v>1687</v>
      </c>
      <c r="O546" s="507" t="s">
        <v>232</v>
      </c>
      <c r="P546" s="1580" t="s">
        <v>3242</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684</v>
      </c>
      <c r="K547" s="635"/>
      <c r="L547" s="626"/>
      <c r="M547" s="627"/>
      <c r="N547" s="636" t="s">
        <v>161</v>
      </c>
      <c r="O547" s="636" t="s">
        <v>3820</v>
      </c>
      <c r="P547" s="627" t="s">
        <v>1121</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685</v>
      </c>
      <c r="K548" s="635"/>
      <c r="L548" s="626"/>
      <c r="M548" s="627"/>
      <c r="N548" s="636" t="s">
        <v>3897</v>
      </c>
      <c r="O548" s="636" t="s">
        <v>2034</v>
      </c>
      <c r="P548" s="627" t="s">
        <v>1122</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1949</v>
      </c>
      <c r="K549" s="635"/>
      <c r="L549" s="626"/>
      <c r="M549" s="627"/>
      <c r="N549" s="636" t="s">
        <v>164</v>
      </c>
      <c r="O549" s="636" t="s">
        <v>1000</v>
      </c>
      <c r="P549" s="627" t="s">
        <v>1123</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1608</v>
      </c>
      <c r="K550" s="635"/>
      <c r="L550" s="626"/>
      <c r="M550" s="627"/>
      <c r="N550" s="636" t="s">
        <v>166</v>
      </c>
      <c r="O550" s="636" t="s">
        <v>3759</v>
      </c>
      <c r="P550" s="627" t="s">
        <v>1124</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1610</v>
      </c>
      <c r="K551" s="635"/>
      <c r="L551" s="626"/>
      <c r="M551" s="627"/>
      <c r="N551" s="636" t="s">
        <v>3908</v>
      </c>
      <c r="O551" s="636" t="s">
        <v>2026</v>
      </c>
      <c r="P551" s="627" t="s">
        <v>1125</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1611</v>
      </c>
      <c r="K552" s="635"/>
      <c r="L552" s="626"/>
      <c r="M552" s="627"/>
      <c r="N552" s="636" t="s">
        <v>3191</v>
      </c>
      <c r="O552" s="636" t="s">
        <v>3765</v>
      </c>
      <c r="P552" s="627" t="s">
        <v>1126</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1246</v>
      </c>
      <c r="O553" s="636" t="s">
        <v>137</v>
      </c>
      <c r="P553" s="627" t="s">
        <v>1127</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1247</v>
      </c>
      <c r="O554" s="636" t="s">
        <v>241</v>
      </c>
      <c r="P554" s="627" t="s">
        <v>1128</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1062</v>
      </c>
      <c r="O555" s="636" t="s">
        <v>1223</v>
      </c>
      <c r="P555" s="627" t="s">
        <v>1129</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3907</v>
      </c>
      <c r="K556" s="635"/>
      <c r="L556" s="626"/>
      <c r="M556" s="627"/>
      <c r="N556" s="636" t="s">
        <v>1064</v>
      </c>
      <c r="O556" s="636" t="s">
        <v>1737</v>
      </c>
      <c r="P556" s="627" t="s">
        <v>1064</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3190</v>
      </c>
      <c r="K557" s="635"/>
      <c r="L557" s="626"/>
      <c r="M557" s="627"/>
      <c r="N557" s="636" t="s">
        <v>3418</v>
      </c>
      <c r="O557" s="636" t="s">
        <v>1868</v>
      </c>
      <c r="P557" s="627" t="s">
        <v>1130</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3192</v>
      </c>
      <c r="K558" s="635"/>
      <c r="L558" s="626"/>
      <c r="M558" s="627"/>
      <c r="N558" s="507" t="s">
        <v>3418</v>
      </c>
      <c r="O558" s="507" t="s">
        <v>1868</v>
      </c>
      <c r="P558" s="1580" t="s">
        <v>3242</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904</v>
      </c>
      <c r="K559" s="635"/>
      <c r="L559" s="626"/>
      <c r="M559" s="627"/>
      <c r="N559" s="636" t="s">
        <v>51</v>
      </c>
      <c r="O559" s="636" t="s">
        <v>2025</v>
      </c>
      <c r="P559" s="627" t="s">
        <v>1131</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3490</v>
      </c>
      <c r="K560" s="635"/>
      <c r="L560" s="626"/>
      <c r="M560" s="627"/>
      <c r="N560" s="636" t="s">
        <v>3378</v>
      </c>
      <c r="O560" s="636" t="s">
        <v>2019</v>
      </c>
      <c r="P560" s="627" t="s">
        <v>1132</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1061</v>
      </c>
      <c r="K561" s="635"/>
      <c r="L561" s="626"/>
      <c r="M561" s="627"/>
      <c r="N561" s="636" t="s">
        <v>1419</v>
      </c>
      <c r="O561" s="636" t="s">
        <v>232</v>
      </c>
      <c r="P561" s="1579" t="s">
        <v>1413</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1063</v>
      </c>
      <c r="K562" s="635"/>
      <c r="L562" s="626"/>
      <c r="M562" s="627"/>
      <c r="N562" s="636" t="s">
        <v>1654</v>
      </c>
      <c r="O562" s="636" t="s">
        <v>1725</v>
      </c>
      <c r="P562" s="627" t="s">
        <v>1133</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3417</v>
      </c>
      <c r="K563" s="635"/>
      <c r="L563" s="626"/>
      <c r="M563" s="627"/>
      <c r="N563" s="636" t="s">
        <v>499</v>
      </c>
      <c r="O563" s="636" t="s">
        <v>3902</v>
      </c>
      <c r="P563" s="627" t="s">
        <v>1134</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501</v>
      </c>
      <c r="O564" s="636" t="s">
        <v>3276</v>
      </c>
      <c r="P564" s="627" t="s">
        <v>1135</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503</v>
      </c>
      <c r="O565" s="636" t="s">
        <v>3820</v>
      </c>
      <c r="P565" s="627" t="s">
        <v>1136</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3377</v>
      </c>
      <c r="K566" s="635"/>
      <c r="L566" s="626"/>
      <c r="M566" s="627"/>
      <c r="N566" s="636" t="s">
        <v>3902</v>
      </c>
      <c r="O566" s="636" t="s">
        <v>2811</v>
      </c>
      <c r="P566" s="627" t="s">
        <v>1137</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3407</v>
      </c>
      <c r="K567" s="635"/>
      <c r="L567" s="626"/>
      <c r="M567" s="627"/>
      <c r="N567" s="636" t="s">
        <v>2340</v>
      </c>
      <c r="O567" s="636" t="s">
        <v>3763</v>
      </c>
      <c r="P567" s="627" t="s">
        <v>1138</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498</v>
      </c>
      <c r="K568" s="635"/>
      <c r="L568" s="626"/>
      <c r="M568" s="627"/>
      <c r="N568" s="636" t="s">
        <v>2342</v>
      </c>
      <c r="O568" s="636" t="s">
        <v>419</v>
      </c>
      <c r="P568" s="627" t="s">
        <v>1139</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500</v>
      </c>
      <c r="K569" s="635"/>
      <c r="L569" s="626"/>
      <c r="M569" s="627"/>
      <c r="N569" s="636" t="s">
        <v>2162</v>
      </c>
      <c r="O569" s="636" t="s">
        <v>136</v>
      </c>
      <c r="P569" s="627" t="s">
        <v>1140</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502</v>
      </c>
      <c r="K570" s="635"/>
      <c r="L570" s="626"/>
      <c r="M570" s="627"/>
      <c r="N570" s="636" t="s">
        <v>3700</v>
      </c>
      <c r="O570" s="636" t="s">
        <v>3765</v>
      </c>
      <c r="P570" s="627" t="s">
        <v>1141</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504</v>
      </c>
      <c r="K571" s="635"/>
      <c r="L571" s="626"/>
      <c r="M571" s="627"/>
      <c r="N571" s="507" t="s">
        <v>1688</v>
      </c>
      <c r="O571" s="507" t="s">
        <v>965</v>
      </c>
      <c r="P571" s="1580" t="s">
        <v>3242</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2339</v>
      </c>
      <c r="K572" s="635"/>
      <c r="L572" s="626"/>
      <c r="M572" s="627"/>
      <c r="N572" s="507" t="s">
        <v>1689</v>
      </c>
      <c r="O572" s="507" t="s">
        <v>965</v>
      </c>
      <c r="P572" s="1580" t="s">
        <v>3242</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2341</v>
      </c>
      <c r="K573" s="635"/>
      <c r="L573" s="626"/>
      <c r="M573" s="627"/>
      <c r="N573" s="507" t="s">
        <v>1690</v>
      </c>
      <c r="O573" s="507" t="s">
        <v>965</v>
      </c>
      <c r="P573" s="1580" t="s">
        <v>3242</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2343</v>
      </c>
      <c r="K574" s="635"/>
      <c r="L574" s="626"/>
      <c r="M574" s="627"/>
      <c r="N574" s="636" t="s">
        <v>2861</v>
      </c>
      <c r="O574" s="636" t="s">
        <v>3903</v>
      </c>
      <c r="P574" s="627" t="s">
        <v>1142</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3906</v>
      </c>
      <c r="K575" s="635"/>
      <c r="L575" s="626"/>
      <c r="M575" s="627"/>
      <c r="N575" s="636" t="s">
        <v>2874</v>
      </c>
      <c r="O575" s="636" t="s">
        <v>118</v>
      </c>
      <c r="P575" s="627" t="s">
        <v>1143</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3701</v>
      </c>
      <c r="K576" s="635"/>
      <c r="L576" s="626"/>
      <c r="M576" s="627"/>
      <c r="N576" s="636" t="s">
        <v>2876</v>
      </c>
      <c r="O576" s="636" t="s">
        <v>3371</v>
      </c>
      <c r="P576" s="627" t="s">
        <v>1144</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2873</v>
      </c>
      <c r="K577" s="635"/>
      <c r="L577" s="626"/>
      <c r="M577" s="627"/>
      <c r="N577" s="636" t="s">
        <v>2879</v>
      </c>
      <c r="O577" s="636" t="s">
        <v>3371</v>
      </c>
      <c r="P577" s="627" t="s">
        <v>1145</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2875</v>
      </c>
      <c r="K578" s="635"/>
      <c r="L578" s="626"/>
      <c r="M578" s="627"/>
      <c r="N578" s="636" t="s">
        <v>2881</v>
      </c>
      <c r="O578" s="636" t="s">
        <v>407</v>
      </c>
      <c r="P578" s="627" t="s">
        <v>1146</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2877</v>
      </c>
      <c r="K579" s="635"/>
      <c r="L579" s="626"/>
      <c r="M579" s="627"/>
      <c r="N579" s="636" t="s">
        <v>2883</v>
      </c>
      <c r="O579" s="636" t="s">
        <v>2663</v>
      </c>
      <c r="P579" s="627" t="s">
        <v>1147</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2878</v>
      </c>
      <c r="K580" s="635"/>
      <c r="L580" s="626"/>
      <c r="M580" s="627"/>
      <c r="N580" s="636" t="s">
        <v>2885</v>
      </c>
      <c r="O580" s="636" t="s">
        <v>417</v>
      </c>
      <c r="P580" s="627" t="s">
        <v>1148</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2880</v>
      </c>
      <c r="K581" s="635"/>
      <c r="L581" s="626"/>
      <c r="M581" s="627"/>
      <c r="N581" s="636" t="s">
        <v>3903</v>
      </c>
      <c r="O581" s="636" t="s">
        <v>120</v>
      </c>
      <c r="P581" s="627" t="s">
        <v>1149</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2882</v>
      </c>
      <c r="K582" s="635"/>
      <c r="L582" s="626"/>
      <c r="M582" s="627"/>
      <c r="N582" s="636" t="s">
        <v>3019</v>
      </c>
      <c r="O582" s="636" t="s">
        <v>122</v>
      </c>
      <c r="P582" s="627" t="s">
        <v>1150</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2884</v>
      </c>
      <c r="K583" s="635"/>
      <c r="L583" s="626"/>
      <c r="M583" s="627"/>
      <c r="N583" s="636" t="s">
        <v>2848</v>
      </c>
      <c r="O583" s="636" t="s">
        <v>1726</v>
      </c>
      <c r="P583" s="627" t="s">
        <v>1151</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2886</v>
      </c>
      <c r="K584" s="635"/>
      <c r="L584" s="626"/>
      <c r="M584" s="627"/>
      <c r="N584" s="636" t="s">
        <v>3904</v>
      </c>
      <c r="O584" s="636" t="s">
        <v>2022</v>
      </c>
      <c r="P584" s="627" t="s">
        <v>1152</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2887</v>
      </c>
      <c r="K585" s="635"/>
      <c r="L585" s="626"/>
      <c r="M585" s="627"/>
      <c r="N585" s="636" t="s">
        <v>2629</v>
      </c>
      <c r="O585" s="636" t="s">
        <v>3276</v>
      </c>
      <c r="P585" s="627" t="s">
        <v>1153</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2847</v>
      </c>
      <c r="K586" s="635"/>
      <c r="L586" s="626"/>
      <c r="M586" s="627"/>
      <c r="N586" s="636" t="s">
        <v>1420</v>
      </c>
      <c r="O586" s="636" t="s">
        <v>3283</v>
      </c>
      <c r="P586" s="1579" t="s">
        <v>1413</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2627</v>
      </c>
      <c r="K587" s="635"/>
      <c r="L587" s="626"/>
      <c r="M587" s="627"/>
      <c r="N587" s="636" t="s">
        <v>3404</v>
      </c>
      <c r="O587" s="636" t="s">
        <v>2665</v>
      </c>
      <c r="P587" s="627" t="s">
        <v>1154</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2628</v>
      </c>
      <c r="K588" s="635"/>
      <c r="L588" s="626"/>
      <c r="M588" s="627"/>
      <c r="N588" s="636" t="s">
        <v>3406</v>
      </c>
      <c r="O588" s="636" t="s">
        <v>3280</v>
      </c>
      <c r="P588" s="627" t="s">
        <v>1155</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2630</v>
      </c>
      <c r="K589" s="635"/>
      <c r="L589" s="626"/>
      <c r="M589" s="627"/>
      <c r="N589" s="636" t="s">
        <v>858</v>
      </c>
      <c r="O589" s="636" t="s">
        <v>3902</v>
      </c>
      <c r="P589" s="627" t="s">
        <v>1156</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3405</v>
      </c>
      <c r="K590" s="635"/>
      <c r="L590" s="626"/>
      <c r="M590" s="627"/>
      <c r="N590" s="636" t="s">
        <v>860</v>
      </c>
      <c r="O590" s="636" t="s">
        <v>1868</v>
      </c>
      <c r="P590" s="627" t="s">
        <v>1157</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857</v>
      </c>
      <c r="K591" s="635"/>
      <c r="L591" s="626"/>
      <c r="M591" s="627"/>
      <c r="N591" s="507" t="s">
        <v>1691</v>
      </c>
      <c r="O591" s="507" t="s">
        <v>965</v>
      </c>
      <c r="P591" s="1580" t="s">
        <v>3242</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859</v>
      </c>
      <c r="K592" s="635"/>
      <c r="L592" s="626"/>
      <c r="M592" s="627"/>
      <c r="N592" s="636" t="s">
        <v>862</v>
      </c>
      <c r="O592" s="636" t="s">
        <v>2662</v>
      </c>
      <c r="P592" s="627" t="s">
        <v>1158</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861</v>
      </c>
      <c r="K593" s="635"/>
      <c r="L593" s="626"/>
      <c r="M593" s="627"/>
      <c r="N593" s="636" t="s">
        <v>1824</v>
      </c>
      <c r="O593" s="636" t="s">
        <v>1726</v>
      </c>
      <c r="P593" s="627" t="s">
        <v>1159</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3149</v>
      </c>
      <c r="K594" s="635"/>
      <c r="L594" s="626"/>
      <c r="M594" s="627"/>
      <c r="N594" s="636" t="s">
        <v>2173</v>
      </c>
      <c r="O594" s="636" t="s">
        <v>2663</v>
      </c>
      <c r="P594" s="627" t="s">
        <v>1160</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2172</v>
      </c>
      <c r="K595" s="635"/>
      <c r="L595" s="626"/>
      <c r="M595" s="627"/>
      <c r="N595" s="636" t="s">
        <v>2175</v>
      </c>
      <c r="O595" s="636" t="s">
        <v>2021</v>
      </c>
      <c r="P595" s="627" t="s">
        <v>2175</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2174</v>
      </c>
      <c r="K596" s="635"/>
      <c r="L596" s="626"/>
      <c r="M596" s="627"/>
      <c r="N596" s="636" t="s">
        <v>2177</v>
      </c>
      <c r="O596" s="636" t="s">
        <v>1002</v>
      </c>
      <c r="P596" s="627" t="s">
        <v>2177</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2176</v>
      </c>
      <c r="K597" s="635"/>
      <c r="L597" s="626"/>
      <c r="M597" s="627"/>
      <c r="N597" s="636" t="s">
        <v>2338</v>
      </c>
      <c r="O597" s="636" t="s">
        <v>2807</v>
      </c>
      <c r="P597" s="627" t="s">
        <v>1161</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2337</v>
      </c>
      <c r="K598" s="635"/>
      <c r="L598" s="626"/>
      <c r="M598" s="627"/>
      <c r="N598" s="636" t="s">
        <v>3217</v>
      </c>
      <c r="O598" s="636" t="s">
        <v>2541</v>
      </c>
      <c r="P598" s="627" t="s">
        <v>1162</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3216</v>
      </c>
      <c r="K599" s="635"/>
      <c r="L599" s="626"/>
      <c r="M599" s="627"/>
      <c r="N599" s="636" t="s">
        <v>3219</v>
      </c>
      <c r="O599" s="636" t="s">
        <v>2027</v>
      </c>
      <c r="P599" s="627" t="s">
        <v>1163</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3218</v>
      </c>
      <c r="K600" s="635"/>
      <c r="L600" s="626"/>
      <c r="M600" s="627"/>
      <c r="N600" s="636" t="s">
        <v>2163</v>
      </c>
      <c r="O600" s="636" t="s">
        <v>419</v>
      </c>
      <c r="P600" s="627" t="s">
        <v>1164</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3220</v>
      </c>
      <c r="K601" s="635"/>
      <c r="L601" s="626"/>
      <c r="M601" s="627"/>
      <c r="N601" s="636" t="s">
        <v>2165</v>
      </c>
      <c r="O601" s="636" t="s">
        <v>416</v>
      </c>
      <c r="P601" s="627" t="s">
        <v>1165</v>
      </c>
      <c r="Q601" s="611"/>
      <c r="R601" s="507" t="s">
        <v>3866</v>
      </c>
      <c r="S601" s="507" t="s">
        <v>965</v>
      </c>
      <c r="T601" s="1580" t="s">
        <v>3242</v>
      </c>
      <c r="U601" s="611"/>
      <c r="V601" s="611"/>
      <c r="W601" s="611"/>
      <c r="X601" s="611"/>
      <c r="Y601" s="611"/>
      <c r="Z601" s="611"/>
      <c r="AA601" s="611"/>
    </row>
    <row r="602" spans="1:27" ht="12" customHeight="1">
      <c r="A602" s="611"/>
      <c r="B602" s="612"/>
      <c r="C602" s="611"/>
      <c r="D602" s="611"/>
      <c r="E602" s="611"/>
      <c r="F602" s="611"/>
      <c r="G602" s="611"/>
      <c r="H602" s="611"/>
      <c r="I602" s="611"/>
      <c r="J602" s="634" t="s">
        <v>2164</v>
      </c>
      <c r="K602" s="635"/>
      <c r="L602" s="626"/>
      <c r="M602" s="627"/>
      <c r="N602" s="507" t="s">
        <v>1692</v>
      </c>
      <c r="O602" s="507" t="s">
        <v>2665</v>
      </c>
      <c r="P602" s="1580" t="s">
        <v>3242</v>
      </c>
      <c r="Q602" s="611"/>
      <c r="R602" s="507" t="s">
        <v>3867</v>
      </c>
      <c r="S602" s="507" t="s">
        <v>415</v>
      </c>
      <c r="T602" s="1580" t="s">
        <v>3242</v>
      </c>
      <c r="U602" s="611"/>
      <c r="V602" s="611"/>
      <c r="W602" s="611"/>
      <c r="X602" s="611"/>
      <c r="Y602" s="611"/>
      <c r="Z602" s="611"/>
      <c r="AA602" s="611"/>
    </row>
    <row r="603" spans="1:27" ht="12" customHeight="1">
      <c r="A603" s="611"/>
      <c r="B603" s="612"/>
      <c r="C603" s="611"/>
      <c r="D603" s="611"/>
      <c r="E603" s="611"/>
      <c r="F603" s="611"/>
      <c r="G603" s="611"/>
      <c r="H603" s="611"/>
      <c r="I603" s="611"/>
      <c r="J603" s="634" t="s">
        <v>2166</v>
      </c>
      <c r="K603" s="635"/>
      <c r="L603" s="626"/>
      <c r="M603" s="627"/>
      <c r="N603" s="636" t="s">
        <v>2167</v>
      </c>
      <c r="O603" s="636" t="s">
        <v>965</v>
      </c>
      <c r="P603" s="627" t="s">
        <v>1166</v>
      </c>
      <c r="Q603" s="611"/>
      <c r="R603" s="507" t="s">
        <v>3868</v>
      </c>
      <c r="S603" s="507" t="s">
        <v>3759</v>
      </c>
      <c r="T603" s="1580" t="s">
        <v>3242</v>
      </c>
      <c r="U603" s="611"/>
      <c r="V603" s="611"/>
      <c r="W603" s="611"/>
      <c r="X603" s="611"/>
      <c r="Y603" s="611"/>
      <c r="Z603" s="611"/>
      <c r="AA603" s="611"/>
    </row>
    <row r="604" spans="1:27" ht="12" customHeight="1">
      <c r="A604" s="611"/>
      <c r="B604" s="612"/>
      <c r="C604" s="611"/>
      <c r="D604" s="611"/>
      <c r="E604" s="611"/>
      <c r="F604" s="611"/>
      <c r="G604" s="611"/>
      <c r="H604" s="611"/>
      <c r="I604" s="611"/>
      <c r="J604" s="634" t="s">
        <v>2311</v>
      </c>
      <c r="K604" s="635"/>
      <c r="L604" s="626"/>
      <c r="M604" s="627"/>
      <c r="N604" s="636" t="s">
        <v>2312</v>
      </c>
      <c r="O604" s="636" t="s">
        <v>411</v>
      </c>
      <c r="P604" s="627" t="s">
        <v>1167</v>
      </c>
      <c r="Q604" s="611"/>
      <c r="R604" s="507" t="s">
        <v>3869</v>
      </c>
      <c r="S604" s="507"/>
      <c r="T604" s="1580" t="s">
        <v>3242</v>
      </c>
      <c r="U604" s="611"/>
      <c r="V604" s="611"/>
      <c r="W604" s="611"/>
      <c r="X604" s="611"/>
      <c r="Y604" s="611"/>
      <c r="Z604" s="611"/>
      <c r="AA604" s="611"/>
    </row>
    <row r="605" spans="1:27" ht="12" customHeight="1">
      <c r="A605" s="611"/>
      <c r="B605" s="612"/>
      <c r="C605" s="611"/>
      <c r="D605" s="611"/>
      <c r="E605" s="611"/>
      <c r="F605" s="611"/>
      <c r="G605" s="611"/>
      <c r="H605" s="611"/>
      <c r="I605" s="611"/>
      <c r="J605" s="634" t="s">
        <v>2313</v>
      </c>
      <c r="K605" s="635"/>
      <c r="L605" s="626"/>
      <c r="M605" s="627"/>
      <c r="N605" s="636" t="s">
        <v>3148</v>
      </c>
      <c r="O605" s="636" t="s">
        <v>1550</v>
      </c>
      <c r="P605" s="627" t="s">
        <v>1168</v>
      </c>
      <c r="Q605" s="611"/>
      <c r="R605" s="507" t="s">
        <v>3870</v>
      </c>
      <c r="S605" s="507" t="s">
        <v>3087</v>
      </c>
      <c r="T605" s="1580" t="s">
        <v>3242</v>
      </c>
      <c r="U605" s="611"/>
      <c r="V605" s="611"/>
      <c r="W605" s="611"/>
      <c r="X605" s="611"/>
      <c r="Y605" s="611"/>
      <c r="Z605" s="611"/>
      <c r="AA605" s="611"/>
    </row>
    <row r="606" spans="1:27" ht="12" customHeight="1">
      <c r="A606" s="611"/>
      <c r="B606" s="612"/>
      <c r="C606" s="611"/>
      <c r="D606" s="611"/>
      <c r="E606" s="611"/>
      <c r="F606" s="611"/>
      <c r="G606" s="611"/>
      <c r="H606" s="611"/>
      <c r="I606" s="611"/>
      <c r="J606" s="634" t="s">
        <v>3147</v>
      </c>
      <c r="K606" s="635"/>
      <c r="L606" s="626"/>
      <c r="M606" s="627"/>
      <c r="N606" s="636" t="s">
        <v>2929</v>
      </c>
      <c r="O606" s="636" t="s">
        <v>3027</v>
      </c>
      <c r="P606" s="627" t="s">
        <v>1169</v>
      </c>
      <c r="Q606" s="611"/>
      <c r="R606" s="507" t="s">
        <v>3871</v>
      </c>
      <c r="S606" s="507" t="s">
        <v>3759</v>
      </c>
      <c r="T606" s="1580" t="s">
        <v>3242</v>
      </c>
      <c r="U606" s="611"/>
      <c r="V606" s="611"/>
      <c r="W606" s="611"/>
      <c r="X606" s="611"/>
      <c r="Y606" s="611"/>
      <c r="Z606" s="611"/>
      <c r="AA606" s="611"/>
    </row>
    <row r="607" spans="1:27" ht="12" customHeight="1">
      <c r="A607" s="611"/>
      <c r="B607" s="612"/>
      <c r="C607" s="611"/>
      <c r="D607" s="611"/>
      <c r="E607" s="611"/>
      <c r="F607" s="611"/>
      <c r="G607" s="611"/>
      <c r="H607" s="611"/>
      <c r="I607" s="611"/>
      <c r="J607" s="634" t="s">
        <v>2928</v>
      </c>
      <c r="K607" s="635"/>
      <c r="L607" s="626"/>
      <c r="M607" s="627"/>
      <c r="N607" s="636" t="s">
        <v>370</v>
      </c>
      <c r="O607" s="636" t="s">
        <v>3027</v>
      </c>
      <c r="P607" s="627" t="s">
        <v>1170</v>
      </c>
      <c r="Q607" s="611"/>
      <c r="R607" s="507" t="s">
        <v>3872</v>
      </c>
      <c r="S607" s="507" t="s">
        <v>2029</v>
      </c>
      <c r="T607" s="1580" t="s">
        <v>3242</v>
      </c>
      <c r="U607" s="611"/>
      <c r="V607" s="611"/>
      <c r="W607" s="611"/>
      <c r="X607" s="611"/>
      <c r="Y607" s="611"/>
      <c r="Z607" s="611"/>
      <c r="AA607" s="611"/>
    </row>
    <row r="608" spans="1:27" ht="12" customHeight="1">
      <c r="A608" s="611"/>
      <c r="B608" s="612"/>
      <c r="C608" s="611"/>
      <c r="D608" s="611"/>
      <c r="E608" s="611"/>
      <c r="F608" s="611"/>
      <c r="G608" s="611"/>
      <c r="H608" s="611"/>
      <c r="I608" s="611"/>
      <c r="J608" s="634" t="s">
        <v>369</v>
      </c>
      <c r="K608" s="635"/>
      <c r="L608" s="626"/>
      <c r="M608" s="627"/>
      <c r="N608" s="636" t="s">
        <v>2703</v>
      </c>
      <c r="O608" s="636" t="s">
        <v>3285</v>
      </c>
      <c r="P608" s="627" t="s">
        <v>1171</v>
      </c>
      <c r="Q608" s="611"/>
      <c r="R608" s="507" t="s">
        <v>3873</v>
      </c>
      <c r="S608" s="507" t="s">
        <v>3089</v>
      </c>
      <c r="T608" s="1580" t="s">
        <v>3242</v>
      </c>
      <c r="U608" s="611"/>
      <c r="V608" s="611"/>
      <c r="W608" s="611"/>
      <c r="X608" s="611"/>
      <c r="Y608" s="611"/>
      <c r="Z608" s="611"/>
      <c r="AA608" s="611"/>
    </row>
    <row r="609" spans="1:27" ht="12" customHeight="1">
      <c r="A609" s="611"/>
      <c r="B609" s="612"/>
      <c r="C609" s="611"/>
      <c r="D609" s="611"/>
      <c r="E609" s="611"/>
      <c r="F609" s="611"/>
      <c r="G609" s="611"/>
      <c r="H609" s="611"/>
      <c r="I609" s="611"/>
      <c r="J609" s="634" t="s">
        <v>2702</v>
      </c>
      <c r="K609" s="635"/>
      <c r="L609" s="626"/>
      <c r="M609" s="627"/>
      <c r="N609" s="636" t="s">
        <v>340</v>
      </c>
      <c r="O609" s="636" t="s">
        <v>1012</v>
      </c>
      <c r="P609" s="627" t="s">
        <v>1172</v>
      </c>
      <c r="Q609" s="611"/>
      <c r="R609" s="507" t="s">
        <v>3874</v>
      </c>
      <c r="S609" s="507" t="s">
        <v>1011</v>
      </c>
      <c r="T609" s="1580" t="s">
        <v>3242</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1829</v>
      </c>
      <c r="O610" s="636" t="s">
        <v>215</v>
      </c>
      <c r="P610" s="627" t="s">
        <v>1173</v>
      </c>
      <c r="Q610" s="611"/>
      <c r="R610" s="507" t="s">
        <v>3875</v>
      </c>
      <c r="S610" s="507" t="s">
        <v>965</v>
      </c>
      <c r="T610" s="1580" t="s">
        <v>3242</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1831</v>
      </c>
      <c r="O611" s="636" t="s">
        <v>215</v>
      </c>
      <c r="P611" s="627" t="s">
        <v>1174</v>
      </c>
      <c r="Q611" s="611"/>
      <c r="R611" s="507" t="s">
        <v>3876</v>
      </c>
      <c r="S611" s="507" t="s">
        <v>3280</v>
      </c>
      <c r="T611" s="1580" t="s">
        <v>3242</v>
      </c>
      <c r="U611" s="611"/>
      <c r="V611" s="611"/>
      <c r="W611" s="611"/>
      <c r="X611" s="611"/>
      <c r="Y611" s="611"/>
      <c r="Z611" s="611"/>
      <c r="AA611" s="611"/>
    </row>
    <row r="612" spans="1:27" ht="12" customHeight="1">
      <c r="A612" s="611"/>
      <c r="B612" s="612"/>
      <c r="C612" s="611"/>
      <c r="D612" s="611"/>
      <c r="E612" s="611"/>
      <c r="F612" s="611"/>
      <c r="G612" s="611"/>
      <c r="H612" s="611"/>
      <c r="I612" s="611"/>
      <c r="J612" s="634" t="s">
        <v>1830</v>
      </c>
      <c r="K612" s="635"/>
      <c r="L612" s="626"/>
      <c r="M612" s="627"/>
      <c r="N612" s="636" t="s">
        <v>1234</v>
      </c>
      <c r="O612" s="636" t="s">
        <v>2029</v>
      </c>
      <c r="P612" s="627" t="s">
        <v>1175</v>
      </c>
      <c r="Q612" s="611"/>
      <c r="R612" s="507" t="s">
        <v>3877</v>
      </c>
      <c r="S612" s="507" t="s">
        <v>3820</v>
      </c>
      <c r="T612" s="1580" t="s">
        <v>3242</v>
      </c>
      <c r="U612" s="611"/>
      <c r="V612" s="611"/>
      <c r="W612" s="611"/>
      <c r="X612" s="611"/>
      <c r="Y612" s="611"/>
      <c r="Z612" s="611"/>
      <c r="AA612" s="611"/>
    </row>
    <row r="613" spans="1:27" ht="12" customHeight="1">
      <c r="A613" s="611"/>
      <c r="B613" s="612"/>
      <c r="C613" s="611"/>
      <c r="D613" s="611"/>
      <c r="E613" s="611"/>
      <c r="F613" s="611"/>
      <c r="G613" s="611"/>
      <c r="H613" s="611"/>
      <c r="I613" s="611"/>
      <c r="J613" s="634" t="s">
        <v>1233</v>
      </c>
      <c r="K613" s="635"/>
      <c r="L613" s="626"/>
      <c r="M613" s="627"/>
      <c r="N613" s="636" t="s">
        <v>314</v>
      </c>
      <c r="O613" s="636" t="s">
        <v>3902</v>
      </c>
      <c r="P613" s="627" t="s">
        <v>1176</v>
      </c>
      <c r="Q613" s="611"/>
      <c r="R613" s="507" t="s">
        <v>3373</v>
      </c>
      <c r="S613" s="507" t="s">
        <v>3817</v>
      </c>
      <c r="T613" s="1580" t="s">
        <v>3242</v>
      </c>
      <c r="U613" s="611"/>
      <c r="V613" s="611"/>
      <c r="W613" s="611"/>
      <c r="X613" s="611"/>
      <c r="Y613" s="611"/>
      <c r="Z613" s="611"/>
      <c r="AA613" s="611"/>
    </row>
    <row r="614" spans="1:27" ht="12" customHeight="1">
      <c r="A614" s="611"/>
      <c r="B614" s="612"/>
      <c r="C614" s="611"/>
      <c r="D614" s="611"/>
      <c r="E614" s="611"/>
      <c r="F614" s="611"/>
      <c r="G614" s="611"/>
      <c r="H614" s="611"/>
      <c r="I614" s="611"/>
      <c r="J614" s="634" t="s">
        <v>1235</v>
      </c>
      <c r="K614" s="635"/>
      <c r="L614" s="626"/>
      <c r="M614" s="627"/>
      <c r="N614" s="636" t="s">
        <v>1649</v>
      </c>
      <c r="O614" s="636" t="s">
        <v>3636</v>
      </c>
      <c r="P614" s="627" t="s">
        <v>1177</v>
      </c>
      <c r="Q614" s="611"/>
      <c r="R614" s="507" t="s">
        <v>3878</v>
      </c>
      <c r="S614" s="507" t="s">
        <v>3280</v>
      </c>
      <c r="T614" s="1580" t="s">
        <v>3242</v>
      </c>
      <c r="U614" s="611"/>
      <c r="V614" s="611"/>
      <c r="W614" s="611"/>
      <c r="X614" s="611"/>
      <c r="Y614" s="611"/>
      <c r="Z614" s="611"/>
      <c r="AA614" s="611"/>
    </row>
    <row r="615" spans="1:27" ht="12" customHeight="1">
      <c r="A615" s="611"/>
      <c r="B615" s="612"/>
      <c r="C615" s="611"/>
      <c r="D615" s="611"/>
      <c r="E615" s="611"/>
      <c r="F615" s="611"/>
      <c r="G615" s="611"/>
      <c r="H615" s="611"/>
      <c r="I615" s="611"/>
      <c r="J615" s="634" t="s">
        <v>1648</v>
      </c>
      <c r="K615" s="635"/>
      <c r="L615" s="626"/>
      <c r="M615" s="627"/>
      <c r="N615" s="636" t="s">
        <v>2779</v>
      </c>
      <c r="O615" s="636" t="s">
        <v>3762</v>
      </c>
      <c r="P615" s="627" t="s">
        <v>1178</v>
      </c>
      <c r="Q615" s="611"/>
      <c r="R615" s="507" t="s">
        <v>3879</v>
      </c>
      <c r="S615" s="507" t="s">
        <v>3762</v>
      </c>
      <c r="T615" s="1580" t="s">
        <v>3242</v>
      </c>
      <c r="U615" s="611"/>
      <c r="V615" s="611"/>
      <c r="W615" s="611"/>
      <c r="X615" s="611"/>
      <c r="Y615" s="611"/>
      <c r="Z615" s="611"/>
      <c r="AA615" s="611"/>
    </row>
    <row r="616" spans="1:27" ht="12" customHeight="1">
      <c r="A616" s="611"/>
      <c r="B616" s="612"/>
      <c r="C616" s="611"/>
      <c r="D616" s="611"/>
      <c r="E616" s="611"/>
      <c r="F616" s="611"/>
      <c r="G616" s="611"/>
      <c r="H616" s="611"/>
      <c r="I616" s="611"/>
      <c r="J616" s="634" t="s">
        <v>1650</v>
      </c>
      <c r="K616" s="635"/>
      <c r="L616" s="626"/>
      <c r="M616" s="627"/>
      <c r="N616" s="636" t="s">
        <v>2853</v>
      </c>
      <c r="O616" s="636" t="s">
        <v>124</v>
      </c>
      <c r="P616" s="1579" t="s">
        <v>1413</v>
      </c>
      <c r="Q616" s="611"/>
      <c r="R616" s="507" t="s">
        <v>3880</v>
      </c>
      <c r="S616" s="507" t="s">
        <v>3087</v>
      </c>
      <c r="T616" s="1580" t="s">
        <v>3242</v>
      </c>
      <c r="U616" s="611"/>
      <c r="V616" s="611"/>
      <c r="W616" s="611"/>
      <c r="X616" s="611"/>
      <c r="Y616" s="611"/>
      <c r="Z616" s="611"/>
      <c r="AA616" s="611"/>
    </row>
    <row r="617" spans="1:27" ht="12" customHeight="1">
      <c r="A617" s="611"/>
      <c r="B617" s="612"/>
      <c r="C617" s="611"/>
      <c r="D617" s="611"/>
      <c r="E617" s="611"/>
      <c r="F617" s="611"/>
      <c r="G617" s="611"/>
      <c r="H617" s="611"/>
      <c r="I617" s="611"/>
      <c r="J617" s="634" t="s">
        <v>2852</v>
      </c>
      <c r="K617" s="635"/>
      <c r="L617" s="626"/>
      <c r="M617" s="627"/>
      <c r="N617" s="636" t="s">
        <v>1731</v>
      </c>
      <c r="O617" s="636" t="s">
        <v>1221</v>
      </c>
      <c r="P617" s="627" t="s">
        <v>1179</v>
      </c>
      <c r="Q617" s="611"/>
      <c r="R617" s="507" t="s">
        <v>1673</v>
      </c>
      <c r="S617" s="507" t="s">
        <v>2182</v>
      </c>
      <c r="T617" s="1580" t="s">
        <v>3242</v>
      </c>
      <c r="U617" s="611"/>
      <c r="V617" s="611"/>
      <c r="W617" s="611"/>
      <c r="X617" s="611"/>
      <c r="Y617" s="611"/>
      <c r="Z617" s="611"/>
      <c r="AA617" s="611"/>
    </row>
    <row r="618" spans="1:27" ht="12" customHeight="1">
      <c r="A618" s="611"/>
      <c r="B618" s="612"/>
      <c r="C618" s="611"/>
      <c r="D618" s="611"/>
      <c r="E618" s="611"/>
      <c r="F618" s="611"/>
      <c r="G618" s="611"/>
      <c r="H618" s="611"/>
      <c r="I618" s="611"/>
      <c r="J618" s="634" t="s">
        <v>2854</v>
      </c>
      <c r="K618" s="635"/>
      <c r="L618" s="626"/>
      <c r="M618" s="627"/>
      <c r="N618" s="507" t="s">
        <v>1693</v>
      </c>
      <c r="O618" s="507" t="s">
        <v>1552</v>
      </c>
      <c r="P618" s="1580" t="s">
        <v>3242</v>
      </c>
      <c r="Q618" s="611"/>
      <c r="R618" s="507" t="s">
        <v>1499</v>
      </c>
      <c r="S618" s="507" t="s">
        <v>1735</v>
      </c>
      <c r="T618" s="1580" t="s">
        <v>3242</v>
      </c>
      <c r="U618" s="611"/>
      <c r="V618" s="611"/>
      <c r="W618" s="611"/>
      <c r="X618" s="611"/>
      <c r="Y618" s="611"/>
      <c r="Z618" s="611"/>
      <c r="AA618" s="611"/>
    </row>
    <row r="619" spans="1:27" ht="12" customHeight="1">
      <c r="A619" s="611"/>
      <c r="B619" s="612"/>
      <c r="C619" s="611"/>
      <c r="D619" s="611"/>
      <c r="E619" s="611"/>
      <c r="F619" s="611"/>
      <c r="G619" s="611"/>
      <c r="H619" s="611"/>
      <c r="I619" s="611"/>
      <c r="J619" s="634" t="s">
        <v>2855</v>
      </c>
      <c r="K619" s="635"/>
      <c r="L619" s="626"/>
      <c r="M619" s="627"/>
      <c r="N619" s="636" t="s">
        <v>1735</v>
      </c>
      <c r="O619" s="636" t="s">
        <v>2026</v>
      </c>
      <c r="P619" s="627" t="s">
        <v>1180</v>
      </c>
      <c r="Q619" s="611"/>
      <c r="R619" s="507" t="s">
        <v>1674</v>
      </c>
      <c r="S619" s="507" t="s">
        <v>965</v>
      </c>
      <c r="T619" s="1580" t="s">
        <v>3242</v>
      </c>
      <c r="U619" s="611"/>
      <c r="V619" s="611"/>
      <c r="W619" s="611"/>
      <c r="X619" s="611"/>
      <c r="Y619" s="611"/>
      <c r="Z619" s="611"/>
      <c r="AA619" s="611"/>
    </row>
    <row r="620" spans="1:27" ht="12" customHeight="1">
      <c r="A620" s="611"/>
      <c r="B620" s="612"/>
      <c r="C620" s="611"/>
      <c r="D620" s="611"/>
      <c r="E620" s="611"/>
      <c r="F620" s="611"/>
      <c r="G620" s="611"/>
      <c r="H620" s="611"/>
      <c r="I620" s="611"/>
      <c r="J620" s="634" t="s">
        <v>1775</v>
      </c>
      <c r="K620" s="635"/>
      <c r="L620" s="626"/>
      <c r="M620" s="627"/>
      <c r="N620" s="636" t="s">
        <v>508</v>
      </c>
      <c r="O620" s="636" t="s">
        <v>1012</v>
      </c>
      <c r="P620" s="627" t="s">
        <v>1181</v>
      </c>
      <c r="Q620" s="611"/>
      <c r="R620" s="507" t="s">
        <v>1675</v>
      </c>
      <c r="S620" s="507" t="s">
        <v>2982</v>
      </c>
      <c r="T620" s="1580" t="s">
        <v>3242</v>
      </c>
      <c r="U620" s="611"/>
      <c r="V620" s="611"/>
      <c r="W620" s="611"/>
      <c r="X620" s="611"/>
      <c r="Y620" s="611"/>
      <c r="Z620" s="611"/>
      <c r="AA620" s="611"/>
    </row>
    <row r="621" spans="1:27" ht="12" customHeight="1">
      <c r="A621" s="611"/>
      <c r="B621" s="612"/>
      <c r="C621" s="611"/>
      <c r="D621" s="611"/>
      <c r="E621" s="611"/>
      <c r="F621" s="611"/>
      <c r="G621" s="611"/>
      <c r="H621" s="611"/>
      <c r="I621" s="611"/>
      <c r="J621" s="634" t="s">
        <v>507</v>
      </c>
      <c r="K621" s="635"/>
      <c r="L621" s="626"/>
      <c r="M621" s="627"/>
      <c r="N621" s="507" t="s">
        <v>1694</v>
      </c>
      <c r="O621" s="507" t="s">
        <v>137</v>
      </c>
      <c r="P621" s="1580" t="s">
        <v>3242</v>
      </c>
      <c r="Q621" s="611"/>
      <c r="R621" s="507" t="s">
        <v>1676</v>
      </c>
      <c r="S621" s="507" t="s">
        <v>3085</v>
      </c>
      <c r="T621" s="1580" t="s">
        <v>3242</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2019</v>
      </c>
      <c r="P622" s="627" t="s">
        <v>6</v>
      </c>
      <c r="Q622" s="611"/>
      <c r="R622" s="507" t="s">
        <v>1677</v>
      </c>
      <c r="S622" s="507" t="s">
        <v>1728</v>
      </c>
      <c r="T622" s="1580" t="s">
        <v>3242</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3632</v>
      </c>
      <c r="P623" s="627" t="s">
        <v>1182</v>
      </c>
      <c r="Q623" s="1581"/>
      <c r="R623" s="507" t="s">
        <v>1678</v>
      </c>
      <c r="S623" s="507" t="s">
        <v>2271</v>
      </c>
      <c r="T623" s="1580" t="s">
        <v>3242</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2988</v>
      </c>
      <c r="P624" s="627" t="s">
        <v>1183</v>
      </c>
      <c r="Q624" s="611"/>
      <c r="R624" s="507" t="s">
        <v>1679</v>
      </c>
      <c r="S624" s="507" t="s">
        <v>3759</v>
      </c>
      <c r="T624" s="1580" t="s">
        <v>3242</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1695</v>
      </c>
      <c r="O625" s="507" t="s">
        <v>965</v>
      </c>
      <c r="P625" s="1580" t="s">
        <v>3242</v>
      </c>
      <c r="Q625" s="611"/>
      <c r="R625" s="507" t="s">
        <v>1680</v>
      </c>
      <c r="S625" s="507" t="s">
        <v>215</v>
      </c>
      <c r="T625" s="1580" t="s">
        <v>3242</v>
      </c>
      <c r="U625" s="611"/>
      <c r="V625" s="611"/>
      <c r="W625" s="611"/>
      <c r="X625" s="611"/>
      <c r="Y625" s="611"/>
      <c r="Z625" s="611"/>
      <c r="AA625" s="611"/>
    </row>
    <row r="626" spans="1:27" ht="12" customHeight="1">
      <c r="A626" s="611"/>
      <c r="B626" s="612"/>
      <c r="C626" s="611"/>
      <c r="D626" s="611"/>
      <c r="E626" s="611"/>
      <c r="F626" s="611"/>
      <c r="G626" s="611"/>
      <c r="H626" s="611"/>
      <c r="I626" s="611"/>
      <c r="J626" s="634" t="s">
        <v>3247</v>
      </c>
      <c r="K626" s="635"/>
      <c r="L626" s="626"/>
      <c r="M626" s="627"/>
      <c r="N626" s="507" t="s">
        <v>1696</v>
      </c>
      <c r="O626" s="507" t="s">
        <v>412</v>
      </c>
      <c r="P626" s="1580" t="s">
        <v>3242</v>
      </c>
      <c r="Q626" s="611"/>
      <c r="R626" s="507" t="s">
        <v>1681</v>
      </c>
      <c r="S626" s="507" t="s">
        <v>2036</v>
      </c>
      <c r="T626" s="1580" t="s">
        <v>3242</v>
      </c>
      <c r="U626" s="611"/>
      <c r="V626" s="611"/>
      <c r="W626" s="611"/>
      <c r="X626" s="611"/>
      <c r="Y626" s="611"/>
      <c r="Z626" s="611"/>
      <c r="AA626" s="611"/>
    </row>
    <row r="627" spans="1:27" ht="12" customHeight="1">
      <c r="A627" s="611"/>
      <c r="B627" s="612"/>
      <c r="C627" s="611"/>
      <c r="D627" s="611"/>
      <c r="E627" s="611"/>
      <c r="F627" s="611"/>
      <c r="G627" s="611"/>
      <c r="H627" s="611"/>
      <c r="I627" s="611"/>
      <c r="J627" s="634" t="s">
        <v>3249</v>
      </c>
      <c r="K627" s="635"/>
      <c r="L627" s="626"/>
      <c r="M627" s="627"/>
      <c r="N627" s="636" t="s">
        <v>3246</v>
      </c>
      <c r="O627" s="636" t="s">
        <v>2029</v>
      </c>
      <c r="P627" s="627" t="s">
        <v>1184</v>
      </c>
      <c r="Q627" s="611"/>
      <c r="R627" s="507" t="s">
        <v>1682</v>
      </c>
      <c r="S627" s="507" t="s">
        <v>2271</v>
      </c>
      <c r="T627" s="1580" t="s">
        <v>3242</v>
      </c>
      <c r="U627" s="611"/>
      <c r="V627" s="611"/>
      <c r="W627" s="611"/>
      <c r="X627" s="611"/>
      <c r="Y627" s="611"/>
      <c r="Z627" s="611"/>
      <c r="AA627" s="611"/>
    </row>
    <row r="628" spans="1:27" ht="12" customHeight="1">
      <c r="A628" s="611"/>
      <c r="B628" s="612"/>
      <c r="C628" s="611"/>
      <c r="D628" s="611"/>
      <c r="E628" s="611"/>
      <c r="F628" s="611"/>
      <c r="G628" s="611"/>
      <c r="H628" s="611"/>
      <c r="I628" s="611"/>
      <c r="J628" s="634" t="s">
        <v>3251</v>
      </c>
      <c r="K628" s="635"/>
      <c r="L628" s="626"/>
      <c r="M628" s="627"/>
      <c r="N628" s="636" t="s">
        <v>3248</v>
      </c>
      <c r="O628" s="636" t="s">
        <v>3291</v>
      </c>
      <c r="P628" s="627" t="s">
        <v>1185</v>
      </c>
      <c r="Q628" s="611"/>
      <c r="R628" s="507" t="s">
        <v>1683</v>
      </c>
      <c r="S628" s="507" t="s">
        <v>1742</v>
      </c>
      <c r="T628" s="1580" t="s">
        <v>3242</v>
      </c>
      <c r="U628" s="611"/>
      <c r="V628" s="611"/>
      <c r="W628" s="611"/>
      <c r="X628" s="611"/>
      <c r="Y628" s="611"/>
      <c r="Z628" s="611"/>
      <c r="AA628" s="611"/>
    </row>
    <row r="629" spans="1:27" ht="12" customHeight="1">
      <c r="A629" s="611"/>
      <c r="B629" s="612"/>
      <c r="C629" s="611"/>
      <c r="D629" s="611"/>
      <c r="E629" s="611"/>
      <c r="F629" s="611"/>
      <c r="G629" s="611"/>
      <c r="H629" s="611"/>
      <c r="I629" s="611"/>
      <c r="J629" s="634" t="s">
        <v>3253</v>
      </c>
      <c r="K629" s="635"/>
      <c r="L629" s="626"/>
      <c r="M629" s="627"/>
      <c r="N629" s="636" t="s">
        <v>3250</v>
      </c>
      <c r="O629" s="636" t="s">
        <v>232</v>
      </c>
      <c r="P629" s="627" t="s">
        <v>1186</v>
      </c>
      <c r="Q629" s="611"/>
      <c r="R629" s="507" t="s">
        <v>1684</v>
      </c>
      <c r="S629" s="507" t="s">
        <v>3085</v>
      </c>
      <c r="T629" s="1580" t="s">
        <v>3242</v>
      </c>
      <c r="U629" s="611"/>
      <c r="V629" s="611"/>
      <c r="W629" s="611"/>
      <c r="X629" s="611"/>
      <c r="Y629" s="611"/>
      <c r="Z629" s="611"/>
      <c r="AA629" s="611"/>
    </row>
    <row r="630" spans="1:27" ht="12" customHeight="1">
      <c r="A630" s="611"/>
      <c r="B630" s="612"/>
      <c r="C630" s="611"/>
      <c r="D630" s="611"/>
      <c r="E630" s="611"/>
      <c r="F630" s="611"/>
      <c r="G630" s="611"/>
      <c r="H630" s="611"/>
      <c r="I630" s="611"/>
      <c r="J630" s="634" t="s">
        <v>3255</v>
      </c>
      <c r="K630" s="635"/>
      <c r="L630" s="626"/>
      <c r="M630" s="627"/>
      <c r="N630" s="636" t="s">
        <v>3252</v>
      </c>
      <c r="O630" s="636" t="s">
        <v>2179</v>
      </c>
      <c r="P630" s="627" t="s">
        <v>1187</v>
      </c>
      <c r="Q630" s="611"/>
      <c r="R630" s="636" t="s">
        <v>1417</v>
      </c>
      <c r="S630" s="636" t="s">
        <v>1465</v>
      </c>
      <c r="T630" s="1580" t="s">
        <v>3242</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3254</v>
      </c>
      <c r="O631" s="636" t="s">
        <v>1012</v>
      </c>
      <c r="P631" s="627" t="s">
        <v>1188</v>
      </c>
      <c r="Q631" s="611"/>
      <c r="R631" s="507" t="s">
        <v>1685</v>
      </c>
      <c r="S631" s="507" t="s">
        <v>3762</v>
      </c>
      <c r="T631" s="1580" t="s">
        <v>3242</v>
      </c>
      <c r="U631" s="611"/>
      <c r="V631" s="611"/>
      <c r="W631" s="611"/>
      <c r="X631" s="611"/>
      <c r="Y631" s="611"/>
      <c r="Z631" s="611"/>
      <c r="AA631" s="611"/>
    </row>
    <row r="632" spans="1:27" ht="12" customHeight="1">
      <c r="A632" s="611"/>
      <c r="B632" s="612"/>
      <c r="C632" s="611"/>
      <c r="D632" s="611"/>
      <c r="E632" s="611"/>
      <c r="F632" s="611"/>
      <c r="G632" s="611"/>
      <c r="H632" s="611"/>
      <c r="I632" s="611"/>
      <c r="J632" s="634" t="s">
        <v>3098</v>
      </c>
      <c r="K632" s="635"/>
      <c r="L632" s="626"/>
      <c r="M632" s="627"/>
      <c r="N632" s="636" t="s">
        <v>99</v>
      </c>
      <c r="O632" s="636" t="s">
        <v>136</v>
      </c>
      <c r="P632" s="627" t="s">
        <v>1189</v>
      </c>
      <c r="Q632" s="611"/>
      <c r="R632" s="507" t="s">
        <v>2370</v>
      </c>
      <c r="S632" s="507" t="s">
        <v>3817</v>
      </c>
      <c r="T632" s="1580" t="s">
        <v>3242</v>
      </c>
      <c r="U632" s="611"/>
      <c r="V632" s="611"/>
      <c r="W632" s="611"/>
      <c r="X632" s="611"/>
      <c r="Y632" s="611"/>
      <c r="Z632" s="611"/>
      <c r="AA632" s="611"/>
    </row>
    <row r="633" spans="1:27" ht="12" customHeight="1">
      <c r="A633" s="611"/>
      <c r="B633" s="612"/>
      <c r="C633" s="611"/>
      <c r="D633" s="611"/>
      <c r="E633" s="611"/>
      <c r="F633" s="611"/>
      <c r="G633" s="611"/>
      <c r="H633" s="611"/>
      <c r="I633" s="611"/>
      <c r="J633" s="634" t="s">
        <v>2265</v>
      </c>
      <c r="K633" s="635"/>
      <c r="L633" s="626"/>
      <c r="M633" s="627"/>
      <c r="N633" s="636" t="s">
        <v>2264</v>
      </c>
      <c r="O633" s="636" t="s">
        <v>3293</v>
      </c>
      <c r="P633" s="627" t="s">
        <v>1190</v>
      </c>
      <c r="Q633" s="611"/>
      <c r="R633" s="507" t="s">
        <v>1686</v>
      </c>
      <c r="S633" s="507"/>
      <c r="T633" s="1580" t="s">
        <v>3242</v>
      </c>
      <c r="U633" s="611"/>
      <c r="V633" s="611"/>
      <c r="W633" s="611"/>
      <c r="X633" s="611"/>
      <c r="Y633" s="611"/>
      <c r="Z633" s="611"/>
      <c r="AA633" s="611"/>
    </row>
    <row r="634" spans="1:27" ht="12" customHeight="1">
      <c r="A634" s="611"/>
      <c r="B634" s="612"/>
      <c r="C634" s="611"/>
      <c r="D634" s="611"/>
      <c r="E634" s="611"/>
      <c r="F634" s="611"/>
      <c r="G634" s="611"/>
      <c r="H634" s="611"/>
      <c r="I634" s="611"/>
      <c r="J634" s="634" t="s">
        <v>2267</v>
      </c>
      <c r="K634" s="635"/>
      <c r="L634" s="626"/>
      <c r="M634" s="627"/>
      <c r="N634" s="636" t="s">
        <v>2266</v>
      </c>
      <c r="O634" s="636" t="s">
        <v>257</v>
      </c>
      <c r="P634" s="627" t="s">
        <v>1191</v>
      </c>
      <c r="Q634" s="611"/>
      <c r="R634" s="507" t="s">
        <v>241</v>
      </c>
      <c r="S634" s="507" t="s">
        <v>215</v>
      </c>
      <c r="T634" s="1580" t="s">
        <v>3242</v>
      </c>
      <c r="U634" s="611"/>
      <c r="V634" s="611"/>
      <c r="W634" s="611"/>
      <c r="X634" s="611"/>
      <c r="Y634" s="611"/>
      <c r="Z634" s="611"/>
      <c r="AA634" s="611"/>
    </row>
    <row r="635" spans="1:27" ht="12" customHeight="1">
      <c r="A635" s="611"/>
      <c r="B635" s="612"/>
      <c r="C635" s="611"/>
      <c r="D635" s="611"/>
      <c r="E635" s="611"/>
      <c r="F635" s="611"/>
      <c r="G635" s="611"/>
      <c r="H635" s="611"/>
      <c r="I635" s="611"/>
      <c r="J635" s="634" t="s">
        <v>2269</v>
      </c>
      <c r="K635" s="635"/>
      <c r="L635" s="626"/>
      <c r="M635" s="627"/>
      <c r="N635" s="636" t="s">
        <v>2268</v>
      </c>
      <c r="O635" s="636" t="s">
        <v>2182</v>
      </c>
      <c r="P635" s="627" t="s">
        <v>1192</v>
      </c>
      <c r="Q635" s="611"/>
      <c r="R635" s="507" t="s">
        <v>1687</v>
      </c>
      <c r="S635" s="507" t="s">
        <v>232</v>
      </c>
      <c r="T635" s="1580" t="s">
        <v>3242</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2270</v>
      </c>
      <c r="O636" s="636" t="s">
        <v>3283</v>
      </c>
      <c r="P636" s="627" t="s">
        <v>1193</v>
      </c>
      <c r="Q636" s="611"/>
      <c r="R636" s="507" t="s">
        <v>3418</v>
      </c>
      <c r="S636" s="507" t="s">
        <v>1868</v>
      </c>
      <c r="T636" s="1580" t="s">
        <v>3242</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2027</v>
      </c>
      <c r="P637" s="627" t="s">
        <v>1194</v>
      </c>
      <c r="Q637" s="611"/>
      <c r="R637" s="507" t="s">
        <v>1688</v>
      </c>
      <c r="S637" s="507" t="s">
        <v>965</v>
      </c>
      <c r="T637" s="1580" t="s">
        <v>3242</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1195</v>
      </c>
      <c r="Q638" s="611"/>
      <c r="R638" s="507" t="s">
        <v>1689</v>
      </c>
      <c r="S638" s="507" t="s">
        <v>965</v>
      </c>
      <c r="T638" s="1580" t="s">
        <v>3242</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1469</v>
      </c>
      <c r="P639" s="627" t="s">
        <v>1196</v>
      </c>
      <c r="Q639" s="611"/>
      <c r="R639" s="507" t="s">
        <v>1690</v>
      </c>
      <c r="S639" s="507" t="s">
        <v>965</v>
      </c>
      <c r="T639" s="1580" t="s">
        <v>3242</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2271</v>
      </c>
      <c r="P640" s="627" t="s">
        <v>1197</v>
      </c>
      <c r="Q640" s="611"/>
      <c r="R640" s="507" t="s">
        <v>1691</v>
      </c>
      <c r="S640" s="507" t="s">
        <v>965</v>
      </c>
      <c r="T640" s="1580" t="s">
        <v>3242</v>
      </c>
      <c r="U640" s="611"/>
      <c r="V640" s="611"/>
      <c r="W640" s="611"/>
      <c r="X640" s="611"/>
      <c r="Y640" s="611"/>
      <c r="Z640" s="611"/>
      <c r="AA640" s="611"/>
    </row>
    <row r="641" spans="1:27" ht="12" customHeight="1">
      <c r="A641" s="611"/>
      <c r="B641" s="612"/>
      <c r="C641" s="611"/>
      <c r="D641" s="611"/>
      <c r="E641" s="611"/>
      <c r="F641" s="611"/>
      <c r="G641" s="611"/>
      <c r="H641" s="611"/>
      <c r="I641" s="611"/>
      <c r="J641" s="634" t="s">
        <v>1356</v>
      </c>
      <c r="K641" s="635"/>
      <c r="L641" s="626"/>
      <c r="M641" s="627"/>
      <c r="N641" s="636" t="s">
        <v>1357</v>
      </c>
      <c r="O641" s="636" t="s">
        <v>3759</v>
      </c>
      <c r="P641" s="627" t="s">
        <v>1198</v>
      </c>
      <c r="Q641" s="611"/>
      <c r="R641" s="507" t="s">
        <v>1692</v>
      </c>
      <c r="S641" s="507" t="s">
        <v>2665</v>
      </c>
      <c r="T641" s="1580" t="s">
        <v>3242</v>
      </c>
      <c r="U641" s="611"/>
      <c r="V641" s="611"/>
      <c r="W641" s="611"/>
      <c r="X641" s="611"/>
      <c r="Y641" s="611"/>
      <c r="Z641" s="611"/>
      <c r="AA641" s="611"/>
    </row>
    <row r="642" spans="1:27" ht="12" customHeight="1">
      <c r="A642" s="611"/>
      <c r="B642" s="612"/>
      <c r="C642" s="611"/>
      <c r="D642" s="611"/>
      <c r="E642" s="611"/>
      <c r="F642" s="611"/>
      <c r="G642" s="611"/>
      <c r="H642" s="611"/>
      <c r="I642" s="611"/>
      <c r="J642" s="634" t="s">
        <v>1217</v>
      </c>
      <c r="K642" s="635"/>
      <c r="L642" s="626"/>
      <c r="M642" s="627"/>
      <c r="N642" s="636" t="s">
        <v>1218</v>
      </c>
      <c r="O642" s="636" t="s">
        <v>3765</v>
      </c>
      <c r="P642" s="627" t="s">
        <v>1199</v>
      </c>
      <c r="Q642" s="611"/>
      <c r="R642" s="507" t="s">
        <v>1693</v>
      </c>
      <c r="S642" s="507" t="s">
        <v>1552</v>
      </c>
      <c r="T642" s="1580" t="s">
        <v>3242</v>
      </c>
      <c r="U642" s="611"/>
      <c r="V642" s="611"/>
      <c r="W642" s="611"/>
      <c r="X642" s="611"/>
      <c r="Y642" s="611"/>
      <c r="Z642" s="611"/>
      <c r="AA642" s="611"/>
    </row>
    <row r="643" spans="1:27" ht="12" customHeight="1">
      <c r="A643" s="611"/>
      <c r="B643" s="612"/>
      <c r="C643" s="611"/>
      <c r="D643" s="611"/>
      <c r="E643" s="611"/>
      <c r="F643" s="611"/>
      <c r="G643" s="611"/>
      <c r="H643" s="611"/>
      <c r="I643" s="611"/>
      <c r="J643" s="634" t="s">
        <v>1219</v>
      </c>
      <c r="K643" s="635"/>
      <c r="L643" s="626"/>
      <c r="M643" s="627"/>
      <c r="N643" s="636" t="s">
        <v>1537</v>
      </c>
      <c r="O643" s="636" t="s">
        <v>3821</v>
      </c>
      <c r="P643" s="627" t="s">
        <v>1200</v>
      </c>
      <c r="Q643" s="611"/>
      <c r="R643" s="507" t="s">
        <v>1694</v>
      </c>
      <c r="S643" s="507" t="s">
        <v>137</v>
      </c>
      <c r="T643" s="1580" t="s">
        <v>3242</v>
      </c>
      <c r="U643" s="611"/>
      <c r="V643" s="611"/>
      <c r="W643" s="611"/>
      <c r="X643" s="611"/>
      <c r="Y643" s="611"/>
      <c r="Z643" s="611"/>
      <c r="AA643" s="611"/>
    </row>
    <row r="644" spans="1:27" ht="12" customHeight="1">
      <c r="A644" s="611"/>
      <c r="B644" s="612"/>
      <c r="C644" s="611"/>
      <c r="D644" s="611"/>
      <c r="E644" s="611"/>
      <c r="F644" s="611"/>
      <c r="G644" s="611"/>
      <c r="H644" s="611"/>
      <c r="I644" s="611"/>
      <c r="J644" s="634" t="s">
        <v>1825</v>
      </c>
      <c r="K644" s="635"/>
      <c r="L644" s="626"/>
      <c r="M644" s="627"/>
      <c r="N644" s="507" t="s">
        <v>1697</v>
      </c>
      <c r="O644" s="507" t="s">
        <v>416</v>
      </c>
      <c r="P644" s="1580" t="s">
        <v>3242</v>
      </c>
      <c r="Q644" s="611"/>
      <c r="R644" s="507" t="s">
        <v>1695</v>
      </c>
      <c r="S644" s="507" t="s">
        <v>965</v>
      </c>
      <c r="T644" s="1580" t="s">
        <v>3242</v>
      </c>
      <c r="U644" s="611"/>
      <c r="V644" s="611"/>
      <c r="W644" s="611"/>
      <c r="X644" s="611"/>
      <c r="Y644" s="611"/>
      <c r="Z644" s="611"/>
      <c r="AA644" s="611"/>
    </row>
    <row r="645" spans="1:27" ht="12" customHeight="1">
      <c r="A645" s="611"/>
      <c r="B645" s="612"/>
      <c r="C645" s="611"/>
      <c r="D645" s="611"/>
      <c r="E645" s="611"/>
      <c r="F645" s="611"/>
      <c r="G645" s="611"/>
      <c r="H645" s="611"/>
      <c r="I645" s="611"/>
      <c r="J645" s="634" t="s">
        <v>1667</v>
      </c>
      <c r="K645" s="635"/>
      <c r="L645" s="626"/>
      <c r="M645" s="627"/>
      <c r="N645" s="636" t="s">
        <v>1826</v>
      </c>
      <c r="O645" s="636" t="s">
        <v>3027</v>
      </c>
      <c r="P645" s="627" t="s">
        <v>1201</v>
      </c>
      <c r="Q645" s="611"/>
      <c r="R645" s="507" t="s">
        <v>1696</v>
      </c>
      <c r="S645" s="507" t="s">
        <v>412</v>
      </c>
      <c r="T645" s="1580" t="s">
        <v>3242</v>
      </c>
      <c r="U645" s="611"/>
      <c r="V645" s="611"/>
      <c r="W645" s="611"/>
      <c r="X645" s="611"/>
      <c r="Y645" s="611"/>
      <c r="Z645" s="611"/>
      <c r="AA645" s="611"/>
    </row>
    <row r="646" spans="1:27" ht="12" customHeight="1">
      <c r="A646" s="611"/>
      <c r="B646" s="612"/>
      <c r="C646" s="611"/>
      <c r="D646" s="611"/>
      <c r="E646" s="611"/>
      <c r="F646" s="611"/>
      <c r="G646" s="611"/>
      <c r="H646" s="611"/>
      <c r="I646" s="611"/>
      <c r="J646" s="634" t="s">
        <v>1668</v>
      </c>
      <c r="K646" s="635"/>
      <c r="L646" s="626"/>
      <c r="M646" s="627"/>
      <c r="N646" s="636" t="s">
        <v>1669</v>
      </c>
      <c r="O646" s="636" t="s">
        <v>1729</v>
      </c>
      <c r="P646" s="627" t="s">
        <v>1202</v>
      </c>
      <c r="Q646" s="611"/>
      <c r="R646" s="507" t="s">
        <v>1697</v>
      </c>
      <c r="S646" s="507" t="s">
        <v>416</v>
      </c>
      <c r="T646" s="1580" t="s">
        <v>3242</v>
      </c>
      <c r="U646" s="611"/>
      <c r="V646" s="611"/>
      <c r="W646" s="611"/>
      <c r="X646" s="611"/>
      <c r="Y646" s="611"/>
      <c r="Z646" s="611"/>
      <c r="AA646" s="611"/>
    </row>
    <row r="647" spans="1:27" ht="12" customHeight="1">
      <c r="A647" s="611"/>
      <c r="B647" s="612"/>
      <c r="C647" s="611"/>
      <c r="D647" s="611"/>
      <c r="E647" s="611"/>
      <c r="F647" s="611"/>
      <c r="G647" s="611"/>
      <c r="H647" s="611"/>
      <c r="I647" s="611"/>
      <c r="J647" s="634" t="s">
        <v>1670</v>
      </c>
      <c r="K647" s="635"/>
      <c r="L647" s="626"/>
      <c r="M647" s="627"/>
      <c r="N647" s="636" t="s">
        <v>3398</v>
      </c>
      <c r="O647" s="636" t="s">
        <v>3276</v>
      </c>
      <c r="P647" s="627" t="s">
        <v>1203</v>
      </c>
      <c r="Q647" s="611"/>
      <c r="R647" s="507" t="s">
        <v>1421</v>
      </c>
      <c r="S647" s="507" t="s">
        <v>2015</v>
      </c>
      <c r="T647" s="1580" t="s">
        <v>3242</v>
      </c>
      <c r="U647" s="611"/>
      <c r="V647" s="611"/>
      <c r="W647" s="611"/>
      <c r="X647" s="611"/>
      <c r="Y647" s="611"/>
      <c r="Z647" s="611"/>
      <c r="AA647" s="611"/>
    </row>
    <row r="648" spans="1:27" ht="12" customHeight="1">
      <c r="A648" s="611"/>
      <c r="B648" s="612"/>
      <c r="C648" s="611"/>
      <c r="D648" s="611"/>
      <c r="E648" s="611"/>
      <c r="F648" s="611"/>
      <c r="G648" s="611"/>
      <c r="H648" s="611"/>
      <c r="I648" s="611"/>
      <c r="J648" s="634" t="s">
        <v>3397</v>
      </c>
      <c r="K648" s="635"/>
      <c r="L648" s="626"/>
      <c r="M648" s="627"/>
      <c r="N648" s="636" t="s">
        <v>3400</v>
      </c>
      <c r="O648" s="636" t="s">
        <v>1003</v>
      </c>
      <c r="P648" s="627" t="s">
        <v>1204</v>
      </c>
      <c r="Q648" s="611"/>
      <c r="R648" s="507" t="s">
        <v>1698</v>
      </c>
      <c r="S648" s="507" t="s">
        <v>1011</v>
      </c>
      <c r="T648" s="1580" t="s">
        <v>3242</v>
      </c>
      <c r="U648" s="611"/>
      <c r="V648" s="611"/>
      <c r="W648" s="611"/>
      <c r="X648" s="611"/>
      <c r="Y648" s="611"/>
      <c r="Z648" s="611"/>
      <c r="AA648" s="611"/>
    </row>
    <row r="649" spans="1:27" ht="12" customHeight="1">
      <c r="A649" s="611"/>
      <c r="B649" s="612"/>
      <c r="C649" s="611"/>
      <c r="D649" s="611"/>
      <c r="E649" s="611"/>
      <c r="F649" s="611"/>
      <c r="G649" s="611"/>
      <c r="H649" s="611"/>
      <c r="I649" s="611"/>
      <c r="J649" s="634" t="s">
        <v>3399</v>
      </c>
      <c r="K649" s="635"/>
      <c r="L649" s="626"/>
      <c r="M649" s="627"/>
      <c r="N649" s="636" t="s">
        <v>2800</v>
      </c>
      <c r="O649" s="636" t="s">
        <v>1223</v>
      </c>
      <c r="P649" s="627" t="s">
        <v>1205</v>
      </c>
      <c r="Q649" s="611"/>
      <c r="R649" s="507" t="s">
        <v>1699</v>
      </c>
      <c r="S649" s="507" t="s">
        <v>2271</v>
      </c>
      <c r="T649" s="1580" t="s">
        <v>3242</v>
      </c>
      <c r="U649" s="611"/>
      <c r="V649" s="611"/>
      <c r="W649" s="611"/>
      <c r="X649" s="611"/>
      <c r="Y649" s="611"/>
      <c r="Z649" s="611"/>
      <c r="AA649" s="611"/>
    </row>
    <row r="650" spans="1:27" ht="12" customHeight="1">
      <c r="A650" s="611"/>
      <c r="B650" s="612"/>
      <c r="C650" s="611"/>
      <c r="D650" s="611"/>
      <c r="E650" s="611"/>
      <c r="F650" s="611"/>
      <c r="G650" s="611"/>
      <c r="H650" s="611"/>
      <c r="I650" s="611"/>
      <c r="J650" s="634" t="s">
        <v>2799</v>
      </c>
      <c r="K650" s="635"/>
      <c r="L650" s="626"/>
      <c r="M650" s="627"/>
      <c r="N650" s="636" t="s">
        <v>3808</v>
      </c>
      <c r="O650" s="636" t="s">
        <v>3087</v>
      </c>
      <c r="P650" s="627" t="s">
        <v>1206</v>
      </c>
      <c r="Q650" s="611"/>
      <c r="R650" s="507" t="s">
        <v>1700</v>
      </c>
      <c r="S650" s="507" t="s">
        <v>965</v>
      </c>
      <c r="T650" s="1580" t="s">
        <v>3242</v>
      </c>
      <c r="U650" s="611"/>
      <c r="V650" s="611"/>
      <c r="W650" s="611"/>
      <c r="X650" s="611"/>
      <c r="Y650" s="611"/>
      <c r="Z650" s="611"/>
      <c r="AA650" s="611"/>
    </row>
    <row r="651" spans="1:27" ht="12" customHeight="1">
      <c r="A651" s="611"/>
      <c r="B651" s="612"/>
      <c r="C651" s="611"/>
      <c r="D651" s="611"/>
      <c r="E651" s="611"/>
      <c r="F651" s="611"/>
      <c r="G651" s="611"/>
      <c r="H651" s="611"/>
      <c r="I651" s="611"/>
      <c r="J651" s="634" t="s">
        <v>3807</v>
      </c>
      <c r="K651" s="635"/>
      <c r="L651" s="626"/>
      <c r="M651" s="627"/>
      <c r="N651" s="636" t="s">
        <v>3269</v>
      </c>
      <c r="O651" s="636" t="s">
        <v>1868</v>
      </c>
      <c r="P651" s="627" t="s">
        <v>1207</v>
      </c>
      <c r="Q651" s="611"/>
      <c r="R651" s="507" t="s">
        <v>1701</v>
      </c>
      <c r="S651" s="507" t="s">
        <v>1003</v>
      </c>
      <c r="T651" s="1580" t="s">
        <v>3242</v>
      </c>
      <c r="U651" s="611"/>
      <c r="V651" s="611"/>
      <c r="W651" s="611"/>
      <c r="X651" s="611"/>
      <c r="Y651" s="611"/>
      <c r="Z651" s="611"/>
      <c r="AA651" s="611"/>
    </row>
    <row r="652" spans="1:27" ht="12" customHeight="1">
      <c r="A652" s="611"/>
      <c r="B652" s="612"/>
      <c r="C652" s="611"/>
      <c r="D652" s="611"/>
      <c r="E652" s="611"/>
      <c r="F652" s="611"/>
      <c r="G652" s="611"/>
      <c r="H652" s="611"/>
      <c r="I652" s="611"/>
      <c r="J652" s="634" t="s">
        <v>3268</v>
      </c>
      <c r="K652" s="635"/>
      <c r="L652" s="626"/>
      <c r="M652" s="627"/>
      <c r="N652" s="636" t="s">
        <v>2516</v>
      </c>
      <c r="O652" s="636" t="s">
        <v>1005</v>
      </c>
      <c r="P652" s="627" t="s">
        <v>748</v>
      </c>
      <c r="Q652" s="611"/>
      <c r="R652" s="507" t="s">
        <v>1702</v>
      </c>
      <c r="S652" s="507" t="s">
        <v>215</v>
      </c>
      <c r="T652" s="1580" t="s">
        <v>3242</v>
      </c>
      <c r="U652" s="611"/>
      <c r="V652" s="611"/>
      <c r="W652" s="611"/>
      <c r="X652" s="611"/>
      <c r="Y652" s="611"/>
      <c r="Z652" s="611"/>
      <c r="AA652" s="611"/>
    </row>
    <row r="653" spans="1:27" ht="12" customHeight="1">
      <c r="A653" s="611"/>
      <c r="B653" s="612"/>
      <c r="C653" s="611"/>
      <c r="D653" s="611"/>
      <c r="E653" s="611"/>
      <c r="F653" s="611"/>
      <c r="G653" s="611"/>
      <c r="H653" s="611"/>
      <c r="I653" s="611"/>
      <c r="J653" s="634" t="s">
        <v>2514</v>
      </c>
      <c r="K653" s="635"/>
      <c r="L653" s="626"/>
      <c r="M653" s="627"/>
      <c r="N653" s="636" t="s">
        <v>1421</v>
      </c>
      <c r="O653" s="636" t="s">
        <v>2015</v>
      </c>
      <c r="P653" s="1579" t="s">
        <v>1413</v>
      </c>
      <c r="Q653" s="611"/>
      <c r="R653" s="507" t="s">
        <v>1703</v>
      </c>
      <c r="S653" s="507" t="s">
        <v>2982</v>
      </c>
      <c r="T653" s="1580" t="s">
        <v>3242</v>
      </c>
      <c r="U653" s="611"/>
      <c r="V653" s="611"/>
      <c r="W653" s="611"/>
      <c r="X653" s="611"/>
      <c r="Y653" s="611"/>
      <c r="Z653" s="611"/>
      <c r="AA653" s="611"/>
    </row>
    <row r="654" spans="1:27" ht="12" customHeight="1">
      <c r="A654" s="611"/>
      <c r="B654" s="612"/>
      <c r="C654" s="611"/>
      <c r="D654" s="611"/>
      <c r="E654" s="611"/>
      <c r="F654" s="611"/>
      <c r="G654" s="611"/>
      <c r="H654" s="611"/>
      <c r="I654" s="611"/>
      <c r="J654" s="634" t="s">
        <v>2515</v>
      </c>
      <c r="K654" s="635"/>
      <c r="L654" s="626"/>
      <c r="M654" s="627"/>
      <c r="N654" s="507" t="s">
        <v>1421</v>
      </c>
      <c r="O654" s="507" t="s">
        <v>2015</v>
      </c>
      <c r="P654" s="1580" t="s">
        <v>3242</v>
      </c>
      <c r="Q654" s="611"/>
      <c r="R654" s="507" t="s">
        <v>1704</v>
      </c>
      <c r="S654" s="507" t="s">
        <v>3085</v>
      </c>
      <c r="T654" s="1580" t="s">
        <v>3242</v>
      </c>
      <c r="U654" s="611"/>
      <c r="V654" s="611"/>
      <c r="W654" s="611"/>
      <c r="X654" s="611"/>
      <c r="Y654" s="611"/>
      <c r="Z654" s="611"/>
      <c r="AA654" s="611"/>
    </row>
    <row r="655" spans="1:27" ht="12" customHeight="1">
      <c r="A655" s="611"/>
      <c r="B655" s="612"/>
      <c r="C655" s="611"/>
      <c r="D655" s="611"/>
      <c r="E655" s="611"/>
      <c r="F655" s="611"/>
      <c r="G655" s="611"/>
      <c r="H655" s="611"/>
      <c r="I655" s="611"/>
      <c r="J655" s="634" t="s">
        <v>2517</v>
      </c>
      <c r="K655" s="635"/>
      <c r="L655" s="626"/>
      <c r="M655" s="627"/>
      <c r="N655" s="636" t="s">
        <v>2519</v>
      </c>
      <c r="O655" s="636" t="s">
        <v>3897</v>
      </c>
      <c r="P655" s="627" t="s">
        <v>749</v>
      </c>
      <c r="Q655" s="611"/>
      <c r="R655" s="507" t="s">
        <v>1705</v>
      </c>
      <c r="S655" s="507" t="s">
        <v>965</v>
      </c>
      <c r="T655" s="1580" t="s">
        <v>3242</v>
      </c>
      <c r="U655" s="611"/>
      <c r="V655" s="611"/>
      <c r="W655" s="611"/>
      <c r="X655" s="611"/>
      <c r="Y655" s="611"/>
      <c r="Z655" s="611"/>
      <c r="AA655" s="611"/>
    </row>
    <row r="656" spans="1:27" ht="12" customHeight="1">
      <c r="A656" s="611"/>
      <c r="B656" s="612"/>
      <c r="C656" s="611"/>
      <c r="D656" s="611"/>
      <c r="E656" s="611"/>
      <c r="F656" s="611"/>
      <c r="G656" s="611"/>
      <c r="H656" s="611"/>
      <c r="I656" s="611"/>
      <c r="J656" s="634" t="s">
        <v>2518</v>
      </c>
      <c r="K656" s="635"/>
      <c r="L656" s="626"/>
      <c r="M656" s="627"/>
      <c r="N656" s="636" t="s">
        <v>2522</v>
      </c>
      <c r="O656" s="636" t="s">
        <v>2541</v>
      </c>
      <c r="P656" s="627" t="s">
        <v>2522</v>
      </c>
      <c r="Q656" s="611"/>
      <c r="R656" s="507" t="s">
        <v>1706</v>
      </c>
      <c r="S656" s="507" t="s">
        <v>2665</v>
      </c>
      <c r="T656" s="1580" t="s">
        <v>3242</v>
      </c>
      <c r="U656" s="611"/>
      <c r="V656" s="611"/>
      <c r="W656" s="611"/>
      <c r="X656" s="611"/>
      <c r="Y656" s="611"/>
      <c r="Z656" s="611"/>
      <c r="AA656" s="611"/>
    </row>
    <row r="657" spans="1:27" ht="12" customHeight="1">
      <c r="A657" s="611"/>
      <c r="B657" s="612"/>
      <c r="C657" s="611"/>
      <c r="D657" s="611"/>
      <c r="E657" s="611"/>
      <c r="F657" s="611"/>
      <c r="G657" s="611"/>
      <c r="H657" s="611"/>
      <c r="I657" s="611"/>
      <c r="J657" s="634" t="s">
        <v>2520</v>
      </c>
      <c r="K657" s="635"/>
      <c r="L657" s="626"/>
      <c r="M657" s="627"/>
      <c r="N657" s="507" t="s">
        <v>1699</v>
      </c>
      <c r="O657" s="507" t="s">
        <v>2271</v>
      </c>
      <c r="P657" s="1580" t="s">
        <v>3242</v>
      </c>
      <c r="Q657" s="611"/>
      <c r="R657" s="507" t="s">
        <v>1707</v>
      </c>
      <c r="S657" s="507" t="s">
        <v>3762</v>
      </c>
      <c r="T657" s="1580" t="s">
        <v>3242</v>
      </c>
      <c r="U657" s="611"/>
      <c r="V657" s="611"/>
      <c r="W657" s="611"/>
      <c r="X657" s="611"/>
      <c r="Y657" s="611"/>
      <c r="Z657" s="611"/>
      <c r="AA657" s="611"/>
    </row>
    <row r="658" spans="1:27" ht="12" customHeight="1">
      <c r="A658" s="611"/>
      <c r="B658" s="612"/>
      <c r="C658" s="611"/>
      <c r="D658" s="611"/>
      <c r="E658" s="611"/>
      <c r="F658" s="611"/>
      <c r="G658" s="611"/>
      <c r="H658" s="611"/>
      <c r="I658" s="611"/>
      <c r="J658" s="634" t="s">
        <v>2521</v>
      </c>
      <c r="K658" s="635"/>
      <c r="L658" s="626"/>
      <c r="M658" s="627"/>
      <c r="N658" s="636" t="s">
        <v>3661</v>
      </c>
      <c r="O658" s="636" t="s">
        <v>120</v>
      </c>
      <c r="P658" s="627" t="s">
        <v>750</v>
      </c>
      <c r="Q658" s="611"/>
      <c r="R658" s="507" t="s">
        <v>1708</v>
      </c>
      <c r="S658" s="507" t="s">
        <v>215</v>
      </c>
      <c r="T658" s="1580" t="s">
        <v>3242</v>
      </c>
      <c r="U658" s="611"/>
      <c r="V658" s="611"/>
      <c r="W658" s="611"/>
      <c r="X658" s="611"/>
      <c r="Y658" s="611"/>
      <c r="Z658" s="611"/>
      <c r="AA658" s="611"/>
    </row>
    <row r="659" spans="1:27" ht="12" customHeight="1">
      <c r="A659" s="611"/>
      <c r="B659" s="612"/>
      <c r="C659" s="611"/>
      <c r="D659" s="611"/>
      <c r="E659" s="611"/>
      <c r="F659" s="611"/>
      <c r="G659" s="611"/>
      <c r="H659" s="611"/>
      <c r="I659" s="611"/>
      <c r="J659" s="634" t="s">
        <v>2523</v>
      </c>
      <c r="K659" s="635"/>
      <c r="L659" s="626"/>
      <c r="M659" s="627"/>
      <c r="N659" s="636" t="s">
        <v>1398</v>
      </c>
      <c r="O659" s="636" t="s">
        <v>1868</v>
      </c>
      <c r="P659" s="627" t="s">
        <v>751</v>
      </c>
      <c r="Q659" s="611"/>
      <c r="R659" s="507" t="s">
        <v>1709</v>
      </c>
      <c r="S659" s="507" t="s">
        <v>215</v>
      </c>
      <c r="T659" s="1580" t="s">
        <v>3242</v>
      </c>
      <c r="U659" s="611"/>
      <c r="V659" s="611"/>
      <c r="W659" s="611"/>
      <c r="X659" s="611"/>
      <c r="Y659" s="611"/>
      <c r="Z659" s="611"/>
      <c r="AA659" s="611"/>
    </row>
    <row r="660" spans="1:27" ht="12" customHeight="1">
      <c r="A660" s="611"/>
      <c r="B660" s="612"/>
      <c r="C660" s="611"/>
      <c r="D660" s="611"/>
      <c r="E660" s="611"/>
      <c r="F660" s="611"/>
      <c r="G660" s="611"/>
      <c r="H660" s="611"/>
      <c r="I660" s="611"/>
      <c r="J660" s="634" t="s">
        <v>3662</v>
      </c>
      <c r="K660" s="635"/>
      <c r="L660" s="626"/>
      <c r="M660" s="627"/>
      <c r="N660" s="636" t="s">
        <v>2004</v>
      </c>
      <c r="O660" s="636" t="s">
        <v>2980</v>
      </c>
      <c r="P660" s="627" t="s">
        <v>752</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2031</v>
      </c>
      <c r="P661" s="627" t="s">
        <v>753</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1602</v>
      </c>
      <c r="K662" s="635"/>
      <c r="L662" s="626"/>
      <c r="M662" s="627"/>
      <c r="N662" s="636" t="s">
        <v>1604</v>
      </c>
      <c r="O662" s="636" t="s">
        <v>2662</v>
      </c>
      <c r="P662" s="627" t="s">
        <v>754</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1603</v>
      </c>
      <c r="K663" s="635"/>
      <c r="L663" s="626"/>
      <c r="M663" s="627"/>
      <c r="N663" s="636" t="s">
        <v>2028</v>
      </c>
      <c r="O663" s="636" t="s">
        <v>215</v>
      </c>
      <c r="P663" s="627" t="s">
        <v>755</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1605</v>
      </c>
      <c r="K664" s="635"/>
      <c r="L664" s="626"/>
      <c r="M664" s="627"/>
      <c r="N664" s="636" t="s">
        <v>3815</v>
      </c>
      <c r="O664" s="636" t="s">
        <v>1463</v>
      </c>
      <c r="P664" s="627" t="s">
        <v>756</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3595</v>
      </c>
      <c r="K665" s="635"/>
      <c r="L665" s="626"/>
      <c r="M665" s="627"/>
      <c r="N665" s="507" t="s">
        <v>1700</v>
      </c>
      <c r="O665" s="507" t="s">
        <v>965</v>
      </c>
      <c r="P665" s="1580" t="s">
        <v>3242</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3814</v>
      </c>
      <c r="K666" s="635"/>
      <c r="L666" s="626"/>
      <c r="M666" s="627"/>
      <c r="N666" s="636" t="s">
        <v>3276</v>
      </c>
      <c r="O666" s="636" t="s">
        <v>122</v>
      </c>
      <c r="P666" s="627" t="s">
        <v>757</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3080</v>
      </c>
      <c r="K667" s="635"/>
      <c r="L667" s="626"/>
      <c r="M667" s="627"/>
      <c r="N667" s="636" t="s">
        <v>2372</v>
      </c>
      <c r="O667" s="636" t="s">
        <v>2371</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1540</v>
      </c>
      <c r="K668" s="635"/>
      <c r="L668" s="626"/>
      <c r="M668" s="627"/>
      <c r="N668" s="636" t="s">
        <v>2203</v>
      </c>
      <c r="O668" s="636" t="s">
        <v>3820</v>
      </c>
      <c r="P668" s="627" t="s">
        <v>758</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1347</v>
      </c>
      <c r="K669" s="635"/>
      <c r="L669" s="626"/>
      <c r="M669" s="627"/>
      <c r="N669" s="636" t="s">
        <v>2205</v>
      </c>
      <c r="O669" s="636" t="s">
        <v>421</v>
      </c>
      <c r="P669" s="627" t="s">
        <v>759</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2202</v>
      </c>
      <c r="K670" s="635"/>
      <c r="L670" s="626"/>
      <c r="M670" s="627"/>
      <c r="N670" s="507" t="s">
        <v>1701</v>
      </c>
      <c r="O670" s="507" t="s">
        <v>1003</v>
      </c>
      <c r="P670" s="1580" t="s">
        <v>3242</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2204</v>
      </c>
      <c r="K671" s="635"/>
      <c r="L671" s="626"/>
      <c r="M671" s="627"/>
      <c r="N671" s="636" t="s">
        <v>2008</v>
      </c>
      <c r="O671" s="636" t="s">
        <v>3289</v>
      </c>
      <c r="P671" s="627" t="s">
        <v>760</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2206</v>
      </c>
      <c r="K672" s="635"/>
      <c r="L672" s="626"/>
      <c r="M672" s="627"/>
      <c r="N672" s="636" t="s">
        <v>2010</v>
      </c>
      <c r="O672" s="636" t="s">
        <v>3820</v>
      </c>
      <c r="P672" s="627" t="s">
        <v>761</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2007</v>
      </c>
      <c r="K673" s="635"/>
      <c r="L673" s="626"/>
      <c r="M673" s="627"/>
      <c r="N673" s="636" t="s">
        <v>3070</v>
      </c>
      <c r="O673" s="636" t="s">
        <v>1739</v>
      </c>
      <c r="P673" s="627" t="s">
        <v>762</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2009</v>
      </c>
      <c r="K674" s="635"/>
      <c r="L674" s="626"/>
      <c r="M674" s="627"/>
      <c r="N674" s="636" t="s">
        <v>1225</v>
      </c>
      <c r="O674" s="636" t="s">
        <v>411</v>
      </c>
      <c r="P674" s="627" t="s">
        <v>763</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3069</v>
      </c>
      <c r="K675" s="635"/>
      <c r="L675" s="626"/>
      <c r="M675" s="627"/>
      <c r="N675" s="636" t="s">
        <v>1952</v>
      </c>
      <c r="O675" s="636" t="s">
        <v>1016</v>
      </c>
      <c r="P675" s="627" t="s">
        <v>764</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1224</v>
      </c>
      <c r="K676" s="635"/>
      <c r="L676" s="626"/>
      <c r="M676" s="627"/>
      <c r="N676" s="507" t="s">
        <v>1702</v>
      </c>
      <c r="O676" s="507" t="s">
        <v>215</v>
      </c>
      <c r="P676" s="1580" t="s">
        <v>3242</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1951</v>
      </c>
      <c r="K677" s="635"/>
      <c r="L677" s="626"/>
      <c r="M677" s="627"/>
      <c r="N677" s="636" t="s">
        <v>2947</v>
      </c>
      <c r="O677" s="636" t="s">
        <v>1737</v>
      </c>
      <c r="P677" s="627" t="s">
        <v>765</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2945</v>
      </c>
      <c r="K678" s="635"/>
      <c r="L678" s="626"/>
      <c r="M678" s="627"/>
      <c r="N678" s="636" t="s">
        <v>2949</v>
      </c>
      <c r="O678" s="636" t="s">
        <v>2181</v>
      </c>
      <c r="P678" s="627" t="s">
        <v>766</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2946</v>
      </c>
      <c r="K679" s="635"/>
      <c r="L679" s="626"/>
      <c r="M679" s="627"/>
      <c r="N679" s="636" t="s">
        <v>2951</v>
      </c>
      <c r="O679" s="636" t="s">
        <v>3762</v>
      </c>
      <c r="P679" s="627" t="s">
        <v>767</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2948</v>
      </c>
      <c r="K680" s="635"/>
      <c r="L680" s="626"/>
      <c r="M680" s="627"/>
      <c r="N680" s="636" t="s">
        <v>2953</v>
      </c>
      <c r="O680" s="636" t="s">
        <v>136</v>
      </c>
      <c r="P680" s="627" t="s">
        <v>768</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2950</v>
      </c>
      <c r="K681" s="635"/>
      <c r="L681" s="626"/>
      <c r="M681" s="627"/>
      <c r="N681" s="636" t="s">
        <v>743</v>
      </c>
      <c r="O681" s="636" t="s">
        <v>3088</v>
      </c>
      <c r="P681" s="627" t="s">
        <v>769</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2952</v>
      </c>
      <c r="K682" s="635"/>
      <c r="L682" s="626"/>
      <c r="M682" s="627"/>
      <c r="N682" s="636" t="s">
        <v>3825</v>
      </c>
      <c r="O682" s="636" t="s">
        <v>2984</v>
      </c>
      <c r="P682" s="627" t="s">
        <v>770</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742</v>
      </c>
      <c r="K683" s="635"/>
      <c r="L683" s="626"/>
      <c r="M683" s="627"/>
      <c r="N683" s="636" t="s">
        <v>3827</v>
      </c>
      <c r="O683" s="636" t="s">
        <v>3818</v>
      </c>
      <c r="P683" s="627" t="s">
        <v>771</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3824</v>
      </c>
      <c r="K684" s="635"/>
      <c r="L684" s="626"/>
      <c r="M684" s="627"/>
      <c r="N684" s="636" t="s">
        <v>1799</v>
      </c>
      <c r="O684" s="636" t="s">
        <v>408</v>
      </c>
      <c r="P684" s="627" t="s">
        <v>772</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3826</v>
      </c>
      <c r="K685" s="635"/>
      <c r="L685" s="626"/>
      <c r="M685" s="627"/>
      <c r="N685" s="636" t="s">
        <v>3804</v>
      </c>
      <c r="O685" s="636" t="s">
        <v>1469</v>
      </c>
      <c r="P685" s="627" t="s">
        <v>773</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1798</v>
      </c>
      <c r="K686" s="635"/>
      <c r="L686" s="626"/>
      <c r="M686" s="627"/>
      <c r="N686" s="636" t="s">
        <v>1399</v>
      </c>
      <c r="O686" s="636" t="s">
        <v>2036</v>
      </c>
      <c r="P686" s="627" t="s">
        <v>774</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3803</v>
      </c>
      <c r="K687" s="635"/>
      <c r="L687" s="626"/>
      <c r="M687" s="627"/>
      <c r="N687" s="507" t="s">
        <v>1698</v>
      </c>
      <c r="O687" s="507" t="s">
        <v>1011</v>
      </c>
      <c r="P687" s="1580" t="s">
        <v>3242</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3805</v>
      </c>
      <c r="K688" s="635"/>
      <c r="L688" s="626"/>
      <c r="M688" s="627"/>
      <c r="N688" s="636" t="s">
        <v>2285</v>
      </c>
      <c r="O688" s="636" t="s">
        <v>424</v>
      </c>
      <c r="P688" s="627" t="s">
        <v>775</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2283</v>
      </c>
      <c r="K689" s="635"/>
      <c r="L689" s="626"/>
      <c r="M689" s="627"/>
      <c r="N689" s="636" t="s">
        <v>3198</v>
      </c>
      <c r="O689" s="636" t="s">
        <v>2029</v>
      </c>
      <c r="P689" s="627" t="s">
        <v>776</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2284</v>
      </c>
      <c r="K690" s="635"/>
      <c r="L690" s="626"/>
      <c r="M690" s="627"/>
      <c r="N690" s="636" t="s">
        <v>2526</v>
      </c>
      <c r="O690" s="636" t="s">
        <v>2015</v>
      </c>
      <c r="P690" s="627" t="s">
        <v>777</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3196</v>
      </c>
      <c r="K691" s="635"/>
      <c r="L691" s="626"/>
      <c r="M691" s="627"/>
      <c r="N691" s="636" t="s">
        <v>1533</v>
      </c>
      <c r="O691" s="636" t="s">
        <v>3371</v>
      </c>
      <c r="P691" s="627" t="s">
        <v>778</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3197</v>
      </c>
      <c r="K692" s="635"/>
      <c r="L692" s="626"/>
      <c r="M692" s="627"/>
      <c r="N692" s="636" t="s">
        <v>1535</v>
      </c>
      <c r="O692" s="636" t="s">
        <v>415</v>
      </c>
      <c r="P692" s="627" t="s">
        <v>544</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2525</v>
      </c>
      <c r="K693" s="635"/>
      <c r="L693" s="626"/>
      <c r="M693" s="627"/>
      <c r="N693" s="636" t="s">
        <v>3782</v>
      </c>
      <c r="O693" s="636" t="s">
        <v>965</v>
      </c>
      <c r="P693" s="627" t="s">
        <v>545</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2527</v>
      </c>
      <c r="K694" s="635"/>
      <c r="L694" s="626"/>
      <c r="M694" s="627"/>
      <c r="N694" s="636" t="s">
        <v>2963</v>
      </c>
      <c r="O694" s="636" t="s">
        <v>136</v>
      </c>
      <c r="P694" s="627" t="s">
        <v>546</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1532</v>
      </c>
      <c r="K695" s="635"/>
      <c r="L695" s="626"/>
      <c r="M695" s="627"/>
      <c r="N695" s="636" t="s">
        <v>2966</v>
      </c>
      <c r="O695" s="636" t="s">
        <v>3371</v>
      </c>
      <c r="P695" s="627" t="s">
        <v>547</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1534</v>
      </c>
      <c r="K696" s="635"/>
      <c r="L696" s="626"/>
      <c r="M696" s="627"/>
      <c r="N696" s="636" t="s">
        <v>2968</v>
      </c>
      <c r="O696" s="636" t="s">
        <v>218</v>
      </c>
      <c r="P696" s="627" t="s">
        <v>548</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1536</v>
      </c>
      <c r="K697" s="635"/>
      <c r="L697" s="626"/>
      <c r="M697" s="627"/>
      <c r="N697" s="636" t="s">
        <v>987</v>
      </c>
      <c r="O697" s="636" t="s">
        <v>3636</v>
      </c>
      <c r="P697" s="627" t="s">
        <v>549</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3781</v>
      </c>
      <c r="K698" s="635"/>
      <c r="L698" s="626"/>
      <c r="M698" s="627"/>
      <c r="N698" s="636" t="s">
        <v>1400</v>
      </c>
      <c r="O698" s="636" t="s">
        <v>3280</v>
      </c>
      <c r="P698" s="627" t="s">
        <v>550</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3783</v>
      </c>
      <c r="K699" s="635"/>
      <c r="L699" s="626"/>
      <c r="M699" s="627"/>
      <c r="N699" s="507" t="s">
        <v>1703</v>
      </c>
      <c r="O699" s="507" t="s">
        <v>2982</v>
      </c>
      <c r="P699" s="1580" t="s">
        <v>3242</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3784</v>
      </c>
      <c r="K700" s="635"/>
      <c r="L700" s="626"/>
      <c r="M700" s="627"/>
      <c r="N700" s="507" t="s">
        <v>1704</v>
      </c>
      <c r="O700" s="507" t="s">
        <v>3085</v>
      </c>
      <c r="P700" s="1580" t="s">
        <v>3242</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2964</v>
      </c>
      <c r="K701" s="635"/>
      <c r="L701" s="626"/>
      <c r="M701" s="627"/>
      <c r="N701" s="636" t="s">
        <v>2190</v>
      </c>
      <c r="O701" s="636" t="s">
        <v>1872</v>
      </c>
      <c r="P701" s="627" t="s">
        <v>551</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2965</v>
      </c>
      <c r="K702" s="635"/>
      <c r="L702" s="626"/>
      <c r="M702" s="627"/>
      <c r="N702" s="636" t="s">
        <v>3452</v>
      </c>
      <c r="O702" s="636" t="s">
        <v>136</v>
      </c>
      <c r="P702" s="627" t="s">
        <v>552</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2967</v>
      </c>
      <c r="K703" s="635"/>
      <c r="L703" s="626"/>
      <c r="M703" s="627"/>
      <c r="N703" s="636" t="s">
        <v>2124</v>
      </c>
      <c r="O703" s="636" t="s">
        <v>3371</v>
      </c>
      <c r="P703" s="627" t="s">
        <v>553</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986</v>
      </c>
      <c r="K704" s="635"/>
      <c r="L704" s="626"/>
      <c r="M704" s="627"/>
      <c r="N704" s="636" t="s">
        <v>3387</v>
      </c>
      <c r="O704" s="636" t="s">
        <v>2988</v>
      </c>
      <c r="P704" s="627" t="s">
        <v>554</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988</v>
      </c>
      <c r="K705" s="635"/>
      <c r="L705" s="626"/>
      <c r="M705" s="627"/>
      <c r="N705" s="636" t="s">
        <v>3389</v>
      </c>
      <c r="O705" s="636" t="s">
        <v>3276</v>
      </c>
      <c r="P705" s="627" t="s">
        <v>555</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989</v>
      </c>
      <c r="K706" s="635"/>
      <c r="L706" s="626"/>
      <c r="M706" s="627"/>
      <c r="N706" s="636" t="s">
        <v>3391</v>
      </c>
      <c r="O706" s="636" t="s">
        <v>3636</v>
      </c>
      <c r="P706" s="627" t="s">
        <v>556</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3451</v>
      </c>
      <c r="K707" s="635"/>
      <c r="L707" s="626"/>
      <c r="M707" s="627"/>
      <c r="N707" s="636" t="s">
        <v>1748</v>
      </c>
      <c r="O707" s="636" t="s">
        <v>3287</v>
      </c>
      <c r="P707" s="627" t="s">
        <v>557</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1750</v>
      </c>
      <c r="O708" s="636" t="s">
        <v>1725</v>
      </c>
      <c r="P708" s="627" t="s">
        <v>558</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2125</v>
      </c>
      <c r="K709" s="635"/>
      <c r="L709" s="626"/>
      <c r="M709" s="627"/>
      <c r="N709" s="636" t="s">
        <v>3140</v>
      </c>
      <c r="O709" s="636" t="s">
        <v>410</v>
      </c>
      <c r="P709" s="627" t="s">
        <v>559</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3388</v>
      </c>
      <c r="K710" s="635"/>
      <c r="L710" s="626"/>
      <c r="M710" s="627"/>
      <c r="N710" s="636" t="s">
        <v>3046</v>
      </c>
      <c r="O710" s="636" t="s">
        <v>137</v>
      </c>
      <c r="P710" s="627" t="s">
        <v>560</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3390</v>
      </c>
      <c r="K711" s="635"/>
      <c r="L711" s="626"/>
      <c r="M711" s="627"/>
      <c r="N711" s="636" t="s">
        <v>3048</v>
      </c>
      <c r="O711" s="636" t="s">
        <v>419</v>
      </c>
      <c r="P711" s="627" t="s">
        <v>561</v>
      </c>
      <c r="Q711" s="1581"/>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2839</v>
      </c>
      <c r="K712" s="635"/>
      <c r="L712" s="626"/>
      <c r="M712" s="627"/>
      <c r="N712" s="636" t="s">
        <v>3050</v>
      </c>
      <c r="O712" s="636" t="s">
        <v>241</v>
      </c>
      <c r="P712" s="627" t="s">
        <v>562</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1749</v>
      </c>
      <c r="K713" s="635"/>
      <c r="L713" s="626"/>
      <c r="M713" s="627"/>
      <c r="N713" s="636" t="s">
        <v>669</v>
      </c>
      <c r="O713" s="636" t="s">
        <v>2016</v>
      </c>
      <c r="P713" s="627" t="s">
        <v>563</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3139</v>
      </c>
      <c r="K714" s="635"/>
      <c r="L714" s="626"/>
      <c r="M714" s="627"/>
      <c r="N714" s="636" t="s">
        <v>3194</v>
      </c>
      <c r="O714" s="636" t="s">
        <v>1223</v>
      </c>
      <c r="P714" s="627" t="s">
        <v>564</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3045</v>
      </c>
      <c r="K715" s="635"/>
      <c r="L715" s="626"/>
      <c r="M715" s="627"/>
      <c r="N715" s="636" t="s">
        <v>3222</v>
      </c>
      <c r="O715" s="636" t="s">
        <v>120</v>
      </c>
      <c r="P715" s="627" t="s">
        <v>1640</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3047</v>
      </c>
      <c r="K716" s="635"/>
      <c r="L716" s="626"/>
      <c r="M716" s="627"/>
      <c r="N716" s="636" t="s">
        <v>1422</v>
      </c>
      <c r="O716" s="636" t="s">
        <v>3085</v>
      </c>
      <c r="P716" s="1579" t="s">
        <v>1413</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3049</v>
      </c>
      <c r="K717" s="635"/>
      <c r="L717" s="626"/>
      <c r="M717" s="627"/>
      <c r="N717" s="636" t="s">
        <v>3223</v>
      </c>
      <c r="O717" s="636" t="s">
        <v>3085</v>
      </c>
      <c r="P717" s="627" t="s">
        <v>565</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731</v>
      </c>
      <c r="K718" s="635"/>
      <c r="L718" s="626"/>
      <c r="M718" s="627"/>
      <c r="N718" s="636" t="s">
        <v>3224</v>
      </c>
      <c r="O718" s="636" t="s">
        <v>2663</v>
      </c>
      <c r="P718" s="627" t="s">
        <v>566</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668</v>
      </c>
      <c r="K719" s="635"/>
      <c r="L719" s="626"/>
      <c r="M719" s="627"/>
      <c r="N719" s="636" t="s">
        <v>3479</v>
      </c>
      <c r="O719" s="636" t="s">
        <v>2938</v>
      </c>
      <c r="P719" s="627" t="s">
        <v>567</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3193</v>
      </c>
      <c r="K720" s="635"/>
      <c r="L720" s="626"/>
      <c r="M720" s="627"/>
      <c r="N720" s="636" t="s">
        <v>3480</v>
      </c>
      <c r="O720" s="636" t="s">
        <v>215</v>
      </c>
      <c r="P720" s="627" t="s">
        <v>568</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3221</v>
      </c>
      <c r="K721" s="635"/>
      <c r="L721" s="626"/>
      <c r="M721" s="627"/>
      <c r="N721" s="636" t="s">
        <v>3481</v>
      </c>
      <c r="O721" s="636" t="s">
        <v>2665</v>
      </c>
      <c r="P721" s="627" t="s">
        <v>569</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0"/>
      <c r="K722" s="791"/>
      <c r="L722" s="791"/>
      <c r="M722" s="792"/>
      <c r="N722" s="636" t="s">
        <v>3482</v>
      </c>
      <c r="O722" s="636" t="s">
        <v>1737</v>
      </c>
      <c r="P722" s="627" t="s">
        <v>570</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3483</v>
      </c>
      <c r="O723" s="636" t="s">
        <v>3632</v>
      </c>
      <c r="P723" s="627" t="s">
        <v>571</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3392</v>
      </c>
      <c r="O724" s="636" t="s">
        <v>3281</v>
      </c>
      <c r="P724" s="627" t="s">
        <v>572</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2531</v>
      </c>
      <c r="O725" s="636" t="s">
        <v>3634</v>
      </c>
      <c r="P725" s="627" t="s">
        <v>573</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2532</v>
      </c>
      <c r="O726" s="636" t="s">
        <v>252</v>
      </c>
      <c r="P726" s="627" t="s">
        <v>574</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2704</v>
      </c>
      <c r="O727" s="636" t="s">
        <v>218</v>
      </c>
      <c r="P727" s="627" t="s">
        <v>575</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1705</v>
      </c>
      <c r="O728" s="507" t="s">
        <v>965</v>
      </c>
      <c r="P728" s="1580" t="s">
        <v>3242</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1401</v>
      </c>
      <c r="O729" s="636" t="s">
        <v>3026</v>
      </c>
      <c r="P729" s="627" t="s">
        <v>576</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2705</v>
      </c>
      <c r="O730" s="636" t="s">
        <v>3820</v>
      </c>
      <c r="P730" s="627" t="s">
        <v>577</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2706</v>
      </c>
      <c r="O731" s="636" t="s">
        <v>3371</v>
      </c>
      <c r="P731" s="627" t="s">
        <v>2706</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2707</v>
      </c>
      <c r="O732" s="636" t="s">
        <v>2665</v>
      </c>
      <c r="P732" s="627" t="s">
        <v>578</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2708</v>
      </c>
      <c r="O733" s="636" t="s">
        <v>215</v>
      </c>
      <c r="P733" s="627" t="s">
        <v>579</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2709</v>
      </c>
      <c r="O734" s="636" t="s">
        <v>1002</v>
      </c>
      <c r="P734" s="627" t="s">
        <v>580</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2710</v>
      </c>
      <c r="O735" s="636" t="s">
        <v>1550</v>
      </c>
      <c r="P735" s="627" t="s">
        <v>581</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2711</v>
      </c>
      <c r="O736" s="636" t="s">
        <v>1868</v>
      </c>
      <c r="P736" s="627" t="s">
        <v>2711</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2712</v>
      </c>
      <c r="O737" s="636" t="s">
        <v>1016</v>
      </c>
      <c r="P737" s="627" t="s">
        <v>582</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1706</v>
      </c>
      <c r="O738" s="507" t="s">
        <v>2665</v>
      </c>
      <c r="P738" s="1580" t="s">
        <v>3242</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2713</v>
      </c>
      <c r="O739" s="636" t="s">
        <v>241</v>
      </c>
      <c r="P739" s="627" t="s">
        <v>583</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2714</v>
      </c>
      <c r="O740" s="636" t="s">
        <v>232</v>
      </c>
      <c r="P740" s="627" t="s">
        <v>584</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2715</v>
      </c>
      <c r="O741" s="636" t="s">
        <v>3026</v>
      </c>
      <c r="P741" s="627" t="s">
        <v>585</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2716</v>
      </c>
      <c r="O742" s="636" t="s">
        <v>215</v>
      </c>
      <c r="P742" s="627" t="s">
        <v>586</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2717</v>
      </c>
      <c r="O743" s="636" t="s">
        <v>2980</v>
      </c>
      <c r="P743" s="627" t="s">
        <v>587</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2718</v>
      </c>
      <c r="O744" s="636" t="s">
        <v>2031</v>
      </c>
      <c r="P744" s="1579" t="s">
        <v>1413</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2719</v>
      </c>
      <c r="O745" s="636" t="s">
        <v>1550</v>
      </c>
      <c r="P745" s="627" t="s">
        <v>588</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2720</v>
      </c>
      <c r="O746" s="636" t="s">
        <v>1223</v>
      </c>
      <c r="P746" s="627" t="s">
        <v>589</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1707</v>
      </c>
      <c r="O747" s="507" t="s">
        <v>3762</v>
      </c>
      <c r="P747" s="1580" t="s">
        <v>3242</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2721</v>
      </c>
      <c r="O748" s="636" t="s">
        <v>410</v>
      </c>
      <c r="P748" s="627" t="s">
        <v>590</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2722</v>
      </c>
      <c r="O749" s="636" t="s">
        <v>424</v>
      </c>
      <c r="P749" s="627" t="s">
        <v>591</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2723</v>
      </c>
      <c r="O750" s="636" t="s">
        <v>220</v>
      </c>
      <c r="P750" s="627" t="s">
        <v>592</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2724</v>
      </c>
      <c r="O751" s="636" t="s">
        <v>3088</v>
      </c>
      <c r="P751" s="627" t="s">
        <v>593</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2725</v>
      </c>
      <c r="O752" s="636" t="s">
        <v>2182</v>
      </c>
      <c r="P752" s="627" t="s">
        <v>594</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2726</v>
      </c>
      <c r="O753" s="636" t="s">
        <v>2940</v>
      </c>
      <c r="P753" s="627" t="s">
        <v>595</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2727</v>
      </c>
      <c r="O754" s="636" t="s">
        <v>416</v>
      </c>
      <c r="P754" s="627" t="s">
        <v>596</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2728</v>
      </c>
      <c r="O755" s="636" t="s">
        <v>118</v>
      </c>
      <c r="P755" s="627" t="s">
        <v>597</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387</v>
      </c>
      <c r="O756" s="636" t="s">
        <v>3636</v>
      </c>
      <c r="P756" s="627" t="s">
        <v>598</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3632</v>
      </c>
      <c r="P757" s="627" t="s">
        <v>599</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388</v>
      </c>
      <c r="O758" s="636" t="s">
        <v>3903</v>
      </c>
      <c r="P758" s="627" t="s">
        <v>600</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389</v>
      </c>
      <c r="O759" s="636" t="s">
        <v>411</v>
      </c>
      <c r="P759" s="627" t="s">
        <v>601</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390</v>
      </c>
      <c r="O760" s="636" t="s">
        <v>3089</v>
      </c>
      <c r="P760" s="627" t="s">
        <v>602</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391</v>
      </c>
      <c r="O761" s="636" t="s">
        <v>2031</v>
      </c>
      <c r="P761" s="627" t="s">
        <v>603</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392</v>
      </c>
      <c r="O762" s="636" t="s">
        <v>2986</v>
      </c>
      <c r="P762" s="627" t="s">
        <v>604</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393</v>
      </c>
      <c r="O763" s="636" t="s">
        <v>124</v>
      </c>
      <c r="P763" s="1579" t="s">
        <v>1413</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394</v>
      </c>
      <c r="O764" s="636" t="s">
        <v>1014</v>
      </c>
      <c r="P764" s="627" t="s">
        <v>605</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2016</v>
      </c>
      <c r="P765" s="627" t="s">
        <v>606</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2294</v>
      </c>
      <c r="O766" s="636" t="s">
        <v>1016</v>
      </c>
      <c r="P766" s="627" t="s">
        <v>607</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1708</v>
      </c>
      <c r="O767" s="507" t="s">
        <v>215</v>
      </c>
      <c r="P767" s="1580" t="s">
        <v>3242</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2295</v>
      </c>
      <c r="O768" s="636" t="s">
        <v>1223</v>
      </c>
      <c r="P768" s="627" t="s">
        <v>608</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2296</v>
      </c>
      <c r="O769" s="636" t="s">
        <v>2807</v>
      </c>
      <c r="P769" s="627" t="s">
        <v>609</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2297</v>
      </c>
      <c r="O770" s="636" t="s">
        <v>1728</v>
      </c>
      <c r="P770" s="627" t="s">
        <v>610</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1709</v>
      </c>
      <c r="O771" s="507" t="s">
        <v>215</v>
      </c>
      <c r="P771" s="1580" t="s">
        <v>3242</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2298</v>
      </c>
      <c r="O772" s="636" t="s">
        <v>2015</v>
      </c>
      <c r="P772" s="627" t="s">
        <v>611</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2299</v>
      </c>
      <c r="O773" s="636" t="s">
        <v>221</v>
      </c>
      <c r="P773" s="627" t="s">
        <v>612</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2300</v>
      </c>
      <c r="O774" s="636" t="s">
        <v>2036</v>
      </c>
      <c r="P774" s="627" t="s">
        <v>613</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2301</v>
      </c>
      <c r="O775" s="636" t="s">
        <v>2940</v>
      </c>
      <c r="P775" s="627" t="s">
        <v>614</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2302</v>
      </c>
      <c r="O776" s="636" t="s">
        <v>3287</v>
      </c>
      <c r="P776" s="627" t="s">
        <v>615</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2303</v>
      </c>
      <c r="O777" s="636" t="s">
        <v>220</v>
      </c>
      <c r="P777" s="627" t="s">
        <v>616</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3596</v>
      </c>
      <c r="O778" s="636" t="s">
        <v>1016</v>
      </c>
      <c r="P778" s="627" t="s">
        <v>617</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3597</v>
      </c>
      <c r="O779" s="636" t="s">
        <v>1002</v>
      </c>
      <c r="P779" s="627" t="s">
        <v>618</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3598</v>
      </c>
      <c r="O780" s="636" t="s">
        <v>424</v>
      </c>
      <c r="P780" s="627" t="s">
        <v>619</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1425</v>
      </c>
      <c r="O781" s="636" t="s">
        <v>428</v>
      </c>
      <c r="P781" s="627" t="s">
        <v>620</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1426</v>
      </c>
      <c r="O782" s="636" t="s">
        <v>3085</v>
      </c>
      <c r="P782" s="627" t="s">
        <v>621</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1427</v>
      </c>
      <c r="O783" s="636" t="s">
        <v>2982</v>
      </c>
      <c r="P783" s="627" t="s">
        <v>622</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1428</v>
      </c>
      <c r="O784" s="636" t="s">
        <v>1728</v>
      </c>
      <c r="P784" s="627" t="s">
        <v>623</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3789</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March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D99" sqref="D99"/>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2011-043 Calypso, Palmetto, Fulton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951</v>
      </c>
      <c r="B3" s="465" t="s">
        <v>2913</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3060</v>
      </c>
      <c r="C5" s="465" t="s">
        <v>2909</v>
      </c>
      <c r="H5" s="1444" t="s">
        <v>4037</v>
      </c>
      <c r="I5" s="1190"/>
      <c r="J5" s="1190"/>
      <c r="K5" s="1190"/>
      <c r="L5" s="1190"/>
      <c r="M5" s="1190"/>
      <c r="N5" s="1191"/>
      <c r="O5" s="713" t="s">
        <v>3067</v>
      </c>
      <c r="P5" s="713"/>
      <c r="Q5" s="1444" t="s">
        <v>3932</v>
      </c>
      <c r="R5" s="1190"/>
      <c r="S5" s="1191"/>
    </row>
    <row r="6" spans="1:19" s="458" customFormat="1" ht="12.6" customHeight="1">
      <c r="D6" s="508"/>
      <c r="E6" s="464" t="s">
        <v>1642</v>
      </c>
      <c r="F6" s="472"/>
      <c r="H6" s="1444" t="s">
        <v>3936</v>
      </c>
      <c r="I6" s="1190"/>
      <c r="J6" s="1190"/>
      <c r="K6" s="1190"/>
      <c r="L6" s="1190"/>
      <c r="M6" s="1190"/>
      <c r="N6" s="1191"/>
      <c r="O6" s="713" t="s">
        <v>2776</v>
      </c>
      <c r="Q6" s="1444" t="s">
        <v>4036</v>
      </c>
      <c r="R6" s="1190"/>
      <c r="S6" s="1191"/>
    </row>
    <row r="7" spans="1:19" s="458" customFormat="1" ht="12.6" customHeight="1">
      <c r="D7" s="508"/>
      <c r="E7" s="464" t="s">
        <v>954</v>
      </c>
      <c r="H7" s="1444" t="s">
        <v>3937</v>
      </c>
      <c r="I7" s="1190"/>
      <c r="J7" s="1191"/>
      <c r="K7" s="1475" t="s">
        <v>1255</v>
      </c>
      <c r="L7" s="1444"/>
      <c r="M7" s="1190"/>
      <c r="N7" s="1191"/>
      <c r="O7" s="713" t="s">
        <v>2835</v>
      </c>
      <c r="Q7" s="1476"/>
      <c r="R7" s="1477"/>
      <c r="S7" s="1478"/>
    </row>
    <row r="8" spans="1:19" s="458" customFormat="1" ht="12.6" customHeight="1">
      <c r="D8" s="508"/>
      <c r="E8" s="464" t="s">
        <v>2831</v>
      </c>
      <c r="H8" s="1441" t="s">
        <v>1429</v>
      </c>
      <c r="I8" s="723" t="s">
        <v>1974</v>
      </c>
      <c r="J8" s="1479">
        <v>366091528</v>
      </c>
      <c r="K8" s="1191"/>
      <c r="L8" s="398" t="s">
        <v>1977</v>
      </c>
      <c r="N8" s="1480">
        <v>1</v>
      </c>
      <c r="O8" s="713" t="s">
        <v>3056</v>
      </c>
      <c r="Q8" s="1476"/>
      <c r="R8" s="1477"/>
      <c r="S8" s="1478"/>
    </row>
    <row r="9" spans="1:19" s="458" customFormat="1" ht="12.6" customHeight="1">
      <c r="D9" s="508"/>
      <c r="E9" s="464" t="s">
        <v>3062</v>
      </c>
      <c r="H9" s="1476">
        <v>8008594431</v>
      </c>
      <c r="I9" s="1478"/>
      <c r="J9" s="1481"/>
      <c r="K9" s="723" t="s">
        <v>2834</v>
      </c>
      <c r="L9" s="1482">
        <v>2516662836</v>
      </c>
      <c r="M9" s="1191"/>
      <c r="N9" s="466" t="s">
        <v>3061</v>
      </c>
      <c r="O9" s="1483" t="s">
        <v>3948</v>
      </c>
      <c r="P9" s="1484"/>
      <c r="Q9" s="1484"/>
      <c r="R9" s="1484"/>
      <c r="S9" s="1485"/>
    </row>
    <row r="10" spans="1:19" s="458" customFormat="1" ht="13.15" customHeight="1">
      <c r="D10" s="508"/>
      <c r="E10" s="441" t="s">
        <v>998</v>
      </c>
      <c r="H10" s="501"/>
      <c r="L10" s="550" t="s">
        <v>1975</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3063</v>
      </c>
      <c r="C12" s="465" t="s">
        <v>2910</v>
      </c>
      <c r="F12" s="465"/>
      <c r="G12" s="465"/>
      <c r="H12" s="465"/>
      <c r="I12" s="465"/>
      <c r="J12" s="465"/>
      <c r="K12" s="465"/>
      <c r="L12" s="397" t="s">
        <v>1972</v>
      </c>
      <c r="O12" s="1486" t="s">
        <v>1973</v>
      </c>
      <c r="P12" s="1486"/>
      <c r="Q12" s="1486"/>
      <c r="R12" s="1486"/>
      <c r="S12" s="1486"/>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3064</v>
      </c>
      <c r="D14" s="506" t="s">
        <v>3065</v>
      </c>
      <c r="H14" s="721"/>
      <c r="I14" s="721"/>
      <c r="J14" s="721"/>
      <c r="K14" s="459"/>
      <c r="L14" s="397" t="s">
        <v>1976</v>
      </c>
      <c r="M14" s="482"/>
      <c r="O14" s="1487" t="s">
        <v>1971</v>
      </c>
      <c r="P14" s="1487"/>
      <c r="Q14" s="1487"/>
      <c r="R14" s="1487"/>
      <c r="S14" s="1487"/>
    </row>
    <row r="15" spans="1:19" s="458" customFormat="1" ht="4.1500000000000004" customHeight="1">
      <c r="D15" s="510"/>
      <c r="E15" s="511"/>
      <c r="H15" s="1488"/>
      <c r="I15" s="1488"/>
      <c r="J15" s="1488"/>
      <c r="K15" s="714"/>
      <c r="L15" s="1488"/>
      <c r="M15" s="1488"/>
      <c r="N15" s="714"/>
      <c r="O15" s="1489"/>
      <c r="P15" s="1489"/>
      <c r="Q15" s="723"/>
      <c r="R15" s="1489"/>
      <c r="S15" s="1489"/>
    </row>
    <row r="16" spans="1:19" s="458" customFormat="1" ht="12.6" customHeight="1">
      <c r="D16" s="461" t="s">
        <v>3213</v>
      </c>
      <c r="E16" s="458" t="s">
        <v>2911</v>
      </c>
      <c r="H16" s="1444" t="s">
        <v>3933</v>
      </c>
      <c r="I16" s="1190"/>
      <c r="J16" s="1190"/>
      <c r="K16" s="1190"/>
      <c r="L16" s="1190"/>
      <c r="M16" s="1190"/>
      <c r="N16" s="1191"/>
      <c r="O16" s="713" t="s">
        <v>3067</v>
      </c>
      <c r="P16" s="713"/>
      <c r="Q16" s="1444" t="s">
        <v>3932</v>
      </c>
      <c r="R16" s="1190"/>
      <c r="S16" s="1191"/>
    </row>
    <row r="17" spans="4:19" s="458" customFormat="1" ht="12.6" customHeight="1">
      <c r="D17" s="508"/>
      <c r="E17" s="464" t="s">
        <v>1642</v>
      </c>
      <c r="F17" s="472"/>
      <c r="H17" s="1444" t="s">
        <v>3936</v>
      </c>
      <c r="I17" s="1190"/>
      <c r="J17" s="1190"/>
      <c r="K17" s="1190"/>
      <c r="L17" s="1190"/>
      <c r="M17" s="1190"/>
      <c r="N17" s="1191"/>
      <c r="O17" s="713" t="s">
        <v>2776</v>
      </c>
      <c r="Q17" s="1444" t="s">
        <v>4036</v>
      </c>
      <c r="R17" s="1190"/>
      <c r="S17" s="1191"/>
    </row>
    <row r="18" spans="4:19" s="458" customFormat="1" ht="12.6" customHeight="1">
      <c r="D18" s="508"/>
      <c r="E18" s="464" t="s">
        <v>954</v>
      </c>
      <c r="H18" s="1444" t="s">
        <v>3937</v>
      </c>
      <c r="I18" s="1190"/>
      <c r="J18" s="1191"/>
      <c r="O18" s="713" t="s">
        <v>2835</v>
      </c>
      <c r="Q18" s="1476"/>
      <c r="R18" s="1477"/>
      <c r="S18" s="1478"/>
    </row>
    <row r="19" spans="4:19" s="458" customFormat="1" ht="12.6" customHeight="1">
      <c r="D19" s="461"/>
      <c r="E19" s="464" t="s">
        <v>2831</v>
      </c>
      <c r="H19" s="1441" t="s">
        <v>1429</v>
      </c>
      <c r="I19" s="723" t="s">
        <v>1974</v>
      </c>
      <c r="J19" s="1479">
        <v>366091528</v>
      </c>
      <c r="K19" s="1191"/>
      <c r="L19" s="398" t="s">
        <v>1977</v>
      </c>
      <c r="N19" s="1480">
        <v>1</v>
      </c>
      <c r="O19" s="713" t="s">
        <v>3056</v>
      </c>
      <c r="Q19" s="1476"/>
      <c r="R19" s="1477"/>
      <c r="S19" s="1478"/>
    </row>
    <row r="20" spans="4:19" s="458" customFormat="1" ht="12.6" customHeight="1">
      <c r="D20" s="508"/>
      <c r="E20" s="464" t="s">
        <v>3062</v>
      </c>
      <c r="H20" s="1476">
        <v>8008594431</v>
      </c>
      <c r="I20" s="1478"/>
      <c r="J20" s="1481"/>
      <c r="K20" s="723" t="s">
        <v>2834</v>
      </c>
      <c r="L20" s="1482">
        <v>2516662836</v>
      </c>
      <c r="M20" s="1191"/>
      <c r="N20" s="466" t="s">
        <v>3061</v>
      </c>
      <c r="O20" s="1483" t="s">
        <v>3948</v>
      </c>
      <c r="P20" s="1484"/>
      <c r="Q20" s="1484"/>
      <c r="R20" s="1484"/>
      <c r="S20" s="1485"/>
    </row>
    <row r="21" spans="4:19" ht="4.1500000000000004" customHeight="1">
      <c r="D21" s="491"/>
      <c r="H21" s="1490"/>
      <c r="I21" s="1490"/>
      <c r="J21" s="1490"/>
      <c r="K21" s="723"/>
      <c r="L21" s="1490"/>
      <c r="M21" s="1490"/>
      <c r="N21" s="714"/>
      <c r="O21" s="1489"/>
      <c r="P21" s="1489"/>
      <c r="Q21" s="723"/>
      <c r="R21" s="1489"/>
      <c r="S21" s="1489"/>
    </row>
    <row r="22" spans="4:19" s="458" customFormat="1" ht="12.6" customHeight="1">
      <c r="D22" s="461" t="s">
        <v>3214</v>
      </c>
      <c r="E22" s="458" t="s">
        <v>2912</v>
      </c>
      <c r="F22" s="721"/>
      <c r="H22" s="1444" t="s">
        <v>3949</v>
      </c>
      <c r="I22" s="1190"/>
      <c r="J22" s="1190"/>
      <c r="K22" s="1190"/>
      <c r="L22" s="1190"/>
      <c r="M22" s="1190"/>
      <c r="N22" s="1191"/>
      <c r="O22" s="713" t="s">
        <v>3067</v>
      </c>
      <c r="P22" s="713"/>
      <c r="Q22" s="1444" t="s">
        <v>3935</v>
      </c>
      <c r="R22" s="1190"/>
      <c r="S22" s="1191"/>
    </row>
    <row r="23" spans="4:19" s="458" customFormat="1" ht="12.6" customHeight="1">
      <c r="D23" s="508"/>
      <c r="E23" s="464" t="s">
        <v>1642</v>
      </c>
      <c r="F23" s="472"/>
      <c r="H23" s="1444" t="s">
        <v>3939</v>
      </c>
      <c r="I23" s="1190"/>
      <c r="J23" s="1190"/>
      <c r="K23" s="1190"/>
      <c r="L23" s="1190"/>
      <c r="M23" s="1190"/>
      <c r="N23" s="1191"/>
      <c r="O23" s="713" t="s">
        <v>2776</v>
      </c>
      <c r="Q23" s="1444" t="s">
        <v>3747</v>
      </c>
      <c r="R23" s="1190"/>
      <c r="S23" s="1191"/>
    </row>
    <row r="24" spans="4:19" s="458" customFormat="1" ht="12.6" customHeight="1">
      <c r="D24" s="508"/>
      <c r="E24" s="464" t="s">
        <v>954</v>
      </c>
      <c r="H24" s="1444" t="s">
        <v>3167</v>
      </c>
      <c r="I24" s="1190"/>
      <c r="J24" s="1191"/>
      <c r="O24" s="713" t="s">
        <v>2835</v>
      </c>
      <c r="Q24" s="1476"/>
      <c r="R24" s="1477"/>
      <c r="S24" s="1478"/>
    </row>
    <row r="25" spans="4:19" s="458" customFormat="1" ht="12.6" customHeight="1">
      <c r="E25" s="464" t="s">
        <v>2831</v>
      </c>
      <c r="H25" s="1441" t="s">
        <v>1429</v>
      </c>
      <c r="I25" s="493" t="s">
        <v>3354</v>
      </c>
      <c r="J25" s="1479">
        <v>366091528</v>
      </c>
      <c r="K25" s="1191"/>
      <c r="O25" s="713" t="s">
        <v>3056</v>
      </c>
      <c r="Q25" s="1476"/>
      <c r="R25" s="1477"/>
      <c r="S25" s="1478"/>
    </row>
    <row r="26" spans="4:19" s="458" customFormat="1" ht="12.6" customHeight="1">
      <c r="D26" s="508"/>
      <c r="E26" s="464" t="s">
        <v>3062</v>
      </c>
      <c r="H26" s="1476">
        <v>3343210529</v>
      </c>
      <c r="I26" s="1478"/>
      <c r="J26" s="1481"/>
      <c r="K26" s="723" t="s">
        <v>2834</v>
      </c>
      <c r="L26" s="1482">
        <v>3345027636</v>
      </c>
      <c r="M26" s="1191"/>
      <c r="N26" s="466" t="s">
        <v>3061</v>
      </c>
      <c r="O26" s="1483" t="s">
        <v>4055</v>
      </c>
      <c r="P26" s="1484"/>
      <c r="Q26" s="1484"/>
      <c r="R26" s="1484"/>
      <c r="S26" s="1485"/>
    </row>
    <row r="27" spans="4:19" s="458" customFormat="1" ht="4.1500000000000004" customHeight="1">
      <c r="D27" s="508"/>
      <c r="E27" s="721"/>
      <c r="F27" s="721"/>
      <c r="G27" s="713"/>
      <c r="H27" s="1490"/>
      <c r="I27" s="1490"/>
      <c r="J27" s="1490"/>
      <c r="K27" s="723"/>
      <c r="L27" s="1490"/>
      <c r="M27" s="1490"/>
      <c r="N27" s="714"/>
      <c r="O27" s="1489"/>
      <c r="P27" s="1489"/>
      <c r="Q27" s="723"/>
      <c r="R27" s="1489"/>
      <c r="S27" s="1489"/>
    </row>
    <row r="28" spans="4:19" s="458" customFormat="1" ht="12.6" customHeight="1">
      <c r="D28" s="461" t="s">
        <v>2762</v>
      </c>
      <c r="E28" s="458" t="s">
        <v>2912</v>
      </c>
      <c r="F28" s="721"/>
      <c r="H28" s="1444"/>
      <c r="I28" s="1190"/>
      <c r="J28" s="1190"/>
      <c r="K28" s="1190"/>
      <c r="L28" s="1190"/>
      <c r="M28" s="1190"/>
      <c r="N28" s="1191"/>
      <c r="O28" s="713" t="s">
        <v>3067</v>
      </c>
      <c r="P28" s="713"/>
      <c r="Q28" s="1444"/>
      <c r="R28" s="1190"/>
      <c r="S28" s="1191"/>
    </row>
    <row r="29" spans="4:19" s="458" customFormat="1" ht="12.6" customHeight="1">
      <c r="D29" s="508"/>
      <c r="E29" s="464" t="s">
        <v>1642</v>
      </c>
      <c r="F29" s="472"/>
      <c r="H29" s="1444"/>
      <c r="I29" s="1190"/>
      <c r="J29" s="1190"/>
      <c r="K29" s="1190"/>
      <c r="L29" s="1190"/>
      <c r="M29" s="1190"/>
      <c r="N29" s="1191"/>
      <c r="O29" s="713" t="s">
        <v>2776</v>
      </c>
      <c r="Q29" s="1444"/>
      <c r="R29" s="1190"/>
      <c r="S29" s="1191"/>
    </row>
    <row r="30" spans="4:19" s="458" customFormat="1" ht="12.6" customHeight="1">
      <c r="D30" s="508"/>
      <c r="E30" s="464" t="s">
        <v>954</v>
      </c>
      <c r="H30" s="1444"/>
      <c r="I30" s="1190"/>
      <c r="J30" s="1191"/>
      <c r="O30" s="713" t="s">
        <v>2835</v>
      </c>
      <c r="Q30" s="1476"/>
      <c r="R30" s="1477"/>
      <c r="S30" s="1478"/>
    </row>
    <row r="31" spans="4:19" s="458" customFormat="1" ht="12.6" customHeight="1">
      <c r="E31" s="464" t="s">
        <v>2831</v>
      </c>
      <c r="H31" s="1441"/>
      <c r="I31" s="493" t="s">
        <v>3354</v>
      </c>
      <c r="J31" s="1479"/>
      <c r="K31" s="1191"/>
      <c r="O31" s="713" t="s">
        <v>3056</v>
      </c>
      <c r="Q31" s="1476"/>
      <c r="R31" s="1477"/>
      <c r="S31" s="1478"/>
    </row>
    <row r="32" spans="4:19" s="458" customFormat="1" ht="12.6" customHeight="1">
      <c r="D32" s="508"/>
      <c r="E32" s="464" t="s">
        <v>3062</v>
      </c>
      <c r="H32" s="1476"/>
      <c r="I32" s="1478"/>
      <c r="J32" s="1481"/>
      <c r="K32" s="723" t="s">
        <v>2834</v>
      </c>
      <c r="L32" s="1482"/>
      <c r="M32" s="1191"/>
      <c r="N32" s="466" t="s">
        <v>3061</v>
      </c>
      <c r="O32" s="1483"/>
      <c r="P32" s="1484"/>
      <c r="Q32" s="1484"/>
      <c r="R32" s="1484"/>
      <c r="S32" s="1485"/>
    </row>
    <row r="33" spans="3:19" ht="4.1500000000000004" customHeight="1"/>
    <row r="34" spans="3:19" s="458" customFormat="1" ht="13.15" customHeight="1">
      <c r="C34" s="510" t="s">
        <v>3066</v>
      </c>
      <c r="D34" s="506" t="s">
        <v>2914</v>
      </c>
      <c r="H34" s="721"/>
      <c r="I34" s="721"/>
      <c r="J34" s="721"/>
      <c r="K34" s="721"/>
      <c r="L34" s="721"/>
      <c r="M34" s="721"/>
    </row>
    <row r="35" spans="3:19" s="458" customFormat="1" ht="4.1500000000000004" customHeight="1">
      <c r="C35" s="512"/>
      <c r="D35" s="506"/>
      <c r="H35" s="1488"/>
      <c r="I35" s="1488"/>
      <c r="J35" s="1488"/>
      <c r="K35" s="714"/>
      <c r="L35" s="1488"/>
      <c r="M35" s="1488"/>
      <c r="N35" s="714"/>
      <c r="O35" s="1489"/>
      <c r="P35" s="1489"/>
      <c r="Q35" s="723"/>
      <c r="R35" s="1489"/>
      <c r="S35" s="1489"/>
    </row>
    <row r="36" spans="3:19" s="458" customFormat="1" ht="12.6" customHeight="1">
      <c r="D36" s="461" t="s">
        <v>3213</v>
      </c>
      <c r="E36" s="458" t="s">
        <v>1240</v>
      </c>
      <c r="H36" s="1444" t="s">
        <v>3986</v>
      </c>
      <c r="I36" s="1190"/>
      <c r="J36" s="1190"/>
      <c r="K36" s="1190"/>
      <c r="L36" s="1190"/>
      <c r="M36" s="1190"/>
      <c r="N36" s="1191"/>
      <c r="O36" s="713" t="s">
        <v>3067</v>
      </c>
      <c r="P36" s="713"/>
      <c r="Q36" s="1444" t="s">
        <v>4033</v>
      </c>
      <c r="R36" s="1190"/>
      <c r="S36" s="1191"/>
    </row>
    <row r="37" spans="3:19" s="458" customFormat="1" ht="12.6" customHeight="1">
      <c r="D37" s="508"/>
      <c r="E37" s="464" t="s">
        <v>1642</v>
      </c>
      <c r="F37" s="472"/>
      <c r="H37" s="1444" t="s">
        <v>4031</v>
      </c>
      <c r="I37" s="1190"/>
      <c r="J37" s="1190"/>
      <c r="K37" s="1190"/>
      <c r="L37" s="1190"/>
      <c r="M37" s="1190"/>
      <c r="N37" s="1191"/>
      <c r="O37" s="713" t="s">
        <v>2776</v>
      </c>
      <c r="Q37" s="1444" t="s">
        <v>4034</v>
      </c>
      <c r="R37" s="1190"/>
      <c r="S37" s="1191"/>
    </row>
    <row r="38" spans="3:19" s="458" customFormat="1" ht="12.6" customHeight="1">
      <c r="D38" s="508"/>
      <c r="E38" s="464" t="s">
        <v>954</v>
      </c>
      <c r="H38" s="1444" t="s">
        <v>4047</v>
      </c>
      <c r="I38" s="1190"/>
      <c r="J38" s="1191"/>
      <c r="O38" s="713" t="s">
        <v>2835</v>
      </c>
      <c r="Q38" s="1476">
        <v>9197881815</v>
      </c>
      <c r="R38" s="1477"/>
      <c r="S38" s="1478"/>
    </row>
    <row r="39" spans="3:19" s="458" customFormat="1" ht="12.6" customHeight="1">
      <c r="E39" s="464" t="s">
        <v>2831</v>
      </c>
      <c r="H39" s="1441" t="s">
        <v>2052</v>
      </c>
      <c r="I39" s="493" t="s">
        <v>3354</v>
      </c>
      <c r="J39" s="1479">
        <v>276150000</v>
      </c>
      <c r="K39" s="1191"/>
      <c r="O39" s="713" t="s">
        <v>3056</v>
      </c>
      <c r="Q39" s="1476"/>
      <c r="R39" s="1477"/>
      <c r="S39" s="1478"/>
    </row>
    <row r="40" spans="3:19" s="458" customFormat="1" ht="12.6" customHeight="1">
      <c r="D40" s="508"/>
      <c r="E40" s="464" t="s">
        <v>3062</v>
      </c>
      <c r="H40" s="1476">
        <v>9194300063</v>
      </c>
      <c r="I40" s="1478"/>
      <c r="J40" s="1481">
        <v>211</v>
      </c>
      <c r="K40" s="723" t="s">
        <v>2834</v>
      </c>
      <c r="L40" s="1482">
        <v>9195321815</v>
      </c>
      <c r="M40" s="1191"/>
      <c r="N40" s="466" t="s">
        <v>3061</v>
      </c>
      <c r="O40" s="1483" t="s">
        <v>4032</v>
      </c>
      <c r="P40" s="1484"/>
      <c r="Q40" s="1484"/>
      <c r="R40" s="1484"/>
      <c r="S40" s="1485"/>
    </row>
    <row r="41" spans="3:19" ht="4.1500000000000004" customHeight="1">
      <c r="H41" s="1490"/>
      <c r="I41" s="1490"/>
      <c r="J41" s="1490"/>
      <c r="K41" s="723"/>
      <c r="L41" s="1490"/>
      <c r="M41" s="1490"/>
      <c r="N41" s="714"/>
      <c r="O41" s="1489"/>
      <c r="P41" s="1489"/>
      <c r="Q41" s="723"/>
      <c r="R41" s="1489"/>
      <c r="S41" s="1489"/>
    </row>
    <row r="42" spans="3:19" s="458" customFormat="1" ht="12.6" customHeight="1">
      <c r="D42" s="461" t="s">
        <v>3214</v>
      </c>
      <c r="E42" s="458" t="s">
        <v>1241</v>
      </c>
      <c r="F42" s="461"/>
      <c r="H42" s="1444" t="s">
        <v>4039</v>
      </c>
      <c r="I42" s="1190"/>
      <c r="J42" s="1190"/>
      <c r="K42" s="1190"/>
      <c r="L42" s="1190"/>
      <c r="M42" s="1190"/>
      <c r="N42" s="1191"/>
      <c r="O42" s="713" t="s">
        <v>3067</v>
      </c>
      <c r="P42" s="713"/>
      <c r="Q42" s="1444" t="s">
        <v>4044</v>
      </c>
      <c r="R42" s="1190"/>
      <c r="S42" s="1191"/>
    </row>
    <row r="43" spans="3:19" s="458" customFormat="1" ht="12.6" customHeight="1">
      <c r="D43" s="508"/>
      <c r="E43" s="464" t="s">
        <v>1642</v>
      </c>
      <c r="F43" s="472"/>
      <c r="H43" s="1444" t="s">
        <v>4040</v>
      </c>
      <c r="I43" s="1190"/>
      <c r="J43" s="1190"/>
      <c r="K43" s="1190"/>
      <c r="L43" s="1190"/>
      <c r="M43" s="1190"/>
      <c r="N43" s="1191"/>
      <c r="O43" s="713" t="s">
        <v>2776</v>
      </c>
      <c r="Q43" s="1444" t="s">
        <v>4043</v>
      </c>
      <c r="R43" s="1190"/>
      <c r="S43" s="1191"/>
    </row>
    <row r="44" spans="3:19" s="458" customFormat="1" ht="12.6" customHeight="1">
      <c r="D44" s="508"/>
      <c r="E44" s="464" t="s">
        <v>954</v>
      </c>
      <c r="H44" s="1444" t="s">
        <v>4041</v>
      </c>
      <c r="I44" s="1190"/>
      <c r="J44" s="1191"/>
      <c r="O44" s="713" t="s">
        <v>2835</v>
      </c>
      <c r="Q44" s="1476">
        <v>3149682205</v>
      </c>
      <c r="R44" s="1477"/>
      <c r="S44" s="1478"/>
    </row>
    <row r="45" spans="3:19" s="458" customFormat="1" ht="12.6" customHeight="1">
      <c r="D45" s="461"/>
      <c r="E45" s="464" t="s">
        <v>2831</v>
      </c>
      <c r="H45" s="1441" t="s">
        <v>2044</v>
      </c>
      <c r="I45" s="493" t="s">
        <v>3354</v>
      </c>
      <c r="J45" s="1479">
        <v>631190000</v>
      </c>
      <c r="K45" s="1191"/>
      <c r="O45" s="713" t="s">
        <v>3056</v>
      </c>
      <c r="Q45" s="1476"/>
      <c r="R45" s="1477"/>
      <c r="S45" s="1478"/>
    </row>
    <row r="46" spans="3:19" s="458" customFormat="1" ht="12.6" customHeight="1">
      <c r="D46" s="508"/>
      <c r="E46" s="464" t="s">
        <v>3062</v>
      </c>
      <c r="H46" s="1476">
        <v>3149682205</v>
      </c>
      <c r="I46" s="1478"/>
      <c r="J46" s="1481">
        <v>158</v>
      </c>
      <c r="K46" s="723" t="s">
        <v>2834</v>
      </c>
      <c r="L46" s="1482"/>
      <c r="M46" s="1191"/>
      <c r="N46" s="466" t="s">
        <v>3061</v>
      </c>
      <c r="O46" s="1483" t="s">
        <v>4042</v>
      </c>
      <c r="P46" s="1484"/>
      <c r="Q46" s="1484"/>
      <c r="R46" s="1484"/>
      <c r="S46" s="1485"/>
    </row>
    <row r="47" spans="3:19" s="458" customFormat="1" ht="4.1500000000000004" customHeight="1">
      <c r="D47" s="508"/>
      <c r="E47" s="464"/>
      <c r="F47" s="461"/>
      <c r="H47" s="501"/>
      <c r="I47" s="501"/>
      <c r="J47" s="1491"/>
      <c r="K47" s="723"/>
      <c r="L47" s="501"/>
      <c r="M47" s="501"/>
      <c r="N47" s="723"/>
      <c r="O47" s="501"/>
      <c r="P47" s="501"/>
      <c r="Q47" s="723"/>
      <c r="R47" s="501"/>
      <c r="S47" s="501"/>
    </row>
    <row r="48" spans="3:19" s="458" customFormat="1" ht="13.15" customHeight="1">
      <c r="C48" s="512" t="s">
        <v>3823</v>
      </c>
      <c r="D48" s="506" t="s">
        <v>995</v>
      </c>
      <c r="H48" s="721"/>
      <c r="I48" s="721"/>
      <c r="J48" s="721"/>
      <c r="K48" s="721"/>
      <c r="L48" s="721"/>
      <c r="M48" s="721"/>
    </row>
    <row r="49" spans="1:19" s="458" customFormat="1" ht="4.1500000000000004" customHeight="1">
      <c r="D49" s="512"/>
      <c r="E49" s="511"/>
      <c r="H49" s="1488"/>
      <c r="I49" s="1488"/>
      <c r="J49" s="1488"/>
      <c r="K49" s="714"/>
      <c r="L49" s="1488"/>
      <c r="M49" s="1488"/>
      <c r="N49" s="714"/>
      <c r="O49" s="1489"/>
      <c r="P49" s="1489"/>
      <c r="Q49" s="723"/>
      <c r="R49" s="1489"/>
      <c r="S49" s="1489"/>
    </row>
    <row r="50" spans="1:19" s="458" customFormat="1" ht="12.6" customHeight="1">
      <c r="E50" s="458" t="s">
        <v>103</v>
      </c>
      <c r="H50" s="1444" t="s">
        <v>3934</v>
      </c>
      <c r="I50" s="1190"/>
      <c r="J50" s="1190"/>
      <c r="K50" s="1190"/>
      <c r="L50" s="1190"/>
      <c r="M50" s="1190"/>
      <c r="N50" s="1191"/>
      <c r="O50" s="713" t="s">
        <v>3067</v>
      </c>
      <c r="P50" s="713"/>
      <c r="Q50" s="1444" t="s">
        <v>3932</v>
      </c>
      <c r="R50" s="1190"/>
      <c r="S50" s="1191"/>
    </row>
    <row r="51" spans="1:19" s="458" customFormat="1" ht="12.6" customHeight="1">
      <c r="D51" s="508"/>
      <c r="E51" s="464" t="s">
        <v>1642</v>
      </c>
      <c r="F51" s="472"/>
      <c r="H51" s="1444" t="s">
        <v>3936</v>
      </c>
      <c r="I51" s="1190"/>
      <c r="J51" s="1190"/>
      <c r="K51" s="1190"/>
      <c r="L51" s="1190"/>
      <c r="M51" s="1190"/>
      <c r="N51" s="1191"/>
      <c r="O51" s="713" t="s">
        <v>2776</v>
      </c>
      <c r="Q51" s="1444" t="s">
        <v>4036</v>
      </c>
      <c r="R51" s="1190"/>
      <c r="S51" s="1191"/>
    </row>
    <row r="52" spans="1:19" s="458" customFormat="1" ht="12.6" customHeight="1">
      <c r="D52" s="508"/>
      <c r="E52" s="464" t="s">
        <v>954</v>
      </c>
      <c r="H52" s="1444" t="s">
        <v>3937</v>
      </c>
      <c r="I52" s="1190"/>
      <c r="J52" s="1191"/>
      <c r="O52" s="713" t="s">
        <v>2835</v>
      </c>
      <c r="Q52" s="1476"/>
      <c r="R52" s="1477"/>
      <c r="S52" s="1478"/>
    </row>
    <row r="53" spans="1:19" s="458" customFormat="1" ht="12.6" customHeight="1">
      <c r="E53" s="464" t="s">
        <v>2831</v>
      </c>
      <c r="H53" s="1441" t="s">
        <v>1429</v>
      </c>
      <c r="I53" s="493" t="s">
        <v>3354</v>
      </c>
      <c r="J53" s="1479">
        <v>366091528</v>
      </c>
      <c r="K53" s="1191"/>
      <c r="O53" s="713" t="s">
        <v>3056</v>
      </c>
      <c r="Q53" s="1476"/>
      <c r="R53" s="1477"/>
      <c r="S53" s="1478"/>
    </row>
    <row r="54" spans="1:19" s="458" customFormat="1" ht="12.6" customHeight="1">
      <c r="D54" s="508"/>
      <c r="E54" s="464" t="s">
        <v>3062</v>
      </c>
      <c r="H54" s="1476">
        <v>8008594431</v>
      </c>
      <c r="I54" s="1478"/>
      <c r="J54" s="1481"/>
      <c r="K54" s="723" t="s">
        <v>2834</v>
      </c>
      <c r="L54" s="1482">
        <v>2516662836</v>
      </c>
      <c r="M54" s="1191"/>
      <c r="N54" s="466" t="s">
        <v>3061</v>
      </c>
      <c r="O54" s="1483" t="s">
        <v>3948</v>
      </c>
      <c r="P54" s="1484"/>
      <c r="Q54" s="1484"/>
      <c r="R54" s="1484"/>
      <c r="S54" s="1485"/>
    </row>
    <row r="55" spans="1:19" ht="13.15" customHeight="1"/>
    <row r="56" spans="1:19" s="458" customFormat="1" ht="13.15" customHeight="1">
      <c r="A56" s="461" t="s">
        <v>1230</v>
      </c>
      <c r="B56" s="461" t="s">
        <v>996</v>
      </c>
      <c r="F56" s="461"/>
      <c r="G56" s="723"/>
      <c r="H56" s="723"/>
      <c r="I56" s="723"/>
      <c r="J56" s="721"/>
      <c r="K56" s="721"/>
      <c r="L56" s="721"/>
      <c r="M56" s="721"/>
      <c r="N56" s="721"/>
      <c r="O56" s="721"/>
      <c r="P56" s="721"/>
      <c r="Q56" s="721"/>
      <c r="R56" s="721"/>
      <c r="S56" s="721"/>
    </row>
    <row r="57" spans="1:19" s="458" customFormat="1" ht="9" customHeight="1">
      <c r="A57" s="461"/>
      <c r="B57" s="461"/>
      <c r="F57" s="461"/>
      <c r="G57" s="723"/>
      <c r="H57" s="1488"/>
      <c r="I57" s="1488"/>
      <c r="J57" s="1488"/>
      <c r="K57" s="714"/>
      <c r="L57" s="1488"/>
      <c r="M57" s="1488"/>
      <c r="N57" s="714"/>
      <c r="O57" s="1489"/>
      <c r="P57" s="1489"/>
      <c r="Q57" s="723"/>
      <c r="R57" s="1489"/>
      <c r="S57" s="1489"/>
    </row>
    <row r="58" spans="1:19" s="458" customFormat="1" ht="13.15" customHeight="1">
      <c r="B58" s="461" t="s">
        <v>3060</v>
      </c>
      <c r="C58" s="461" t="s">
        <v>376</v>
      </c>
      <c r="H58" s="1444" t="s">
        <v>3949</v>
      </c>
      <c r="I58" s="1190"/>
      <c r="J58" s="1190"/>
      <c r="K58" s="1190"/>
      <c r="L58" s="1190"/>
      <c r="M58" s="1190"/>
      <c r="N58" s="1191"/>
      <c r="O58" s="713" t="s">
        <v>3067</v>
      </c>
      <c r="P58" s="713"/>
      <c r="Q58" s="1444" t="s">
        <v>3935</v>
      </c>
      <c r="R58" s="1190"/>
      <c r="S58" s="1191"/>
    </row>
    <row r="59" spans="1:19" s="458" customFormat="1" ht="13.15" customHeight="1">
      <c r="D59" s="508"/>
      <c r="E59" s="464" t="s">
        <v>1642</v>
      </c>
      <c r="F59" s="472"/>
      <c r="H59" s="1444" t="s">
        <v>3939</v>
      </c>
      <c r="I59" s="1190"/>
      <c r="J59" s="1190"/>
      <c r="K59" s="1190"/>
      <c r="L59" s="1190"/>
      <c r="M59" s="1190"/>
      <c r="N59" s="1191"/>
      <c r="O59" s="713" t="s">
        <v>2776</v>
      </c>
      <c r="Q59" s="1444" t="s">
        <v>3747</v>
      </c>
      <c r="R59" s="1190"/>
      <c r="S59" s="1191"/>
    </row>
    <row r="60" spans="1:19" s="458" customFormat="1" ht="13.15" customHeight="1">
      <c r="D60" s="508"/>
      <c r="E60" s="464" t="s">
        <v>954</v>
      </c>
      <c r="H60" s="1444" t="s">
        <v>3167</v>
      </c>
      <c r="I60" s="1190"/>
      <c r="J60" s="1191"/>
      <c r="O60" s="713" t="s">
        <v>2835</v>
      </c>
      <c r="Q60" s="1476"/>
      <c r="R60" s="1477"/>
      <c r="S60" s="1478"/>
    </row>
    <row r="61" spans="1:19" s="458" customFormat="1" ht="13.15" customHeight="1">
      <c r="E61" s="464" t="s">
        <v>2831</v>
      </c>
      <c r="H61" s="1441" t="s">
        <v>1429</v>
      </c>
      <c r="I61" s="493" t="s">
        <v>3354</v>
      </c>
      <c r="J61" s="1479">
        <v>368304303</v>
      </c>
      <c r="K61" s="1191"/>
      <c r="O61" s="713" t="s">
        <v>3056</v>
      </c>
      <c r="Q61" s="1476"/>
      <c r="R61" s="1477"/>
      <c r="S61" s="1478"/>
    </row>
    <row r="62" spans="1:19" s="458" customFormat="1" ht="13.15" customHeight="1">
      <c r="D62" s="508"/>
      <c r="E62" s="464" t="s">
        <v>3062</v>
      </c>
      <c r="H62" s="1476">
        <v>3343210529</v>
      </c>
      <c r="I62" s="1478"/>
      <c r="J62" s="1481"/>
      <c r="K62" s="723" t="s">
        <v>2834</v>
      </c>
      <c r="L62" s="1482">
        <v>3345027636</v>
      </c>
      <c r="M62" s="1191"/>
      <c r="N62" s="466" t="s">
        <v>3061</v>
      </c>
      <c r="O62" s="1483" t="s">
        <v>4055</v>
      </c>
      <c r="P62" s="1484"/>
      <c r="Q62" s="1484"/>
      <c r="R62" s="1484"/>
      <c r="S62" s="1485"/>
    </row>
    <row r="63" spans="1:19" s="458" customFormat="1" ht="6.6" customHeight="1">
      <c r="D63" s="508"/>
      <c r="E63" s="721"/>
      <c r="F63" s="721"/>
      <c r="G63" s="713"/>
      <c r="H63" s="1490"/>
      <c r="I63" s="1490"/>
      <c r="J63" s="1490"/>
      <c r="K63" s="723"/>
      <c r="L63" s="1490"/>
      <c r="M63" s="1490"/>
      <c r="N63" s="714"/>
      <c r="O63" s="1489"/>
      <c r="P63" s="1489"/>
      <c r="Q63" s="723"/>
      <c r="R63" s="1489"/>
      <c r="S63" s="1489"/>
    </row>
    <row r="64" spans="1:19" s="458" customFormat="1" ht="13.15" customHeight="1">
      <c r="B64" s="461" t="s">
        <v>3063</v>
      </c>
      <c r="C64" s="461" t="s">
        <v>377</v>
      </c>
      <c r="H64" s="1444" t="s">
        <v>3934</v>
      </c>
      <c r="I64" s="1190"/>
      <c r="J64" s="1190"/>
      <c r="K64" s="1190"/>
      <c r="L64" s="1190"/>
      <c r="M64" s="1190"/>
      <c r="N64" s="1191"/>
      <c r="O64" s="713" t="s">
        <v>3067</v>
      </c>
      <c r="P64" s="713"/>
      <c r="Q64" s="1444" t="s">
        <v>3932</v>
      </c>
      <c r="R64" s="1190"/>
      <c r="S64" s="1191"/>
    </row>
    <row r="65" spans="2:19" s="458" customFormat="1" ht="13.15" customHeight="1">
      <c r="D65" s="508"/>
      <c r="E65" s="464" t="s">
        <v>1642</v>
      </c>
      <c r="F65" s="472"/>
      <c r="H65" s="1444" t="s">
        <v>3936</v>
      </c>
      <c r="I65" s="1190"/>
      <c r="J65" s="1190"/>
      <c r="K65" s="1190"/>
      <c r="L65" s="1190"/>
      <c r="M65" s="1190"/>
      <c r="N65" s="1191"/>
      <c r="O65" s="713" t="s">
        <v>2776</v>
      </c>
      <c r="Q65" s="1444" t="s">
        <v>4036</v>
      </c>
      <c r="R65" s="1190"/>
      <c r="S65" s="1191"/>
    </row>
    <row r="66" spans="2:19" s="458" customFormat="1" ht="13.15" customHeight="1">
      <c r="D66" s="508"/>
      <c r="E66" s="464" t="s">
        <v>954</v>
      </c>
      <c r="H66" s="1444" t="s">
        <v>3937</v>
      </c>
      <c r="I66" s="1190"/>
      <c r="J66" s="1191"/>
      <c r="O66" s="713" t="s">
        <v>2835</v>
      </c>
      <c r="Q66" s="1476"/>
      <c r="R66" s="1477"/>
      <c r="S66" s="1478"/>
    </row>
    <row r="67" spans="2:19" s="458" customFormat="1" ht="13.15" customHeight="1">
      <c r="E67" s="464" t="s">
        <v>2831</v>
      </c>
      <c r="H67" s="1441" t="s">
        <v>1429</v>
      </c>
      <c r="I67" s="493" t="s">
        <v>3354</v>
      </c>
      <c r="J67" s="1479">
        <v>366091528</v>
      </c>
      <c r="K67" s="1191"/>
      <c r="O67" s="713" t="s">
        <v>3056</v>
      </c>
      <c r="Q67" s="1476"/>
      <c r="R67" s="1477"/>
      <c r="S67" s="1478"/>
    </row>
    <row r="68" spans="2:19" s="458" customFormat="1" ht="13.15" customHeight="1">
      <c r="D68" s="508"/>
      <c r="E68" s="464" t="s">
        <v>3062</v>
      </c>
      <c r="H68" s="1476">
        <v>8008594431</v>
      </c>
      <c r="I68" s="1478"/>
      <c r="J68" s="1481"/>
      <c r="K68" s="723" t="s">
        <v>2834</v>
      </c>
      <c r="L68" s="1482">
        <v>2516662836</v>
      </c>
      <c r="M68" s="1191"/>
      <c r="N68" s="466" t="s">
        <v>3061</v>
      </c>
      <c r="O68" s="1483" t="s">
        <v>3948</v>
      </c>
      <c r="P68" s="1484"/>
      <c r="Q68" s="1484"/>
      <c r="R68" s="1484"/>
      <c r="S68" s="1485"/>
    </row>
    <row r="69" spans="2:19" s="458" customFormat="1" ht="6.6" customHeight="1">
      <c r="D69" s="508"/>
      <c r="E69" s="721"/>
      <c r="F69" s="721"/>
      <c r="G69" s="713"/>
      <c r="H69" s="1490"/>
      <c r="I69" s="1490"/>
      <c r="J69" s="1490"/>
      <c r="K69" s="723"/>
      <c r="L69" s="1490"/>
      <c r="M69" s="1490"/>
      <c r="N69" s="714"/>
      <c r="O69" s="1489"/>
      <c r="P69" s="1489"/>
      <c r="Q69" s="723"/>
      <c r="R69" s="1489"/>
      <c r="S69" s="1489"/>
    </row>
    <row r="70" spans="2:19" s="458" customFormat="1" ht="13.15" customHeight="1">
      <c r="B70" s="461" t="s">
        <v>1239</v>
      </c>
      <c r="C70" s="461" t="s">
        <v>2280</v>
      </c>
      <c r="H70" s="1444" t="s">
        <v>3982</v>
      </c>
      <c r="I70" s="1190"/>
      <c r="J70" s="1190"/>
      <c r="K70" s="1190"/>
      <c r="L70" s="1190"/>
      <c r="M70" s="1190"/>
      <c r="N70" s="1191"/>
      <c r="O70" s="713" t="s">
        <v>3067</v>
      </c>
      <c r="P70" s="713"/>
      <c r="Q70" s="1444"/>
      <c r="R70" s="1190"/>
      <c r="S70" s="1191"/>
    </row>
    <row r="71" spans="2:19" s="458" customFormat="1" ht="13.15" customHeight="1">
      <c r="D71" s="508"/>
      <c r="E71" s="464" t="s">
        <v>1642</v>
      </c>
      <c r="F71" s="472"/>
      <c r="H71" s="1444"/>
      <c r="I71" s="1190"/>
      <c r="J71" s="1190"/>
      <c r="K71" s="1190"/>
      <c r="L71" s="1190"/>
      <c r="M71" s="1190"/>
      <c r="N71" s="1191"/>
      <c r="O71" s="713" t="s">
        <v>2776</v>
      </c>
      <c r="Q71" s="1444"/>
      <c r="R71" s="1190"/>
      <c r="S71" s="1191"/>
    </row>
    <row r="72" spans="2:19" s="458" customFormat="1" ht="13.15" customHeight="1">
      <c r="D72" s="508"/>
      <c r="E72" s="464" t="s">
        <v>954</v>
      </c>
      <c r="H72" s="1444"/>
      <c r="I72" s="1190"/>
      <c r="J72" s="1191"/>
      <c r="O72" s="713" t="s">
        <v>2835</v>
      </c>
      <c r="Q72" s="1476"/>
      <c r="R72" s="1477"/>
      <c r="S72" s="1478"/>
    </row>
    <row r="73" spans="2:19" s="458" customFormat="1" ht="13.15" customHeight="1">
      <c r="E73" s="464" t="s">
        <v>2831</v>
      </c>
      <c r="H73" s="1441"/>
      <c r="I73" s="493" t="s">
        <v>3354</v>
      </c>
      <c r="J73" s="1479"/>
      <c r="K73" s="1191"/>
      <c r="O73" s="713" t="s">
        <v>3056</v>
      </c>
      <c r="Q73" s="1476"/>
      <c r="R73" s="1477"/>
      <c r="S73" s="1478"/>
    </row>
    <row r="74" spans="2:19" s="458" customFormat="1" ht="13.15" customHeight="1">
      <c r="D74" s="508"/>
      <c r="E74" s="464" t="s">
        <v>3062</v>
      </c>
      <c r="H74" s="1476"/>
      <c r="I74" s="1478"/>
      <c r="J74" s="1481"/>
      <c r="K74" s="723" t="s">
        <v>2834</v>
      </c>
      <c r="L74" s="1482"/>
      <c r="M74" s="1191"/>
      <c r="N74" s="466" t="s">
        <v>3061</v>
      </c>
      <c r="O74" s="1483"/>
      <c r="P74" s="1484"/>
      <c r="Q74" s="1484"/>
      <c r="R74" s="1484"/>
      <c r="S74" s="1485"/>
    </row>
    <row r="75" spans="2:19" ht="6.6" customHeight="1">
      <c r="H75" s="1490"/>
      <c r="I75" s="1490"/>
      <c r="J75" s="1490"/>
      <c r="K75" s="723"/>
      <c r="L75" s="1490"/>
      <c r="M75" s="1490"/>
      <c r="N75" s="714"/>
      <c r="O75" s="1489"/>
      <c r="P75" s="1489"/>
      <c r="Q75" s="723"/>
      <c r="R75" s="1489"/>
      <c r="S75" s="1489"/>
    </row>
    <row r="76" spans="2:19" s="458" customFormat="1" ht="13.15" customHeight="1">
      <c r="B76" s="461" t="s">
        <v>3212</v>
      </c>
      <c r="C76" s="461" t="s">
        <v>378</v>
      </c>
      <c r="H76" s="1444" t="s">
        <v>3988</v>
      </c>
      <c r="I76" s="1190"/>
      <c r="J76" s="1190"/>
      <c r="K76" s="1190"/>
      <c r="L76" s="1190"/>
      <c r="M76" s="1190"/>
      <c r="N76" s="1191"/>
      <c r="O76" s="713" t="s">
        <v>3067</v>
      </c>
      <c r="P76" s="713"/>
      <c r="Q76" s="1444" t="s">
        <v>3990</v>
      </c>
      <c r="R76" s="1190"/>
      <c r="S76" s="1191"/>
    </row>
    <row r="77" spans="2:19" s="458" customFormat="1" ht="13.15" customHeight="1">
      <c r="D77" s="508"/>
      <c r="E77" s="464" t="s">
        <v>1642</v>
      </c>
      <c r="F77" s="472"/>
      <c r="H77" s="1444" t="s">
        <v>3989</v>
      </c>
      <c r="I77" s="1190"/>
      <c r="J77" s="1190"/>
      <c r="K77" s="1190"/>
      <c r="L77" s="1190"/>
      <c r="M77" s="1190"/>
      <c r="N77" s="1191"/>
      <c r="O77" s="713" t="s">
        <v>2776</v>
      </c>
      <c r="Q77" s="1444" t="s">
        <v>3943</v>
      </c>
      <c r="R77" s="1190"/>
      <c r="S77" s="1191"/>
    </row>
    <row r="78" spans="2:19" s="458" customFormat="1" ht="13.15" customHeight="1">
      <c r="D78" s="508"/>
      <c r="E78" s="464" t="s">
        <v>954</v>
      </c>
      <c r="H78" s="1444" t="s">
        <v>254</v>
      </c>
      <c r="I78" s="1190"/>
      <c r="J78" s="1191"/>
      <c r="O78" s="713" t="s">
        <v>2835</v>
      </c>
      <c r="Q78" s="1476"/>
      <c r="R78" s="1477"/>
      <c r="S78" s="1478"/>
    </row>
    <row r="79" spans="2:19" s="458" customFormat="1" ht="13.15" customHeight="1">
      <c r="E79" s="464" t="s">
        <v>2831</v>
      </c>
      <c r="H79" s="1441" t="s">
        <v>1439</v>
      </c>
      <c r="I79" s="493" t="s">
        <v>3354</v>
      </c>
      <c r="J79" s="1479">
        <v>300323909</v>
      </c>
      <c r="K79" s="1191"/>
      <c r="O79" s="713" t="s">
        <v>3056</v>
      </c>
      <c r="Q79" s="1476"/>
      <c r="R79" s="1477"/>
      <c r="S79" s="1478"/>
    </row>
    <row r="80" spans="2:19" s="458" customFormat="1" ht="13.15" customHeight="1">
      <c r="D80" s="508"/>
      <c r="E80" s="464" t="s">
        <v>3062</v>
      </c>
      <c r="H80" s="1476">
        <v>4049976786</v>
      </c>
      <c r="I80" s="1478"/>
      <c r="J80" s="1481"/>
      <c r="K80" s="723" t="s">
        <v>2834</v>
      </c>
      <c r="L80" s="1482">
        <v>4044927187</v>
      </c>
      <c r="M80" s="1191"/>
      <c r="N80" s="466" t="s">
        <v>3061</v>
      </c>
      <c r="O80" s="1483" t="s">
        <v>3991</v>
      </c>
      <c r="P80" s="1484"/>
      <c r="Q80" s="1484"/>
      <c r="R80" s="1484"/>
      <c r="S80" s="1485"/>
    </row>
    <row r="81" spans="1:19" ht="13.15" customHeight="1"/>
    <row r="82" spans="1:19" s="464" customFormat="1" ht="13.15" customHeight="1">
      <c r="A82" s="465" t="s">
        <v>1232</v>
      </c>
      <c r="B82" s="465" t="s">
        <v>379</v>
      </c>
      <c r="D82" s="465"/>
      <c r="E82" s="713"/>
      <c r="F82" s="395"/>
      <c r="G82" s="395"/>
      <c r="H82" s="395"/>
      <c r="I82" s="395"/>
      <c r="J82" s="395"/>
      <c r="K82" s="395"/>
      <c r="L82" s="395"/>
      <c r="M82" s="395"/>
    </row>
    <row r="83" spans="1:19" s="464" customFormat="1" ht="9" customHeight="1">
      <c r="A83" s="465"/>
      <c r="B83" s="465"/>
      <c r="D83" s="465"/>
      <c r="E83" s="713"/>
      <c r="F83" s="395"/>
      <c r="G83" s="395"/>
      <c r="H83" s="1488"/>
      <c r="I83" s="1488"/>
      <c r="J83" s="1488"/>
      <c r="K83" s="714"/>
      <c r="L83" s="1488"/>
      <c r="M83" s="1488"/>
      <c r="N83" s="714"/>
      <c r="O83" s="1489"/>
      <c r="P83" s="1489"/>
      <c r="Q83" s="723"/>
      <c r="R83" s="1489"/>
      <c r="S83" s="1489"/>
    </row>
    <row r="84" spans="1:19" s="458" customFormat="1" ht="13.15" customHeight="1">
      <c r="B84" s="461" t="s">
        <v>3060</v>
      </c>
      <c r="C84" s="461" t="s">
        <v>380</v>
      </c>
      <c r="H84" s="1444" t="s">
        <v>3982</v>
      </c>
      <c r="I84" s="1190"/>
      <c r="J84" s="1190"/>
      <c r="K84" s="1190"/>
      <c r="L84" s="1190"/>
      <c r="M84" s="1190"/>
      <c r="N84" s="1191"/>
      <c r="O84" s="713" t="s">
        <v>3067</v>
      </c>
      <c r="P84" s="713"/>
      <c r="Q84" s="1444"/>
      <c r="R84" s="1190"/>
      <c r="S84" s="1191"/>
    </row>
    <row r="85" spans="1:19" s="458" customFormat="1" ht="13.15" customHeight="1">
      <c r="D85" s="508"/>
      <c r="E85" s="464" t="s">
        <v>1642</v>
      </c>
      <c r="F85" s="472"/>
      <c r="H85" s="1444"/>
      <c r="I85" s="1190"/>
      <c r="J85" s="1190"/>
      <c r="K85" s="1190"/>
      <c r="L85" s="1190"/>
      <c r="M85" s="1190"/>
      <c r="N85" s="1191"/>
      <c r="O85" s="713" t="s">
        <v>2776</v>
      </c>
      <c r="Q85" s="1444"/>
      <c r="R85" s="1190"/>
      <c r="S85" s="1191"/>
    </row>
    <row r="86" spans="1:19" s="458" customFormat="1" ht="13.15" customHeight="1">
      <c r="D86" s="508"/>
      <c r="E86" s="464" t="s">
        <v>954</v>
      </c>
      <c r="H86" s="1444"/>
      <c r="I86" s="1190"/>
      <c r="J86" s="1191"/>
      <c r="O86" s="713" t="s">
        <v>2835</v>
      </c>
      <c r="Q86" s="1476"/>
      <c r="R86" s="1477"/>
      <c r="S86" s="1478"/>
    </row>
    <row r="87" spans="1:19" s="458" customFormat="1" ht="13.15" customHeight="1">
      <c r="E87" s="464" t="s">
        <v>2831</v>
      </c>
      <c r="H87" s="1441"/>
      <c r="I87" s="493" t="s">
        <v>3354</v>
      </c>
      <c r="J87" s="1479"/>
      <c r="K87" s="1191"/>
      <c r="O87" s="713" t="s">
        <v>3056</v>
      </c>
      <c r="Q87" s="1476"/>
      <c r="R87" s="1477"/>
      <c r="S87" s="1478"/>
    </row>
    <row r="88" spans="1:19" s="458" customFormat="1" ht="13.15" customHeight="1">
      <c r="D88" s="508"/>
      <c r="E88" s="464" t="s">
        <v>3062</v>
      </c>
      <c r="H88" s="1476"/>
      <c r="I88" s="1478"/>
      <c r="J88" s="1481"/>
      <c r="K88" s="723" t="s">
        <v>2834</v>
      </c>
      <c r="L88" s="1482"/>
      <c r="M88" s="1191"/>
      <c r="N88" s="466" t="s">
        <v>3061</v>
      </c>
      <c r="O88" s="1483"/>
      <c r="P88" s="1484"/>
      <c r="Q88" s="1484"/>
      <c r="R88" s="1484"/>
      <c r="S88" s="1485"/>
    </row>
    <row r="89" spans="1:19" ht="6.6" customHeight="1">
      <c r="H89" s="1490"/>
      <c r="I89" s="1490"/>
      <c r="J89" s="1490"/>
      <c r="K89" s="723"/>
      <c r="L89" s="1490"/>
      <c r="M89" s="1490"/>
      <c r="N89" s="714"/>
      <c r="O89" s="1489"/>
      <c r="P89" s="1489"/>
      <c r="Q89" s="723"/>
      <c r="R89" s="1489"/>
      <c r="S89" s="1489"/>
    </row>
    <row r="90" spans="1:19" s="458" customFormat="1" ht="13.15" customHeight="1">
      <c r="B90" s="461" t="s">
        <v>3063</v>
      </c>
      <c r="C90" s="461" t="s">
        <v>381</v>
      </c>
      <c r="H90" s="1444" t="s">
        <v>3968</v>
      </c>
      <c r="I90" s="1190"/>
      <c r="J90" s="1190"/>
      <c r="K90" s="1190"/>
      <c r="L90" s="1190"/>
      <c r="M90" s="1190"/>
      <c r="N90" s="1191"/>
      <c r="O90" s="713" t="s">
        <v>3067</v>
      </c>
      <c r="P90" s="713"/>
      <c r="Q90" s="1444" t="s">
        <v>3971</v>
      </c>
      <c r="R90" s="1190"/>
      <c r="S90" s="1191"/>
    </row>
    <row r="91" spans="1:19" s="458" customFormat="1" ht="13.15" customHeight="1">
      <c r="D91" s="508"/>
      <c r="E91" s="464" t="s">
        <v>1642</v>
      </c>
      <c r="F91" s="472"/>
      <c r="H91" s="1444" t="s">
        <v>3969</v>
      </c>
      <c r="I91" s="1190"/>
      <c r="J91" s="1190"/>
      <c r="K91" s="1190"/>
      <c r="L91" s="1190"/>
      <c r="M91" s="1190"/>
      <c r="N91" s="1191"/>
      <c r="O91" s="713" t="s">
        <v>2776</v>
      </c>
      <c r="Q91" s="1444" t="s">
        <v>3943</v>
      </c>
      <c r="R91" s="1190"/>
      <c r="S91" s="1191"/>
    </row>
    <row r="92" spans="1:19" s="458" customFormat="1" ht="13.15" customHeight="1">
      <c r="D92" s="508"/>
      <c r="E92" s="464" t="s">
        <v>954</v>
      </c>
      <c r="H92" s="1444" t="s">
        <v>3167</v>
      </c>
      <c r="I92" s="1190"/>
      <c r="J92" s="1191"/>
      <c r="O92" s="713" t="s">
        <v>2835</v>
      </c>
      <c r="Q92" s="1476">
        <v>3345025411</v>
      </c>
      <c r="R92" s="1477"/>
      <c r="S92" s="1478"/>
    </row>
    <row r="93" spans="1:19" s="458" customFormat="1" ht="13.15" customHeight="1">
      <c r="E93" s="464" t="s">
        <v>2831</v>
      </c>
      <c r="H93" s="1441" t="s">
        <v>1429</v>
      </c>
      <c r="I93" s="493" t="s">
        <v>3354</v>
      </c>
      <c r="J93" s="1479">
        <v>368304303</v>
      </c>
      <c r="K93" s="1191"/>
      <c r="O93" s="713" t="s">
        <v>3056</v>
      </c>
      <c r="Q93" s="1476"/>
      <c r="R93" s="1477"/>
      <c r="S93" s="1478"/>
    </row>
    <row r="94" spans="1:19" s="458" customFormat="1" ht="13.15" customHeight="1">
      <c r="D94" s="508"/>
      <c r="E94" s="464" t="s">
        <v>3062</v>
      </c>
      <c r="H94" s="1476">
        <v>3345025411</v>
      </c>
      <c r="I94" s="1478"/>
      <c r="J94" s="1481"/>
      <c r="K94" s="723" t="s">
        <v>2834</v>
      </c>
      <c r="L94" s="1482">
        <v>3345027649</v>
      </c>
      <c r="M94" s="1191"/>
      <c r="N94" s="466" t="s">
        <v>3061</v>
      </c>
      <c r="O94" s="1483" t="s">
        <v>3970</v>
      </c>
      <c r="P94" s="1484"/>
      <c r="Q94" s="1484"/>
      <c r="R94" s="1484"/>
      <c r="S94" s="1485"/>
    </row>
    <row r="95" spans="1:19" ht="6.6" customHeight="1">
      <c r="H95" s="1490"/>
      <c r="I95" s="1490"/>
      <c r="J95" s="1490"/>
      <c r="K95" s="723"/>
      <c r="L95" s="1490"/>
      <c r="M95" s="1490"/>
      <c r="N95" s="714"/>
      <c r="O95" s="1489"/>
      <c r="P95" s="1489"/>
      <c r="Q95" s="723"/>
      <c r="R95" s="1489"/>
      <c r="S95" s="1489"/>
    </row>
    <row r="96" spans="1:19" s="458" customFormat="1" ht="13.15" customHeight="1">
      <c r="B96" s="461" t="s">
        <v>1239</v>
      </c>
      <c r="C96" s="461" t="s">
        <v>382</v>
      </c>
      <c r="F96" s="482"/>
      <c r="H96" s="1444" t="s">
        <v>3940</v>
      </c>
      <c r="I96" s="1190"/>
      <c r="J96" s="1190"/>
      <c r="K96" s="1190"/>
      <c r="L96" s="1190"/>
      <c r="M96" s="1190"/>
      <c r="N96" s="1191"/>
      <c r="O96" s="713" t="s">
        <v>3067</v>
      </c>
      <c r="P96" s="713"/>
      <c r="Q96" s="1444" t="s">
        <v>3942</v>
      </c>
      <c r="R96" s="1190"/>
      <c r="S96" s="1191"/>
    </row>
    <row r="97" spans="2:19" s="458" customFormat="1" ht="13.15" customHeight="1">
      <c r="D97" s="508"/>
      <c r="E97" s="464" t="s">
        <v>1642</v>
      </c>
      <c r="F97" s="472"/>
      <c r="H97" s="1444" t="s">
        <v>3984</v>
      </c>
      <c r="I97" s="1190"/>
      <c r="J97" s="1190"/>
      <c r="K97" s="1190"/>
      <c r="L97" s="1190"/>
      <c r="M97" s="1190"/>
      <c r="N97" s="1191"/>
      <c r="O97" s="713" t="s">
        <v>2776</v>
      </c>
      <c r="Q97" s="1444" t="s">
        <v>3943</v>
      </c>
      <c r="R97" s="1190"/>
      <c r="S97" s="1191"/>
    </row>
    <row r="98" spans="2:19" s="458" customFormat="1" ht="13.15" customHeight="1">
      <c r="D98" s="508"/>
      <c r="E98" s="464" t="s">
        <v>954</v>
      </c>
      <c r="H98" s="1444" t="s">
        <v>3941</v>
      </c>
      <c r="I98" s="1190"/>
      <c r="J98" s="1191"/>
      <c r="O98" s="713" t="s">
        <v>2835</v>
      </c>
      <c r="Q98" s="1476"/>
      <c r="R98" s="1477"/>
      <c r="S98" s="1478"/>
    </row>
    <row r="99" spans="2:19" s="458" customFormat="1" ht="13.15" customHeight="1">
      <c r="D99" s="508"/>
      <c r="E99" s="464" t="s">
        <v>2831</v>
      </c>
      <c r="H99" s="1441" t="s">
        <v>1429</v>
      </c>
      <c r="I99" s="493" t="s">
        <v>3354</v>
      </c>
      <c r="J99" s="1479">
        <v>354764418</v>
      </c>
      <c r="K99" s="1191"/>
      <c r="O99" s="713" t="s">
        <v>3056</v>
      </c>
      <c r="Q99" s="1476"/>
      <c r="R99" s="1477"/>
      <c r="S99" s="1478"/>
    </row>
    <row r="100" spans="2:19" s="458" customFormat="1" ht="13.15" customHeight="1">
      <c r="D100" s="508"/>
      <c r="E100" s="464" t="s">
        <v>3062</v>
      </c>
      <c r="H100" s="1476">
        <v>2052663667</v>
      </c>
      <c r="I100" s="1478"/>
      <c r="J100" s="1481"/>
      <c r="K100" s="723" t="s">
        <v>2834</v>
      </c>
      <c r="L100" s="1482">
        <v>2053661146</v>
      </c>
      <c r="M100" s="1191"/>
      <c r="N100" s="466" t="s">
        <v>3061</v>
      </c>
      <c r="O100" s="1483" t="s">
        <v>3944</v>
      </c>
      <c r="P100" s="1484"/>
      <c r="Q100" s="1484"/>
      <c r="R100" s="1484"/>
      <c r="S100" s="1485"/>
    </row>
    <row r="101" spans="2:19" ht="6.6" customHeight="1">
      <c r="H101" s="1490"/>
      <c r="I101" s="1490"/>
      <c r="J101" s="1490"/>
      <c r="K101" s="723"/>
      <c r="L101" s="1490"/>
      <c r="M101" s="1490"/>
      <c r="N101" s="714"/>
      <c r="O101" s="1489"/>
      <c r="P101" s="1489"/>
      <c r="Q101" s="723"/>
      <c r="R101" s="1489"/>
      <c r="S101" s="1489"/>
    </row>
    <row r="102" spans="2:19" s="458" customFormat="1" ht="13.15" customHeight="1">
      <c r="B102" s="461" t="s">
        <v>3212</v>
      </c>
      <c r="C102" s="461" t="s">
        <v>383</v>
      </c>
      <c r="H102" s="1444" t="s">
        <v>4019</v>
      </c>
      <c r="I102" s="1190"/>
      <c r="J102" s="1190"/>
      <c r="K102" s="1190"/>
      <c r="L102" s="1190"/>
      <c r="M102" s="1190"/>
      <c r="N102" s="1191"/>
      <c r="O102" s="713" t="s">
        <v>3067</v>
      </c>
      <c r="P102" s="713"/>
      <c r="Q102" s="1444" t="s">
        <v>4024</v>
      </c>
      <c r="R102" s="1190"/>
      <c r="S102" s="1191"/>
    </row>
    <row r="103" spans="2:19" s="458" customFormat="1" ht="13.15" customHeight="1">
      <c r="D103" s="508"/>
      <c r="E103" s="464" t="s">
        <v>1642</v>
      </c>
      <c r="F103" s="472"/>
      <c r="H103" s="1444" t="s">
        <v>4020</v>
      </c>
      <c r="I103" s="1190"/>
      <c r="J103" s="1190"/>
      <c r="K103" s="1190"/>
      <c r="L103" s="1190"/>
      <c r="M103" s="1190"/>
      <c r="N103" s="1191"/>
      <c r="O103" s="713" t="s">
        <v>2776</v>
      </c>
      <c r="Q103" s="1444" t="s">
        <v>4023</v>
      </c>
      <c r="R103" s="1190"/>
      <c r="S103" s="1191"/>
    </row>
    <row r="104" spans="2:19" s="458" customFormat="1" ht="13.15" customHeight="1">
      <c r="D104" s="508"/>
      <c r="E104" s="464" t="s">
        <v>954</v>
      </c>
      <c r="H104" s="1444" t="s">
        <v>4021</v>
      </c>
      <c r="I104" s="1190"/>
      <c r="J104" s="1191"/>
      <c r="O104" s="713" t="s">
        <v>2835</v>
      </c>
      <c r="Q104" s="1476">
        <v>2055218501</v>
      </c>
      <c r="R104" s="1477"/>
      <c r="S104" s="1478"/>
    </row>
    <row r="105" spans="2:19" s="458" customFormat="1" ht="13.15" customHeight="1">
      <c r="D105" s="508"/>
      <c r="E105" s="464" t="s">
        <v>2831</v>
      </c>
      <c r="H105" s="1441" t="s">
        <v>1429</v>
      </c>
      <c r="I105" s="493" t="s">
        <v>3354</v>
      </c>
      <c r="J105" s="1479">
        <v>352130000</v>
      </c>
      <c r="K105" s="1191"/>
      <c r="O105" s="713" t="s">
        <v>3056</v>
      </c>
      <c r="Q105" s="1476">
        <v>2055669976</v>
      </c>
      <c r="R105" s="1477"/>
      <c r="S105" s="1478"/>
    </row>
    <row r="106" spans="2:19" ht="13.15" customHeight="1">
      <c r="E106" s="464" t="s">
        <v>3062</v>
      </c>
      <c r="F106" s="458"/>
      <c r="G106" s="458"/>
      <c r="H106" s="1476">
        <v>2055218501</v>
      </c>
      <c r="I106" s="1478"/>
      <c r="J106" s="1481"/>
      <c r="K106" s="723" t="s">
        <v>2834</v>
      </c>
      <c r="L106" s="1482">
        <v>2054886501</v>
      </c>
      <c r="M106" s="1191"/>
      <c r="N106" s="466" t="s">
        <v>3061</v>
      </c>
      <c r="O106" s="1483" t="s">
        <v>4022</v>
      </c>
      <c r="P106" s="1484"/>
      <c r="Q106" s="1484"/>
      <c r="R106" s="1484"/>
      <c r="S106" s="1485"/>
    </row>
    <row r="107" spans="2:19" ht="6" customHeight="1">
      <c r="E107" s="464"/>
      <c r="F107" s="458"/>
      <c r="G107" s="458"/>
      <c r="H107" s="458"/>
      <c r="I107" s="458"/>
      <c r="J107" s="458"/>
      <c r="K107" s="458"/>
      <c r="L107" s="458"/>
      <c r="M107" s="458"/>
      <c r="N107" s="458"/>
      <c r="O107" s="458"/>
      <c r="P107" s="458"/>
      <c r="Q107" s="723"/>
      <c r="R107" s="723"/>
      <c r="S107" s="1492"/>
    </row>
    <row r="108" spans="2:19" ht="0.6" customHeight="1">
      <c r="E108" s="464"/>
      <c r="F108" s="458"/>
      <c r="G108" s="721"/>
      <c r="H108" s="1488"/>
      <c r="I108" s="1488"/>
      <c r="J108" s="1488"/>
      <c r="K108" s="714"/>
      <c r="L108" s="1488"/>
      <c r="M108" s="1488"/>
      <c r="N108" s="714"/>
      <c r="O108" s="1489"/>
      <c r="P108" s="1489"/>
      <c r="Q108" s="723"/>
      <c r="R108" s="1489"/>
      <c r="S108" s="1489"/>
    </row>
    <row r="109" spans="2:19" s="458" customFormat="1" ht="13.15" customHeight="1">
      <c r="B109" s="461" t="s">
        <v>2763</v>
      </c>
      <c r="C109" s="461" t="s">
        <v>384</v>
      </c>
      <c r="H109" s="1444" t="s">
        <v>3963</v>
      </c>
      <c r="I109" s="1190"/>
      <c r="J109" s="1190"/>
      <c r="K109" s="1190"/>
      <c r="L109" s="1190"/>
      <c r="M109" s="1190"/>
      <c r="N109" s="1191"/>
      <c r="O109" s="713" t="s">
        <v>3067</v>
      </c>
      <c r="P109" s="713"/>
      <c r="Q109" s="1444" t="s">
        <v>3965</v>
      </c>
      <c r="R109" s="1190"/>
      <c r="S109" s="1191"/>
    </row>
    <row r="110" spans="2:19" s="458" customFormat="1" ht="13.15" customHeight="1">
      <c r="D110" s="508"/>
      <c r="E110" s="464" t="s">
        <v>1642</v>
      </c>
      <c r="F110" s="472"/>
      <c r="H110" s="1444" t="s">
        <v>3985</v>
      </c>
      <c r="I110" s="1190"/>
      <c r="J110" s="1190"/>
      <c r="K110" s="1190"/>
      <c r="L110" s="1190"/>
      <c r="M110" s="1190"/>
      <c r="N110" s="1191"/>
      <c r="O110" s="713" t="s">
        <v>2776</v>
      </c>
      <c r="Q110" s="1444" t="s">
        <v>3966</v>
      </c>
      <c r="R110" s="1190"/>
      <c r="S110" s="1191"/>
    </row>
    <row r="111" spans="2:19" s="458" customFormat="1" ht="13.15" customHeight="1">
      <c r="D111" s="508"/>
      <c r="E111" s="464" t="s">
        <v>954</v>
      </c>
      <c r="H111" s="1444" t="s">
        <v>3964</v>
      </c>
      <c r="I111" s="1190"/>
      <c r="J111" s="1191"/>
      <c r="O111" s="713" t="s">
        <v>2835</v>
      </c>
      <c r="Q111" s="1476">
        <v>2052715526</v>
      </c>
      <c r="R111" s="1477"/>
      <c r="S111" s="1478"/>
    </row>
    <row r="112" spans="2:19" s="458" customFormat="1" ht="13.15" customHeight="1">
      <c r="D112" s="508"/>
      <c r="E112" s="464" t="s">
        <v>2831</v>
      </c>
      <c r="H112" s="1441" t="s">
        <v>1429</v>
      </c>
      <c r="I112" s="493" t="s">
        <v>3354</v>
      </c>
      <c r="J112" s="1479">
        <v>352032700</v>
      </c>
      <c r="K112" s="1191"/>
      <c r="O112" s="713" t="s">
        <v>3056</v>
      </c>
      <c r="Q112" s="1476">
        <v>2057900277</v>
      </c>
      <c r="R112" s="1477"/>
      <c r="S112" s="1478"/>
    </row>
    <row r="113" spans="1:19" ht="13.15" customHeight="1">
      <c r="E113" s="464" t="s">
        <v>3062</v>
      </c>
      <c r="F113" s="458"/>
      <c r="G113" s="458"/>
      <c r="H113" s="1476">
        <v>2058221010</v>
      </c>
      <c r="I113" s="1478"/>
      <c r="J113" s="1481"/>
      <c r="K113" s="723" t="s">
        <v>2834</v>
      </c>
      <c r="L113" s="1482">
        <v>2059305503</v>
      </c>
      <c r="M113" s="1191"/>
      <c r="N113" s="466" t="s">
        <v>3061</v>
      </c>
      <c r="O113" s="1483" t="s">
        <v>3967</v>
      </c>
      <c r="P113" s="1484"/>
      <c r="Q113" s="1484"/>
      <c r="R113" s="1484"/>
      <c r="S113" s="1485"/>
    </row>
    <row r="114" spans="1:19" ht="6.6" customHeight="1">
      <c r="E114" s="464"/>
      <c r="F114" s="458"/>
      <c r="G114" s="721"/>
      <c r="H114" s="1490"/>
      <c r="I114" s="1490"/>
      <c r="J114" s="1490"/>
      <c r="K114" s="723"/>
      <c r="L114" s="1490"/>
      <c r="M114" s="1490"/>
      <c r="N114" s="714"/>
      <c r="O114" s="1489"/>
      <c r="P114" s="1489"/>
      <c r="Q114" s="723"/>
      <c r="R114" s="1489"/>
      <c r="S114" s="1489"/>
    </row>
    <row r="115" spans="1:19" s="458" customFormat="1" ht="13.15" customHeight="1">
      <c r="B115" s="461" t="s">
        <v>2764</v>
      </c>
      <c r="C115" s="461" t="s">
        <v>385</v>
      </c>
      <c r="H115" s="1444" t="s">
        <v>3959</v>
      </c>
      <c r="I115" s="1190"/>
      <c r="J115" s="1190"/>
      <c r="K115" s="1190"/>
      <c r="L115" s="1190"/>
      <c r="M115" s="1190"/>
      <c r="N115" s="1191"/>
      <c r="O115" s="713" t="s">
        <v>3067</v>
      </c>
      <c r="P115" s="713"/>
      <c r="Q115" s="1444" t="s">
        <v>3960</v>
      </c>
      <c r="R115" s="1190"/>
      <c r="S115" s="1191"/>
    </row>
    <row r="116" spans="1:19" s="458" customFormat="1" ht="13.15" customHeight="1">
      <c r="D116" s="508"/>
      <c r="E116" s="464" t="s">
        <v>1642</v>
      </c>
      <c r="F116" s="472"/>
      <c r="H116" s="1444" t="s">
        <v>3962</v>
      </c>
      <c r="I116" s="1190"/>
      <c r="J116" s="1190"/>
      <c r="K116" s="1190"/>
      <c r="L116" s="1190"/>
      <c r="M116" s="1190"/>
      <c r="N116" s="1191"/>
      <c r="O116" s="713" t="s">
        <v>2776</v>
      </c>
      <c r="Q116" s="1444" t="s">
        <v>3943</v>
      </c>
      <c r="R116" s="1190"/>
      <c r="S116" s="1191"/>
    </row>
    <row r="117" spans="1:19" s="458" customFormat="1" ht="13.15" customHeight="1">
      <c r="D117" s="508"/>
      <c r="E117" s="464" t="s">
        <v>954</v>
      </c>
      <c r="H117" s="1444" t="s">
        <v>241</v>
      </c>
      <c r="I117" s="1190"/>
      <c r="J117" s="1191"/>
      <c r="O117" s="713" t="s">
        <v>2835</v>
      </c>
      <c r="Q117" s="1476">
        <v>3348341731</v>
      </c>
      <c r="R117" s="1477"/>
      <c r="S117" s="1478"/>
    </row>
    <row r="118" spans="1:19" s="458" customFormat="1" ht="13.15" customHeight="1">
      <c r="D118" s="513"/>
      <c r="E118" s="464" t="s">
        <v>2831</v>
      </c>
      <c r="H118" s="1441" t="s">
        <v>1429</v>
      </c>
      <c r="I118" s="493" t="s">
        <v>3354</v>
      </c>
      <c r="J118" s="1479">
        <v>361045109</v>
      </c>
      <c r="K118" s="1191"/>
      <c r="O118" s="713" t="s">
        <v>3056</v>
      </c>
      <c r="Q118" s="1476"/>
      <c r="R118" s="1477"/>
      <c r="S118" s="1478"/>
    </row>
    <row r="119" spans="1:19" s="458" customFormat="1" ht="13.15" customHeight="1">
      <c r="D119" s="513"/>
      <c r="E119" s="464" t="s">
        <v>3062</v>
      </c>
      <c r="H119" s="1476">
        <v>3348341731</v>
      </c>
      <c r="I119" s="1478"/>
      <c r="J119" s="1481"/>
      <c r="K119" s="723" t="s">
        <v>2834</v>
      </c>
      <c r="L119" s="1482">
        <v>3348341736</v>
      </c>
      <c r="M119" s="1191"/>
      <c r="N119" s="466" t="s">
        <v>3061</v>
      </c>
      <c r="O119" s="1483" t="s">
        <v>3961</v>
      </c>
      <c r="P119" s="1484"/>
      <c r="Q119" s="1484"/>
      <c r="R119" s="1484"/>
      <c r="S119" s="1485"/>
    </row>
    <row r="120" spans="1:19" ht="13.15" customHeight="1"/>
    <row r="121" spans="1:19" s="458" customFormat="1" ht="13.15" customHeight="1">
      <c r="A121" s="461" t="s">
        <v>2824</v>
      </c>
      <c r="B121" s="461" t="s">
        <v>3919</v>
      </c>
      <c r="F121" s="461"/>
      <c r="G121" s="723"/>
      <c r="H121" s="723"/>
      <c r="I121" s="723"/>
      <c r="J121" s="723"/>
      <c r="K121" s="723"/>
      <c r="L121" s="723"/>
      <c r="M121" s="723"/>
      <c r="N121" s="723"/>
      <c r="O121" s="723"/>
      <c r="P121" s="723"/>
      <c r="Q121" s="717"/>
    </row>
    <row r="122" spans="1:19" s="458" customFormat="1" ht="6.6" customHeight="1">
      <c r="A122" s="461"/>
      <c r="B122" s="461"/>
      <c r="F122" s="461"/>
      <c r="G122" s="723"/>
      <c r="H122" s="723"/>
      <c r="I122" s="723"/>
      <c r="J122" s="723"/>
      <c r="K122" s="723"/>
      <c r="L122" s="723"/>
      <c r="M122" s="723"/>
      <c r="N122" s="723"/>
      <c r="O122" s="723"/>
      <c r="P122" s="723"/>
      <c r="Q122" s="717"/>
    </row>
    <row r="123" spans="1:19" s="458" customFormat="1" ht="21.6" customHeight="1">
      <c r="A123" s="805" t="s">
        <v>977</v>
      </c>
      <c r="B123" s="1493"/>
      <c r="C123" s="1493"/>
      <c r="D123" s="1494"/>
      <c r="E123" s="806" t="s">
        <v>3543</v>
      </c>
      <c r="F123" s="809" t="s">
        <v>3536</v>
      </c>
      <c r="G123" s="813" t="s">
        <v>3537</v>
      </c>
      <c r="H123" s="814"/>
      <c r="I123" s="815"/>
      <c r="J123" s="813" t="s">
        <v>3538</v>
      </c>
      <c r="K123" s="822"/>
      <c r="L123" s="813" t="s">
        <v>3539</v>
      </c>
      <c r="M123" s="827"/>
      <c r="N123" s="813" t="s">
        <v>3540</v>
      </c>
      <c r="O123" s="815"/>
      <c r="P123" s="813" t="s">
        <v>3541</v>
      </c>
      <c r="Q123" s="815"/>
      <c r="R123" s="813" t="s">
        <v>3542</v>
      </c>
      <c r="S123" s="832"/>
    </row>
    <row r="124" spans="1:19" s="458" customFormat="1" ht="21.6" customHeight="1">
      <c r="A124" s="1495"/>
      <c r="B124" s="1496"/>
      <c r="C124" s="1496"/>
      <c r="D124" s="1497"/>
      <c r="E124" s="807"/>
      <c r="F124" s="810"/>
      <c r="G124" s="816"/>
      <c r="H124" s="817"/>
      <c r="I124" s="818"/>
      <c r="J124" s="823"/>
      <c r="K124" s="824"/>
      <c r="L124" s="816"/>
      <c r="M124" s="828"/>
      <c r="N124" s="816"/>
      <c r="O124" s="818"/>
      <c r="P124" s="816"/>
      <c r="Q124" s="818"/>
      <c r="R124" s="816"/>
      <c r="S124" s="833"/>
    </row>
    <row r="125" spans="1:19" s="458" customFormat="1" ht="21.6" customHeight="1">
      <c r="A125" s="1495"/>
      <c r="B125" s="1496"/>
      <c r="C125" s="1496"/>
      <c r="D125" s="1497"/>
      <c r="E125" s="807"/>
      <c r="F125" s="811"/>
      <c r="G125" s="816"/>
      <c r="H125" s="817"/>
      <c r="I125" s="818"/>
      <c r="J125" s="823"/>
      <c r="K125" s="824"/>
      <c r="L125" s="829"/>
      <c r="M125" s="828"/>
      <c r="N125" s="816"/>
      <c r="O125" s="818"/>
      <c r="P125" s="816"/>
      <c r="Q125" s="818"/>
      <c r="R125" s="834"/>
      <c r="S125" s="833"/>
    </row>
    <row r="126" spans="1:19" s="458" customFormat="1" ht="21.6" customHeight="1">
      <c r="A126" s="1495"/>
      <c r="B126" s="1496"/>
      <c r="C126" s="1496"/>
      <c r="D126" s="1497"/>
      <c r="E126" s="807"/>
      <c r="F126" s="811"/>
      <c r="G126" s="816"/>
      <c r="H126" s="817"/>
      <c r="I126" s="818"/>
      <c r="J126" s="823"/>
      <c r="K126" s="824"/>
      <c r="L126" s="829"/>
      <c r="M126" s="828"/>
      <c r="N126" s="816"/>
      <c r="O126" s="818"/>
      <c r="P126" s="816"/>
      <c r="Q126" s="818"/>
      <c r="R126" s="834"/>
      <c r="S126" s="833"/>
    </row>
    <row r="127" spans="1:19" s="458" customFormat="1" ht="21.6" customHeight="1">
      <c r="A127" s="1498"/>
      <c r="B127" s="1499"/>
      <c r="C127" s="1499"/>
      <c r="D127" s="1500"/>
      <c r="E127" s="808"/>
      <c r="F127" s="812"/>
      <c r="G127" s="819"/>
      <c r="H127" s="820"/>
      <c r="I127" s="821"/>
      <c r="J127" s="825"/>
      <c r="K127" s="826"/>
      <c r="L127" s="830"/>
      <c r="M127" s="831"/>
      <c r="N127" s="819"/>
      <c r="O127" s="821"/>
      <c r="P127" s="819"/>
      <c r="Q127" s="821"/>
      <c r="R127" s="835"/>
      <c r="S127" s="836"/>
    </row>
    <row r="128" spans="1:19" s="458" customFormat="1" ht="13.9" customHeight="1">
      <c r="A128" s="718" t="s">
        <v>3535</v>
      </c>
      <c r="B128" s="719"/>
      <c r="C128" s="719"/>
      <c r="D128" s="726"/>
      <c r="E128" s="1501" t="s">
        <v>3924</v>
      </c>
      <c r="F128" s="1501" t="s">
        <v>3924</v>
      </c>
      <c r="G128" s="1502" t="s">
        <v>3924</v>
      </c>
      <c r="H128" s="1503"/>
      <c r="I128" s="1504"/>
      <c r="J128" s="1502" t="s">
        <v>3925</v>
      </c>
      <c r="K128" s="1504"/>
      <c r="L128" s="1502" t="s">
        <v>3924</v>
      </c>
      <c r="M128" s="1504"/>
      <c r="N128" s="1502" t="s">
        <v>3924</v>
      </c>
      <c r="O128" s="1504"/>
      <c r="P128" s="1505" t="s">
        <v>3945</v>
      </c>
      <c r="Q128" s="1506"/>
      <c r="R128" s="1507">
        <v>5.1E-5</v>
      </c>
      <c r="S128" s="1508"/>
    </row>
    <row r="129" spans="1:19" s="458" customFormat="1" ht="13.9" customHeight="1">
      <c r="A129" s="720" t="s">
        <v>3525</v>
      </c>
      <c r="B129" s="721"/>
      <c r="C129" s="721"/>
      <c r="D129" s="722"/>
      <c r="E129" s="1509" t="s">
        <v>3924</v>
      </c>
      <c r="F129" s="1509" t="s">
        <v>3925</v>
      </c>
      <c r="G129" s="1510" t="s">
        <v>3924</v>
      </c>
      <c r="H129" s="1511"/>
      <c r="I129" s="1512"/>
      <c r="J129" s="1510" t="s">
        <v>3925</v>
      </c>
      <c r="K129" s="1512"/>
      <c r="L129" s="1510" t="s">
        <v>3924</v>
      </c>
      <c r="M129" s="1512"/>
      <c r="N129" s="1510" t="s">
        <v>3924</v>
      </c>
      <c r="O129" s="1512"/>
      <c r="P129" s="1513" t="s">
        <v>3945</v>
      </c>
      <c r="Q129" s="1514"/>
      <c r="R129" s="1515">
        <v>4.8999999999999998E-5</v>
      </c>
      <c r="S129" s="1516"/>
    </row>
    <row r="130" spans="1:19" s="458" customFormat="1" ht="13.9" customHeight="1">
      <c r="A130" s="720" t="s">
        <v>3526</v>
      </c>
      <c r="B130" s="721"/>
      <c r="C130" s="721"/>
      <c r="D130" s="722"/>
      <c r="E130" s="1509"/>
      <c r="F130" s="1509"/>
      <c r="G130" s="1510"/>
      <c r="H130" s="1511"/>
      <c r="I130" s="1512"/>
      <c r="J130" s="1510"/>
      <c r="K130" s="1512"/>
      <c r="L130" s="1510"/>
      <c r="M130" s="1512"/>
      <c r="N130" s="1510"/>
      <c r="O130" s="1512"/>
      <c r="P130" s="1513"/>
      <c r="Q130" s="1514"/>
      <c r="R130" s="1515"/>
      <c r="S130" s="1516"/>
    </row>
    <row r="131" spans="1:19" s="458" customFormat="1" ht="13.9" customHeight="1">
      <c r="A131" s="720" t="s">
        <v>3527</v>
      </c>
      <c r="B131" s="721"/>
      <c r="C131" s="721"/>
      <c r="D131" s="722"/>
      <c r="E131" s="1509" t="s">
        <v>3924</v>
      </c>
      <c r="F131" s="1509" t="s">
        <v>3924</v>
      </c>
      <c r="G131" s="1510" t="s">
        <v>3924</v>
      </c>
      <c r="H131" s="1511"/>
      <c r="I131" s="1512"/>
      <c r="J131" s="1510" t="s">
        <v>3924</v>
      </c>
      <c r="K131" s="1512"/>
      <c r="L131" s="1510" t="s">
        <v>3924</v>
      </c>
      <c r="M131" s="1512"/>
      <c r="N131" s="1510" t="s">
        <v>3924</v>
      </c>
      <c r="O131" s="1512"/>
      <c r="P131" s="1513" t="s">
        <v>3945</v>
      </c>
      <c r="Q131" s="1514"/>
      <c r="R131" s="1515">
        <v>0.9899</v>
      </c>
      <c r="S131" s="1516"/>
    </row>
    <row r="132" spans="1:19" s="458" customFormat="1" ht="13.9" customHeight="1">
      <c r="A132" s="720" t="s">
        <v>3528</v>
      </c>
      <c r="B132" s="721"/>
      <c r="C132" s="721"/>
      <c r="D132" s="722"/>
      <c r="E132" s="1509" t="s">
        <v>3924</v>
      </c>
      <c r="F132" s="1509" t="s">
        <v>3924</v>
      </c>
      <c r="G132" s="1510" t="s">
        <v>3924</v>
      </c>
      <c r="H132" s="1511"/>
      <c r="I132" s="1512"/>
      <c r="J132" s="1510" t="s">
        <v>3924</v>
      </c>
      <c r="K132" s="1512"/>
      <c r="L132" s="1510" t="s">
        <v>3924</v>
      </c>
      <c r="M132" s="1512"/>
      <c r="N132" s="1510" t="s">
        <v>3924</v>
      </c>
      <c r="O132" s="1512"/>
      <c r="P132" s="1513" t="s">
        <v>3945</v>
      </c>
      <c r="Q132" s="1514"/>
      <c r="R132" s="1515">
        <v>0.01</v>
      </c>
      <c r="S132" s="1516"/>
    </row>
    <row r="133" spans="1:19" s="458" customFormat="1" ht="13.9" customHeight="1">
      <c r="A133" s="720" t="s">
        <v>3529</v>
      </c>
      <c r="B133" s="721"/>
      <c r="C133" s="721"/>
      <c r="D133" s="722"/>
      <c r="E133" s="1509" t="s">
        <v>3924</v>
      </c>
      <c r="F133" s="1509" t="s">
        <v>3924</v>
      </c>
      <c r="G133" s="1510" t="s">
        <v>3924</v>
      </c>
      <c r="H133" s="1511"/>
      <c r="I133" s="1512"/>
      <c r="J133" s="1510" t="s">
        <v>3925</v>
      </c>
      <c r="K133" s="1512"/>
      <c r="L133" s="1510" t="s">
        <v>3924</v>
      </c>
      <c r="M133" s="1512"/>
      <c r="N133" s="1510" t="s">
        <v>3924</v>
      </c>
      <c r="O133" s="1512"/>
      <c r="P133" s="1513" t="s">
        <v>3914</v>
      </c>
      <c r="Q133" s="1514"/>
      <c r="R133" s="1515">
        <v>0</v>
      </c>
      <c r="S133" s="1516"/>
    </row>
    <row r="134" spans="1:19" s="458" customFormat="1" ht="13.9" customHeight="1">
      <c r="A134" s="720" t="s">
        <v>997</v>
      </c>
      <c r="B134" s="721"/>
      <c r="C134" s="721"/>
      <c r="D134" s="722"/>
      <c r="E134" s="1509" t="s">
        <v>3924</v>
      </c>
      <c r="F134" s="1509" t="s">
        <v>3925</v>
      </c>
      <c r="G134" s="1510" t="s">
        <v>3924</v>
      </c>
      <c r="H134" s="1511"/>
      <c r="I134" s="1512"/>
      <c r="J134" s="1510" t="s">
        <v>3925</v>
      </c>
      <c r="K134" s="1512"/>
      <c r="L134" s="1510" t="s">
        <v>3924</v>
      </c>
      <c r="M134" s="1512"/>
      <c r="N134" s="1510" t="s">
        <v>3924</v>
      </c>
      <c r="O134" s="1512"/>
      <c r="P134" s="1513" t="s">
        <v>3945</v>
      </c>
      <c r="Q134" s="1514"/>
      <c r="R134" s="1515">
        <v>0</v>
      </c>
      <c r="S134" s="1516"/>
    </row>
    <row r="135" spans="1:19" s="458" customFormat="1" ht="13.9" customHeight="1">
      <c r="A135" s="720" t="s">
        <v>3530</v>
      </c>
      <c r="B135" s="721"/>
      <c r="C135" s="721"/>
      <c r="D135" s="722"/>
      <c r="E135" s="1509" t="s">
        <v>3924</v>
      </c>
      <c r="F135" s="1509" t="s">
        <v>3924</v>
      </c>
      <c r="G135" s="1510" t="s">
        <v>3924</v>
      </c>
      <c r="H135" s="1511"/>
      <c r="I135" s="1512"/>
      <c r="J135" s="1510" t="s">
        <v>3925</v>
      </c>
      <c r="K135" s="1512"/>
      <c r="L135" s="1510" t="s">
        <v>3924</v>
      </c>
      <c r="M135" s="1512"/>
      <c r="N135" s="1510" t="s">
        <v>3924</v>
      </c>
      <c r="O135" s="1512"/>
      <c r="P135" s="1513" t="s">
        <v>3914</v>
      </c>
      <c r="Q135" s="1514"/>
      <c r="R135" s="1515">
        <v>0</v>
      </c>
      <c r="S135" s="1516"/>
    </row>
    <row r="136" spans="1:19" s="458" customFormat="1" ht="13.9" customHeight="1">
      <c r="A136" s="720" t="s">
        <v>3531</v>
      </c>
      <c r="B136" s="721"/>
      <c r="C136" s="721"/>
      <c r="D136" s="722"/>
      <c r="E136" s="1509"/>
      <c r="F136" s="1509"/>
      <c r="G136" s="1510"/>
      <c r="H136" s="1511"/>
      <c r="I136" s="1512"/>
      <c r="J136" s="1510"/>
      <c r="K136" s="1512"/>
      <c r="L136" s="1510"/>
      <c r="M136" s="1512"/>
      <c r="N136" s="1510"/>
      <c r="O136" s="1512"/>
      <c r="P136" s="1513"/>
      <c r="Q136" s="1514"/>
      <c r="R136" s="1515"/>
      <c r="S136" s="1516"/>
    </row>
    <row r="137" spans="1:19" s="458" customFormat="1" ht="13.9" customHeight="1">
      <c r="A137" s="720" t="s">
        <v>3532</v>
      </c>
      <c r="B137" s="721"/>
      <c r="C137" s="721"/>
      <c r="D137" s="722"/>
      <c r="E137" s="1509"/>
      <c r="F137" s="1509"/>
      <c r="G137" s="1510"/>
      <c r="H137" s="1511"/>
      <c r="I137" s="1512"/>
      <c r="J137" s="1510"/>
      <c r="K137" s="1512"/>
      <c r="L137" s="1510"/>
      <c r="M137" s="1512"/>
      <c r="N137" s="1510"/>
      <c r="O137" s="1512"/>
      <c r="P137" s="1513"/>
      <c r="Q137" s="1514"/>
      <c r="R137" s="1515"/>
      <c r="S137" s="1516"/>
    </row>
    <row r="138" spans="1:19" s="458" customFormat="1" ht="13.9" customHeight="1">
      <c r="A138" s="720" t="s">
        <v>3533</v>
      </c>
      <c r="B138" s="721"/>
      <c r="C138" s="721"/>
      <c r="D138" s="722"/>
      <c r="E138" s="1509" t="s">
        <v>3924</v>
      </c>
      <c r="F138" s="1509" t="s">
        <v>3924</v>
      </c>
      <c r="G138" s="1510" t="s">
        <v>3924</v>
      </c>
      <c r="H138" s="1511"/>
      <c r="I138" s="1512"/>
      <c r="J138" s="1510" t="s">
        <v>3924</v>
      </c>
      <c r="K138" s="1512"/>
      <c r="L138" s="1510" t="s">
        <v>3924</v>
      </c>
      <c r="M138" s="1512"/>
      <c r="N138" s="1510" t="s">
        <v>3924</v>
      </c>
      <c r="O138" s="1512"/>
      <c r="P138" s="1513" t="s">
        <v>3914</v>
      </c>
      <c r="Q138" s="1514"/>
      <c r="R138" s="1515">
        <v>0</v>
      </c>
      <c r="S138" s="1516"/>
    </row>
    <row r="139" spans="1:19" s="458" customFormat="1" ht="13.9" customHeight="1">
      <c r="A139" s="720" t="s">
        <v>2281</v>
      </c>
      <c r="B139" s="721"/>
      <c r="C139" s="721"/>
      <c r="D139" s="722"/>
      <c r="E139" s="1509" t="s">
        <v>3924</v>
      </c>
      <c r="F139" s="1509" t="s">
        <v>3924</v>
      </c>
      <c r="G139" s="1510" t="s">
        <v>3924</v>
      </c>
      <c r="H139" s="1511"/>
      <c r="I139" s="1512"/>
      <c r="J139" s="1510" t="s">
        <v>3924</v>
      </c>
      <c r="K139" s="1512"/>
      <c r="L139" s="1510" t="s">
        <v>3924</v>
      </c>
      <c r="M139" s="1512"/>
      <c r="N139" s="1510" t="s">
        <v>3924</v>
      </c>
      <c r="O139" s="1512"/>
      <c r="P139" s="1513" t="s">
        <v>3945</v>
      </c>
      <c r="Q139" s="1514"/>
      <c r="R139" s="1515">
        <v>0</v>
      </c>
      <c r="S139" s="1516"/>
    </row>
    <row r="140" spans="1:19" s="458" customFormat="1" ht="13.9" customHeight="1">
      <c r="A140" s="724" t="s">
        <v>3534</v>
      </c>
      <c r="B140" s="725"/>
      <c r="C140" s="725"/>
      <c r="D140" s="514"/>
      <c r="E140" s="1517" t="s">
        <v>3924</v>
      </c>
      <c r="F140" s="1517" t="s">
        <v>3924</v>
      </c>
      <c r="G140" s="1518" t="s">
        <v>3924</v>
      </c>
      <c r="H140" s="1519"/>
      <c r="I140" s="1520"/>
      <c r="J140" s="1518" t="s">
        <v>3924</v>
      </c>
      <c r="K140" s="1520"/>
      <c r="L140" s="1518" t="s">
        <v>3924</v>
      </c>
      <c r="M140" s="1520"/>
      <c r="N140" s="1518" t="s">
        <v>3924</v>
      </c>
      <c r="O140" s="1520"/>
      <c r="P140" s="1521" t="s">
        <v>3945</v>
      </c>
      <c r="Q140" s="1522"/>
      <c r="R140" s="1523">
        <v>0</v>
      </c>
      <c r="S140" s="1524"/>
    </row>
    <row r="141" spans="1:19" s="721" customFormat="1" ht="13.9" customHeight="1">
      <c r="G141" s="470"/>
      <c r="H141" s="470"/>
      <c r="I141" s="470"/>
      <c r="J141" s="723"/>
      <c r="K141" s="723"/>
      <c r="L141" s="723"/>
      <c r="M141" s="723"/>
      <c r="P141" s="468"/>
      <c r="Q141" s="489" t="s">
        <v>833</v>
      </c>
      <c r="R141" s="837">
        <f>SUM(R128:S140)</f>
        <v>1</v>
      </c>
      <c r="S141" s="838"/>
    </row>
    <row r="142" spans="1:19" s="721" customFormat="1" ht="12" customHeight="1">
      <c r="G142" s="470"/>
      <c r="H142" s="470"/>
      <c r="I142" s="470"/>
      <c r="J142" s="723"/>
      <c r="K142" s="723"/>
      <c r="L142" s="723"/>
      <c r="M142" s="723"/>
      <c r="P142" s="468"/>
      <c r="R142" s="459"/>
      <c r="S142" s="515"/>
    </row>
    <row r="143" spans="1:19" ht="12" customHeight="1">
      <c r="A143" s="491" t="s">
        <v>2826</v>
      </c>
      <c r="B143" s="506"/>
      <c r="C143" s="491" t="s">
        <v>880</v>
      </c>
      <c r="N143" s="491" t="s">
        <v>823</v>
      </c>
      <c r="O143" s="491" t="s">
        <v>89</v>
      </c>
    </row>
    <row r="144" spans="1:19" ht="3.6" customHeight="1">
      <c r="B144" s="506"/>
    </row>
    <row r="145" spans="1:19" ht="42.6" customHeight="1">
      <c r="A145" s="1290" t="s">
        <v>4025</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5" t="s">
        <v>2831</v>
      </c>
    </row>
    <row r="153" spans="1:19" s="458" customFormat="1" ht="12" customHeight="1">
      <c r="A153" s="508"/>
      <c r="B153" s="482"/>
      <c r="C153" s="482"/>
      <c r="D153" s="482"/>
      <c r="E153" s="482"/>
      <c r="F153" s="482"/>
      <c r="G153" s="482"/>
      <c r="H153" s="482"/>
      <c r="I153" s="482"/>
      <c r="J153" s="482"/>
      <c r="K153" s="482"/>
      <c r="L153" s="482"/>
      <c r="M153" s="482"/>
      <c r="N153" s="482"/>
      <c r="O153" s="482"/>
      <c r="P153" s="507" t="s">
        <v>1429</v>
      </c>
    </row>
    <row r="154" spans="1:19" s="458" customFormat="1" ht="12" customHeight="1">
      <c r="A154" s="508"/>
      <c r="B154" s="482"/>
      <c r="C154" s="482"/>
      <c r="D154" s="482"/>
      <c r="E154" s="482"/>
      <c r="F154" s="482"/>
      <c r="G154" s="482"/>
      <c r="H154" s="482"/>
      <c r="I154" s="482"/>
      <c r="J154" s="482"/>
      <c r="K154" s="482"/>
      <c r="L154" s="482"/>
      <c r="M154" s="482"/>
      <c r="N154" s="482"/>
      <c r="O154" s="482"/>
      <c r="P154" s="507" t="s">
        <v>1430</v>
      </c>
    </row>
    <row r="155" spans="1:19" s="458" customFormat="1" ht="12" customHeight="1">
      <c r="A155" s="508"/>
      <c r="B155" s="482"/>
      <c r="C155" s="482"/>
      <c r="D155" s="482"/>
      <c r="E155" s="482"/>
      <c r="F155" s="482"/>
      <c r="G155" s="482"/>
      <c r="H155" s="482"/>
      <c r="I155" s="482"/>
      <c r="J155" s="482"/>
      <c r="K155" s="482"/>
      <c r="L155" s="482"/>
      <c r="M155" s="482"/>
      <c r="N155" s="482"/>
      <c r="O155" s="482"/>
      <c r="P155" s="507" t="s">
        <v>1431</v>
      </c>
    </row>
    <row r="156" spans="1:19" s="458" customFormat="1" ht="12" customHeight="1">
      <c r="A156" s="733"/>
      <c r="B156" s="482"/>
      <c r="C156" s="482"/>
      <c r="D156" s="482"/>
      <c r="E156" s="482"/>
      <c r="F156" s="482"/>
      <c r="G156" s="482"/>
      <c r="H156" s="482"/>
      <c r="I156" s="482"/>
      <c r="J156" s="482"/>
      <c r="K156" s="482"/>
      <c r="L156" s="482"/>
      <c r="M156" s="482"/>
      <c r="N156" s="482"/>
      <c r="O156" s="482"/>
      <c r="P156" s="507" t="s">
        <v>1432</v>
      </c>
    </row>
    <row r="157" spans="1:19" s="458" customFormat="1" ht="12" customHeight="1">
      <c r="B157" s="482"/>
      <c r="C157" s="482"/>
      <c r="D157" s="482"/>
      <c r="E157" s="482"/>
      <c r="F157" s="482"/>
      <c r="G157" s="482"/>
      <c r="H157" s="482"/>
      <c r="I157" s="482"/>
      <c r="J157" s="482"/>
      <c r="K157" s="482"/>
      <c r="L157" s="482"/>
      <c r="M157" s="482"/>
      <c r="N157" s="482"/>
      <c r="O157" s="482"/>
      <c r="P157" s="507" t="s">
        <v>1433</v>
      </c>
    </row>
    <row r="158" spans="1:19" s="458" customFormat="1" ht="12" customHeight="1">
      <c r="B158" s="482"/>
      <c r="C158" s="482"/>
      <c r="D158" s="482"/>
      <c r="E158" s="482"/>
      <c r="F158" s="482"/>
      <c r="G158" s="482"/>
      <c r="H158" s="482"/>
      <c r="I158" s="482"/>
      <c r="J158" s="482"/>
      <c r="K158" s="482"/>
      <c r="L158" s="482"/>
      <c r="M158" s="482"/>
      <c r="N158" s="482"/>
      <c r="O158" s="482"/>
      <c r="P158" s="507" t="s">
        <v>1434</v>
      </c>
    </row>
    <row r="159" spans="1:19" s="458" customFormat="1" ht="12" customHeight="1">
      <c r="B159" s="482"/>
      <c r="C159" s="482"/>
      <c r="D159" s="482"/>
      <c r="E159" s="482"/>
      <c r="F159" s="482"/>
      <c r="G159" s="482"/>
      <c r="H159" s="482"/>
      <c r="I159" s="482"/>
      <c r="J159" s="482"/>
      <c r="K159" s="482"/>
      <c r="L159" s="482"/>
      <c r="M159" s="482"/>
      <c r="N159" s="482"/>
      <c r="O159" s="482"/>
      <c r="P159" s="507" t="s">
        <v>1435</v>
      </c>
    </row>
    <row r="160" spans="1:19" s="458" customFormat="1" ht="12" customHeight="1">
      <c r="B160" s="482"/>
      <c r="C160" s="482"/>
      <c r="D160" s="482"/>
      <c r="E160" s="482"/>
      <c r="F160" s="482"/>
      <c r="G160" s="482"/>
      <c r="H160" s="482"/>
      <c r="I160" s="482"/>
      <c r="J160" s="482"/>
      <c r="K160" s="482"/>
      <c r="L160" s="482"/>
      <c r="M160" s="482"/>
      <c r="N160" s="482"/>
      <c r="O160" s="482"/>
      <c r="P160" s="507" t="s">
        <v>1436</v>
      </c>
    </row>
    <row r="161" spans="1:16" ht="12" customHeight="1">
      <c r="P161" s="507" t="s">
        <v>1437</v>
      </c>
    </row>
    <row r="162" spans="1:16" ht="12" customHeight="1">
      <c r="A162" s="491"/>
      <c r="P162" s="507" t="s">
        <v>1438</v>
      </c>
    </row>
    <row r="163" spans="1:16" ht="12" customHeight="1">
      <c r="P163" s="507" t="s">
        <v>1439</v>
      </c>
    </row>
    <row r="164" spans="1:16" ht="12" customHeight="1">
      <c r="P164" s="507" t="s">
        <v>1440</v>
      </c>
    </row>
    <row r="165" spans="1:16" ht="12" customHeight="1">
      <c r="P165" s="507" t="s">
        <v>1441</v>
      </c>
    </row>
    <row r="166" spans="1:16" ht="12" customHeight="1">
      <c r="P166" s="507" t="s">
        <v>1442</v>
      </c>
    </row>
    <row r="167" spans="1:16" ht="12" customHeight="1">
      <c r="P167" s="507" t="s">
        <v>1443</v>
      </c>
    </row>
    <row r="168" spans="1:16" ht="12" customHeight="1">
      <c r="P168" s="507" t="s">
        <v>1444</v>
      </c>
    </row>
    <row r="169" spans="1:16" ht="12" customHeight="1">
      <c r="P169" s="507" t="s">
        <v>1445</v>
      </c>
    </row>
    <row r="170" spans="1:16" ht="12" customHeight="1">
      <c r="P170" s="507" t="s">
        <v>1446</v>
      </c>
    </row>
    <row r="171" spans="1:16" ht="12" customHeight="1">
      <c r="P171" s="507" t="s">
        <v>1447</v>
      </c>
    </row>
    <row r="172" spans="1:16" ht="12" customHeight="1">
      <c r="P172" s="507" t="s">
        <v>1448</v>
      </c>
    </row>
    <row r="173" spans="1:16" ht="12" customHeight="1">
      <c r="P173" s="507" t="s">
        <v>1449</v>
      </c>
    </row>
    <row r="174" spans="1:16" ht="12" customHeight="1">
      <c r="P174" s="507" t="s">
        <v>1450</v>
      </c>
    </row>
    <row r="175" spans="1:16" ht="12" customHeight="1">
      <c r="P175" s="507" t="s">
        <v>1451</v>
      </c>
    </row>
    <row r="176" spans="1:16" ht="12" customHeight="1">
      <c r="P176" s="507" t="s">
        <v>1452</v>
      </c>
    </row>
    <row r="177" spans="16:16" ht="12" customHeight="1">
      <c r="P177" s="507" t="s">
        <v>1453</v>
      </c>
    </row>
    <row r="178" spans="16:16" ht="12" customHeight="1">
      <c r="P178" s="507" t="s">
        <v>2044</v>
      </c>
    </row>
    <row r="179" spans="16:16" ht="12" customHeight="1">
      <c r="P179" s="507" t="s">
        <v>2045</v>
      </c>
    </row>
    <row r="180" spans="16:16" ht="12" customHeight="1">
      <c r="P180" s="507" t="s">
        <v>2046</v>
      </c>
    </row>
    <row r="181" spans="16:16" ht="12" customHeight="1">
      <c r="P181" s="507" t="s">
        <v>2047</v>
      </c>
    </row>
    <row r="182" spans="16:16" ht="12" customHeight="1">
      <c r="P182" s="507" t="s">
        <v>2048</v>
      </c>
    </row>
    <row r="183" spans="16:16" ht="13.5">
      <c r="P183" s="507" t="s">
        <v>2049</v>
      </c>
    </row>
    <row r="184" spans="16:16" ht="12" customHeight="1">
      <c r="P184" s="507" t="s">
        <v>2050</v>
      </c>
    </row>
    <row r="185" spans="16:16" ht="12" customHeight="1">
      <c r="P185" s="507" t="s">
        <v>2051</v>
      </c>
    </row>
    <row r="186" spans="16:16" ht="12" customHeight="1">
      <c r="P186" s="507" t="s">
        <v>2052</v>
      </c>
    </row>
    <row r="187" spans="16:16" ht="12" customHeight="1">
      <c r="P187" s="507" t="s">
        <v>2053</v>
      </c>
    </row>
    <row r="188" spans="16:16" ht="12" customHeight="1">
      <c r="P188" s="507" t="s">
        <v>2054</v>
      </c>
    </row>
    <row r="189" spans="16:16" ht="12" customHeight="1">
      <c r="P189" s="507" t="s">
        <v>2055</v>
      </c>
    </row>
    <row r="190" spans="16:16" ht="12" customHeight="1">
      <c r="P190" s="507" t="s">
        <v>2056</v>
      </c>
    </row>
    <row r="191" spans="16:16" ht="12" customHeight="1">
      <c r="P191" s="507" t="s">
        <v>2057</v>
      </c>
    </row>
    <row r="192" spans="16:16" ht="12" customHeight="1">
      <c r="P192" s="507" t="s">
        <v>2058</v>
      </c>
    </row>
    <row r="193" spans="16:16" ht="12" customHeight="1">
      <c r="P193" s="507" t="s">
        <v>2059</v>
      </c>
    </row>
    <row r="194" spans="16:16" ht="12" customHeight="1">
      <c r="P194" s="507" t="s">
        <v>2060</v>
      </c>
    </row>
    <row r="195" spans="16:16" ht="12" customHeight="1">
      <c r="P195" s="507" t="s">
        <v>2061</v>
      </c>
    </row>
    <row r="196" spans="16:16" ht="12" customHeight="1">
      <c r="P196" s="507" t="s">
        <v>2062</v>
      </c>
    </row>
    <row r="197" spans="16:16" ht="12" customHeight="1">
      <c r="P197" s="507" t="s">
        <v>2063</v>
      </c>
    </row>
    <row r="198" spans="16:16" ht="12" customHeight="1">
      <c r="P198" s="507" t="s">
        <v>2064</v>
      </c>
    </row>
    <row r="199" spans="16:16" ht="12" customHeight="1">
      <c r="P199" s="507" t="s">
        <v>2065</v>
      </c>
    </row>
    <row r="200" spans="16:16" ht="12" customHeight="1">
      <c r="P200" s="507" t="s">
        <v>2066</v>
      </c>
    </row>
    <row r="201" spans="16:16" ht="12" customHeight="1">
      <c r="P201" s="507" t="s">
        <v>2067</v>
      </c>
    </row>
    <row r="202" spans="16:16" ht="12" customHeight="1">
      <c r="P202" s="507" t="s">
        <v>2068</v>
      </c>
    </row>
    <row r="203" spans="16:16" ht="12" customHeight="1">
      <c r="P203" s="507" t="s">
        <v>2069</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G140 J128:O140 H128:I138">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March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20" zoomScaleNormal="85" zoomScaleSheetLayoutView="90" workbookViewId="0">
      <selection activeCell="H29" sqref="H29"/>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2011-043 Calypso, Palmetto, Fulton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951</v>
      </c>
      <c r="B3" s="485" t="s">
        <v>3771</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1441" t="s">
        <v>3925</v>
      </c>
      <c r="C5" s="713" t="s">
        <v>3653</v>
      </c>
      <c r="D5" s="458"/>
      <c r="E5" s="1441"/>
      <c r="F5" s="715" t="s">
        <v>2654</v>
      </c>
      <c r="G5" s="458"/>
      <c r="J5" s="1442"/>
      <c r="K5" s="1443"/>
      <c r="M5" s="1441"/>
      <c r="N5" s="713" t="s">
        <v>846</v>
      </c>
    </row>
    <row r="6" spans="1:17" s="398" customFormat="1" ht="16.899999999999999" customHeight="1">
      <c r="A6" s="733"/>
      <c r="B6" s="1441"/>
      <c r="C6" s="713" t="s">
        <v>2836</v>
      </c>
      <c r="D6" s="458"/>
      <c r="E6" s="1441"/>
      <c r="F6" s="715" t="s">
        <v>3312</v>
      </c>
      <c r="J6" s="1441"/>
      <c r="K6" s="721" t="s">
        <v>847</v>
      </c>
      <c r="M6" s="1441"/>
      <c r="N6" s="715" t="s">
        <v>845</v>
      </c>
    </row>
    <row r="7" spans="1:17" s="398" customFormat="1" ht="16.899999999999999" customHeight="1">
      <c r="A7" s="458"/>
      <c r="B7" s="1441"/>
      <c r="C7" s="713" t="s">
        <v>2837</v>
      </c>
      <c r="E7" s="1441"/>
      <c r="F7" s="715" t="s">
        <v>3311</v>
      </c>
      <c r="G7" s="458"/>
      <c r="J7" s="1441"/>
      <c r="K7" s="721" t="s">
        <v>2291</v>
      </c>
      <c r="M7" s="1441"/>
      <c r="N7" s="464" t="s">
        <v>1982</v>
      </c>
      <c r="P7" s="1442"/>
      <c r="Q7" s="1443"/>
    </row>
    <row r="8" spans="1:17" s="398" customFormat="1" ht="16.899999999999999" customHeight="1">
      <c r="A8" s="733"/>
      <c r="B8" s="1441"/>
      <c r="C8" s="721" t="s">
        <v>3915</v>
      </c>
      <c r="D8" s="458"/>
      <c r="E8" s="1441"/>
      <c r="F8" s="487" t="s">
        <v>3916</v>
      </c>
      <c r="H8" s="1441"/>
      <c r="I8" s="458" t="s">
        <v>3654</v>
      </c>
      <c r="J8" s="1441"/>
      <c r="K8" s="458" t="s">
        <v>875</v>
      </c>
      <c r="M8" s="1441"/>
      <c r="N8" s="1444" t="s">
        <v>3232</v>
      </c>
      <c r="O8" s="1445"/>
      <c r="P8" s="1445"/>
      <c r="Q8" s="1446"/>
    </row>
    <row r="9" spans="1:17" s="398" customFormat="1" ht="16.899999999999999" customHeight="1">
      <c r="A9" s="733"/>
      <c r="B9" s="398" t="s">
        <v>310</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1230</v>
      </c>
      <c r="B11" s="395" t="s">
        <v>3495</v>
      </c>
      <c r="C11" s="458"/>
      <c r="D11" s="721"/>
      <c r="E11" s="458"/>
      <c r="F11" s="458"/>
      <c r="G11" s="458"/>
      <c r="H11" s="461"/>
      <c r="I11" s="482"/>
      <c r="J11" s="461"/>
      <c r="K11" s="458"/>
      <c r="L11" s="458"/>
      <c r="M11" s="721"/>
      <c r="N11" s="776"/>
      <c r="O11" s="776"/>
      <c r="P11" s="458"/>
      <c r="Q11" s="458"/>
    </row>
    <row r="12" spans="1:17" s="517" customFormat="1" ht="13.9" customHeight="1">
      <c r="A12" s="461"/>
      <c r="B12" s="395"/>
      <c r="C12" s="458"/>
      <c r="K12" s="458"/>
      <c r="L12" s="458"/>
      <c r="M12" s="721"/>
      <c r="N12" s="717"/>
      <c r="O12" s="717"/>
      <c r="P12" s="458"/>
      <c r="Q12" s="458"/>
    </row>
    <row r="13" spans="1:17" s="398" customFormat="1" ht="16.899999999999999" customHeight="1">
      <c r="A13" s="458"/>
      <c r="B13" s="713" t="s">
        <v>2927</v>
      </c>
      <c r="C13" s="458"/>
      <c r="D13" s="458"/>
      <c r="E13" s="458"/>
      <c r="F13" s="458"/>
      <c r="G13" s="458"/>
      <c r="H13" s="839" t="s">
        <v>1998</v>
      </c>
      <c r="I13" s="839"/>
      <c r="J13" s="839"/>
      <c r="K13" s="839"/>
      <c r="L13" s="797" t="s">
        <v>3068</v>
      </c>
      <c r="M13" s="797"/>
      <c r="N13" s="797" t="s">
        <v>2258</v>
      </c>
      <c r="O13" s="797"/>
      <c r="P13" s="797" t="s">
        <v>2537</v>
      </c>
      <c r="Q13" s="797"/>
    </row>
    <row r="14" spans="1:17" s="398" customFormat="1" ht="16.899999999999999" customHeight="1">
      <c r="A14" s="458"/>
      <c r="B14" s="862" t="s">
        <v>2348</v>
      </c>
      <c r="C14" s="863"/>
      <c r="D14" s="863"/>
      <c r="E14" s="719"/>
      <c r="F14" s="719"/>
      <c r="G14" s="719"/>
      <c r="H14" s="1444" t="s">
        <v>3957</v>
      </c>
      <c r="I14" s="1445"/>
      <c r="J14" s="1445"/>
      <c r="K14" s="1446"/>
      <c r="L14" s="1392">
        <f>3621224-276-3+476+6</f>
        <v>3621427</v>
      </c>
      <c r="M14" s="1393"/>
      <c r="N14" s="1447">
        <v>3.5000000000000003E-2</v>
      </c>
      <c r="O14" s="1448"/>
      <c r="P14" s="1449">
        <v>24</v>
      </c>
      <c r="Q14" s="1450"/>
    </row>
    <row r="15" spans="1:17" s="398" customFormat="1" ht="16.899999999999999" customHeight="1">
      <c r="A15" s="458"/>
      <c r="B15" s="857" t="s">
        <v>2349</v>
      </c>
      <c r="C15" s="858"/>
      <c r="D15" s="858"/>
      <c r="E15" s="721"/>
      <c r="F15" s="721"/>
      <c r="G15" s="721"/>
      <c r="H15" s="1444"/>
      <c r="I15" s="1445"/>
      <c r="J15" s="1445"/>
      <c r="K15" s="1446"/>
      <c r="L15" s="1392"/>
      <c r="M15" s="1393"/>
      <c r="N15" s="1447"/>
      <c r="O15" s="1448"/>
      <c r="P15" s="1451"/>
      <c r="Q15" s="1452"/>
    </row>
    <row r="16" spans="1:17" s="398" customFormat="1" ht="16.899999999999999" customHeight="1">
      <c r="A16" s="458"/>
      <c r="B16" s="865" t="s">
        <v>2350</v>
      </c>
      <c r="C16" s="866"/>
      <c r="D16" s="866"/>
      <c r="E16" s="725"/>
      <c r="F16" s="725"/>
      <c r="G16" s="725"/>
      <c r="H16" s="1444"/>
      <c r="I16" s="1445"/>
      <c r="J16" s="1445"/>
      <c r="K16" s="1446"/>
      <c r="L16" s="1392"/>
      <c r="M16" s="1393"/>
      <c r="N16" s="1447"/>
      <c r="O16" s="1448"/>
      <c r="P16" s="1451"/>
      <c r="Q16" s="1452"/>
    </row>
    <row r="17" spans="1:17" s="398" customFormat="1" ht="16.899999999999999" customHeight="1">
      <c r="A17" s="458"/>
      <c r="B17" s="862" t="s">
        <v>3333</v>
      </c>
      <c r="C17" s="863"/>
      <c r="D17" s="863"/>
      <c r="E17" s="721"/>
      <c r="F17" s="721"/>
      <c r="G17" s="721"/>
      <c r="H17" s="1444"/>
      <c r="I17" s="1445"/>
      <c r="J17" s="1445"/>
      <c r="K17" s="1446"/>
      <c r="L17" s="1392"/>
      <c r="M17" s="1393"/>
      <c r="N17" s="847"/>
      <c r="O17" s="848"/>
      <c r="P17" s="846"/>
      <c r="Q17" s="846"/>
    </row>
    <row r="18" spans="1:17" s="398" customFormat="1" ht="16.899999999999999" customHeight="1">
      <c r="A18" s="458"/>
      <c r="B18" s="857" t="s">
        <v>1384</v>
      </c>
      <c r="C18" s="858"/>
      <c r="D18" s="858"/>
      <c r="E18" s="721"/>
      <c r="H18" s="1444"/>
      <c r="I18" s="1445"/>
      <c r="J18" s="1445"/>
      <c r="K18" s="1446"/>
      <c r="L18" s="1392"/>
      <c r="M18" s="1393"/>
      <c r="N18" s="847"/>
      <c r="O18" s="848"/>
      <c r="P18" s="846"/>
      <c r="Q18" s="846"/>
    </row>
    <row r="19" spans="1:17" s="398" customFormat="1" ht="16.899999999999999" customHeight="1">
      <c r="A19" s="458"/>
      <c r="B19" s="857" t="s">
        <v>978</v>
      </c>
      <c r="C19" s="858"/>
      <c r="D19" s="858"/>
      <c r="E19" s="721"/>
      <c r="H19" s="1444"/>
      <c r="I19" s="1445"/>
      <c r="J19" s="1445"/>
      <c r="K19" s="1446"/>
      <c r="L19" s="1392"/>
      <c r="M19" s="1393"/>
      <c r="N19" s="847"/>
      <c r="O19" s="848"/>
      <c r="P19" s="846"/>
      <c r="Q19" s="846"/>
    </row>
    <row r="20" spans="1:17" s="398" customFormat="1" ht="16.899999999999999" customHeight="1">
      <c r="A20" s="458"/>
      <c r="B20" s="857" t="s">
        <v>1385</v>
      </c>
      <c r="C20" s="858"/>
      <c r="D20" s="858"/>
      <c r="E20" s="721"/>
      <c r="H20" s="1444" t="s">
        <v>3986</v>
      </c>
      <c r="I20" s="1445"/>
      <c r="J20" s="1445"/>
      <c r="K20" s="1446"/>
      <c r="L20" s="1392">
        <v>4754274</v>
      </c>
      <c r="M20" s="1393"/>
      <c r="N20" s="458"/>
      <c r="O20" s="458"/>
      <c r="P20" s="458"/>
      <c r="Q20" s="458"/>
    </row>
    <row r="21" spans="1:17" s="398" customFormat="1" ht="16.899999999999999" customHeight="1">
      <c r="A21" s="458"/>
      <c r="B21" s="857" t="s">
        <v>1386</v>
      </c>
      <c r="C21" s="858"/>
      <c r="D21" s="858"/>
      <c r="E21" s="721"/>
      <c r="H21" s="1444" t="s">
        <v>4039</v>
      </c>
      <c r="I21" s="1445"/>
      <c r="J21" s="1445"/>
      <c r="K21" s="1446"/>
      <c r="L21" s="1392">
        <f>0.65*H41</f>
        <v>1667250</v>
      </c>
      <c r="M21" s="1393"/>
      <c r="N21" s="458"/>
      <c r="O21" s="458"/>
      <c r="P21" s="458"/>
      <c r="Q21" s="458"/>
    </row>
    <row r="22" spans="1:17" s="398" customFormat="1" ht="16.899999999999999" customHeight="1">
      <c r="A22" s="458"/>
      <c r="B22" s="720" t="s">
        <v>309</v>
      </c>
      <c r="C22" s="721"/>
      <c r="D22" s="1453"/>
      <c r="E22" s="1453"/>
      <c r="F22" s="1453"/>
      <c r="G22" s="1453"/>
      <c r="H22" s="1444"/>
      <c r="I22" s="1445"/>
      <c r="J22" s="1445"/>
      <c r="K22" s="1446"/>
      <c r="L22" s="1392"/>
      <c r="M22" s="1393"/>
      <c r="N22" s="458"/>
      <c r="O22" s="458"/>
      <c r="P22" s="458"/>
      <c r="Q22" s="458"/>
    </row>
    <row r="23" spans="1:17" s="398" customFormat="1" ht="16.899999999999999" customHeight="1">
      <c r="A23" s="458"/>
      <c r="B23" s="720" t="s">
        <v>309</v>
      </c>
      <c r="C23" s="721"/>
      <c r="D23" s="1453"/>
      <c r="E23" s="1453"/>
      <c r="F23" s="1453"/>
      <c r="G23" s="1453"/>
      <c r="H23" s="1444"/>
      <c r="I23" s="1445"/>
      <c r="J23" s="1445"/>
      <c r="K23" s="1446"/>
      <c r="L23" s="1392"/>
      <c r="M23" s="1393"/>
      <c r="N23" s="458"/>
      <c r="O23" s="458"/>
      <c r="P23" s="458"/>
      <c r="Q23" s="458"/>
    </row>
    <row r="24" spans="1:17" s="398" customFormat="1" ht="16.899999999999999" customHeight="1">
      <c r="A24" s="458"/>
      <c r="B24" s="724" t="s">
        <v>309</v>
      </c>
      <c r="C24" s="725"/>
      <c r="D24" s="1453"/>
      <c r="E24" s="1453"/>
      <c r="F24" s="1453"/>
      <c r="G24" s="1453"/>
      <c r="H24" s="1444"/>
      <c r="I24" s="1445"/>
      <c r="J24" s="1445"/>
      <c r="K24" s="1446"/>
      <c r="L24" s="1392"/>
      <c r="M24" s="1393"/>
      <c r="N24" s="458"/>
      <c r="O24" s="458"/>
      <c r="P24" s="458"/>
      <c r="Q24" s="458"/>
    </row>
    <row r="25" spans="1:17" s="398" customFormat="1" ht="16.899999999999999" customHeight="1">
      <c r="A25" s="458"/>
      <c r="B25" s="395" t="s">
        <v>1999</v>
      </c>
      <c r="C25" s="458"/>
      <c r="D25" s="458"/>
      <c r="E25" s="458"/>
      <c r="F25" s="458"/>
      <c r="G25" s="458"/>
      <c r="H25" s="458"/>
      <c r="I25" s="458"/>
      <c r="L25" s="853">
        <f>SUM(L14:L24)</f>
        <v>10042951</v>
      </c>
      <c r="M25" s="854"/>
      <c r="N25" s="482"/>
      <c r="O25" s="482"/>
      <c r="P25" s="482"/>
      <c r="Q25" s="482"/>
    </row>
    <row r="26" spans="1:17" s="398" customFormat="1" ht="16.899999999999999" customHeight="1">
      <c r="A26" s="458"/>
      <c r="B26" s="713" t="s">
        <v>2000</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10042951</v>
      </c>
      <c r="M26" s="854"/>
      <c r="N26" s="849"/>
      <c r="O26" s="850"/>
      <c r="P26" s="850"/>
      <c r="Q26" s="850"/>
    </row>
    <row r="27" spans="1:17" s="398" customFormat="1" ht="16.899999999999999" customHeight="1">
      <c r="A27" s="458"/>
      <c r="B27" s="464" t="s">
        <v>3261</v>
      </c>
      <c r="C27" s="458"/>
      <c r="D27" s="458"/>
      <c r="E27" s="458"/>
      <c r="F27" s="458"/>
      <c r="G27" s="458"/>
      <c r="H27" s="458"/>
      <c r="I27" s="458"/>
      <c r="L27" s="855">
        <f>L25-L26</f>
        <v>0</v>
      </c>
      <c r="M27" s="856"/>
      <c r="N27" s="849"/>
      <c r="O27" s="850"/>
      <c r="P27" s="850"/>
      <c r="Q27" s="850"/>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1232</v>
      </c>
      <c r="B29" s="395" t="s">
        <v>1383</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846"/>
      <c r="I30" s="846"/>
      <c r="J30" s="552" t="s">
        <v>3195</v>
      </c>
      <c r="K30" s="723" t="s">
        <v>1996</v>
      </c>
      <c r="L30" s="723" t="s">
        <v>2001</v>
      </c>
      <c r="M30" s="799" t="s">
        <v>40</v>
      </c>
      <c r="N30" s="799"/>
      <c r="O30" s="717"/>
      <c r="P30" s="723"/>
      <c r="Q30" s="867" t="s">
        <v>3492</v>
      </c>
    </row>
    <row r="31" spans="1:17" s="398" customFormat="1" ht="13.15" customHeight="1" thickBot="1">
      <c r="A31" s="458"/>
      <c r="B31" s="727" t="s">
        <v>2927</v>
      </c>
      <c r="C31" s="725"/>
      <c r="D31" s="725"/>
      <c r="E31" s="858" t="s">
        <v>1998</v>
      </c>
      <c r="F31" s="858"/>
      <c r="G31" s="858"/>
      <c r="H31" s="797" t="s">
        <v>720</v>
      </c>
      <c r="I31" s="797"/>
      <c r="J31" s="714" t="s">
        <v>2844</v>
      </c>
      <c r="K31" s="714" t="s">
        <v>3332</v>
      </c>
      <c r="L31" s="714" t="s">
        <v>3332</v>
      </c>
      <c r="M31" s="1454"/>
      <c r="N31" s="1454"/>
      <c r="O31" s="797" t="s">
        <v>84</v>
      </c>
      <c r="P31" s="797"/>
      <c r="Q31" s="868"/>
    </row>
    <row r="32" spans="1:17" s="398" customFormat="1" ht="13.15" customHeight="1" thickBot="1">
      <c r="A32" s="458"/>
      <c r="B32" s="862" t="str">
        <f>IF(E32 ="&lt;&lt;Select applicable option&gt;&gt;", "Make a selection FIRST --&gt;",IF(E32 = "Neither","N/A","Mortgage A"))</f>
        <v>Make a selection FIRST --&gt;</v>
      </c>
      <c r="C32" s="863"/>
      <c r="D32" s="863"/>
      <c r="E32" s="1455" t="s">
        <v>365</v>
      </c>
      <c r="F32" s="1456"/>
      <c r="G32" s="1457"/>
      <c r="H32" s="877">
        <f>IF($E$32="USDA 538 Loan", 'Part III B-USDA 538 Loan'!C5,IF($E$32="HUD Insured Loan", 'Part III C-HUD Insured Loan'!D5,0))</f>
        <v>0</v>
      </c>
      <c r="I32" s="87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1" t="str">
        <f>IF(OR(H32&lt;=0,H32=""),"",IF(O32="Amortizing",-PMT(J32/12,L32*12,H32,0,0)*12,IF(NOT(O32="Amortizing"),'Part VII-Pro Forma'!B23,"")))</f>
        <v/>
      </c>
      <c r="N32" s="852"/>
      <c r="O32" s="840" t="s">
        <v>3018</v>
      </c>
      <c r="P32" s="841"/>
      <c r="Q32" s="1458" t="s">
        <v>2761</v>
      </c>
    </row>
    <row r="33" spans="1:19" s="398" customFormat="1" ht="13.15" customHeight="1">
      <c r="A33" s="458"/>
      <c r="B33" s="857" t="str">
        <f>IF(OR(E32 = "Neither",E32 = "&lt;&lt;Select applicable option&gt;&gt;"), "Mortgage A","Mortgage B")</f>
        <v>Mortgage A</v>
      </c>
      <c r="C33" s="858"/>
      <c r="D33" s="859"/>
      <c r="E33" s="1459" t="s">
        <v>3958</v>
      </c>
      <c r="F33" s="1460"/>
      <c r="G33" s="1461"/>
      <c r="H33" s="1462">
        <f>2138619+3937+3903+2003+59+6</f>
        <v>2148527</v>
      </c>
      <c r="I33" s="1463"/>
      <c r="J33" s="1464">
        <v>7.2099999999999997E-2</v>
      </c>
      <c r="K33" s="1441">
        <v>18</v>
      </c>
      <c r="L33" s="1441">
        <v>30</v>
      </c>
      <c r="M33" s="1465">
        <f>IF(OR(H33&lt;=0,H33=""),"",IF(O33="Amortizing",-PMT(J33/12,L33*12,H33,0,0)*12,""))</f>
        <v>175181.94394561139</v>
      </c>
      <c r="N33" s="1466"/>
      <c r="O33" s="1403" t="s">
        <v>3018</v>
      </c>
      <c r="P33" s="1404"/>
      <c r="Q33" s="1467" t="s">
        <v>2761</v>
      </c>
    </row>
    <row r="34" spans="1:19" s="398" customFormat="1" ht="13.15" customHeight="1">
      <c r="A34" s="458"/>
      <c r="B34" s="720" t="str">
        <f>IF(OR(E32 = "Neither",E32 = "&lt;&lt;Select applicable option&gt;&gt;"), "Mortgage B","Mortgage C")</f>
        <v>Mortgage B</v>
      </c>
      <c r="C34" s="721"/>
      <c r="D34" s="722"/>
      <c r="E34" s="1444"/>
      <c r="F34" s="1468"/>
      <c r="G34" s="1463"/>
      <c r="H34" s="1462"/>
      <c r="I34" s="1463"/>
      <c r="J34" s="1464"/>
      <c r="K34" s="1441"/>
      <c r="L34" s="1441"/>
      <c r="M34" s="1465" t="str">
        <f>IF(OR(H34&lt;=0,H34=""),"",IF(O34="Amortizing",-PMT(J34/12,L34*12,H34,0,0)*12,""))</f>
        <v/>
      </c>
      <c r="N34" s="1466"/>
      <c r="O34" s="1403"/>
      <c r="P34" s="1404"/>
      <c r="Q34" s="1467"/>
    </row>
    <row r="35" spans="1:19" s="398" customFormat="1" ht="13.15" customHeight="1">
      <c r="A35" s="458"/>
      <c r="B35" s="720" t="s">
        <v>1231</v>
      </c>
      <c r="C35" s="1403"/>
      <c r="D35" s="1404"/>
      <c r="E35" s="1444"/>
      <c r="F35" s="1468"/>
      <c r="G35" s="1463"/>
      <c r="H35" s="1462"/>
      <c r="I35" s="1463"/>
      <c r="J35" s="1464"/>
      <c r="K35" s="1441"/>
      <c r="L35" s="1441"/>
      <c r="M35" s="1465" t="str">
        <f>IF(OR(H35&lt;=0,H35=""),"",IF(O35="Amortizing",-PMT(J35/12,L35*12,H35,0,0)*12,""))</f>
        <v/>
      </c>
      <c r="N35" s="1466"/>
      <c r="O35" s="1403"/>
      <c r="P35" s="1404"/>
      <c r="Q35" s="1467"/>
    </row>
    <row r="36" spans="1:19" s="398" customFormat="1" ht="13.15" customHeight="1">
      <c r="A36" s="458"/>
      <c r="B36" s="720" t="s">
        <v>2086</v>
      </c>
      <c r="C36" s="721"/>
      <c r="D36" s="722"/>
      <c r="E36" s="1444"/>
      <c r="F36" s="1468"/>
      <c r="G36" s="1463"/>
      <c r="H36" s="1462"/>
      <c r="I36" s="1463"/>
      <c r="J36" s="1464"/>
      <c r="K36" s="1441"/>
      <c r="L36" s="1441"/>
      <c r="M36" s="1465" t="str">
        <f>IF(OR(H36&lt;=0,H36=""),"",IF(O36="Amortizing",-PMT(J36/12,L36*12,H36,0,0)*12,""))</f>
        <v/>
      </c>
      <c r="N36" s="1466"/>
      <c r="O36" s="1403"/>
      <c r="P36" s="1404"/>
      <c r="Q36" s="1467"/>
    </row>
    <row r="37" spans="1:19" s="398" customFormat="1" ht="13.15" customHeight="1">
      <c r="A37" s="458"/>
      <c r="B37" s="724" t="s">
        <v>292</v>
      </c>
      <c r="C37" s="725"/>
      <c r="D37" s="555" t="str">
        <f>IF(OR(H37="",H37=0,'Part IV-Uses of Funds'!$G$109="",'Part IV-Uses of Funds'!$G$109=0),"",H37/'Part IV-Uses of Funds'!$G$109)</f>
        <v/>
      </c>
      <c r="E37" s="1444"/>
      <c r="F37" s="1468"/>
      <c r="G37" s="1463"/>
      <c r="H37" s="1462"/>
      <c r="I37" s="1463"/>
      <c r="J37" s="1464"/>
      <c r="K37" s="1441"/>
      <c r="L37" s="1441"/>
      <c r="M37" s="1465" t="str">
        <f>IF(OR(H37&lt;=0,H37=""),"",IF(O37="Amortizing",-PMT(J37/12,L37*12,H37,0,0)*12,""))</f>
        <v/>
      </c>
      <c r="N37" s="1466"/>
      <c r="O37" s="1403"/>
      <c r="P37" s="1404"/>
      <c r="Q37" s="1467"/>
    </row>
    <row r="38" spans="1:19" s="398" customFormat="1" ht="13.15" customHeight="1">
      <c r="A38" s="458"/>
      <c r="B38" s="862" t="s">
        <v>3333</v>
      </c>
      <c r="C38" s="863"/>
      <c r="D38" s="864"/>
      <c r="E38" s="1444"/>
      <c r="F38" s="1468"/>
      <c r="G38" s="1463"/>
      <c r="H38" s="1469"/>
      <c r="I38" s="1470"/>
      <c r="K38" s="556"/>
      <c r="L38" s="556"/>
      <c r="M38" s="556"/>
      <c r="N38" s="556"/>
      <c r="O38" s="556"/>
      <c r="P38" s="556"/>
      <c r="Q38" s="556"/>
      <c r="S38" s="648" t="s">
        <v>809</v>
      </c>
    </row>
    <row r="39" spans="1:19" s="398" customFormat="1" ht="13.15" customHeight="1">
      <c r="A39" s="458"/>
      <c r="B39" s="857" t="s">
        <v>1384</v>
      </c>
      <c r="C39" s="858"/>
      <c r="D39" s="859"/>
      <c r="E39" s="1444"/>
      <c r="F39" s="1468"/>
      <c r="G39" s="1463"/>
      <c r="H39" s="1469"/>
      <c r="I39" s="1470"/>
      <c r="J39" s="869" t="s">
        <v>810</v>
      </c>
      <c r="K39" s="870"/>
      <c r="L39" s="652" t="s">
        <v>811</v>
      </c>
      <c r="M39" s="557"/>
      <c r="N39" s="557"/>
      <c r="O39" s="557"/>
      <c r="P39" s="557"/>
      <c r="Q39" s="556"/>
      <c r="S39" s="649" t="s">
        <v>3865</v>
      </c>
    </row>
    <row r="40" spans="1:19" s="398" customFormat="1" ht="13.15" customHeight="1">
      <c r="A40" s="458"/>
      <c r="B40" s="857" t="s">
        <v>1385</v>
      </c>
      <c r="C40" s="858"/>
      <c r="D40" s="859"/>
      <c r="E40" s="1444" t="s">
        <v>4052</v>
      </c>
      <c r="F40" s="1445"/>
      <c r="G40" s="1446"/>
      <c r="H40" s="1392">
        <v>7315000</v>
      </c>
      <c r="I40" s="1393"/>
      <c r="J40" s="871">
        <f>'Part IV-Uses of Funds'!$J$165*10*'Part IV-Uses of Funds'!$N$158</f>
        <v>7314999.9230000004</v>
      </c>
      <c r="K40" s="872"/>
      <c r="L40" s="653">
        <f>H40-J40</f>
        <v>7.6999999582767487E-2</v>
      </c>
      <c r="M40" s="805" t="s">
        <v>2538</v>
      </c>
      <c r="N40" s="873"/>
      <c r="O40" s="873"/>
      <c r="P40" s="873"/>
      <c r="Q40" s="874"/>
      <c r="S40" s="650">
        <f>H40/H50</f>
        <v>0.60813763813308142</v>
      </c>
    </row>
    <row r="41" spans="1:19" s="398" customFormat="1" ht="13.15" customHeight="1">
      <c r="A41" s="458"/>
      <c r="B41" s="857" t="s">
        <v>1386</v>
      </c>
      <c r="C41" s="858"/>
      <c r="D41" s="859"/>
      <c r="E41" s="1444" t="s">
        <v>4039</v>
      </c>
      <c r="F41" s="1445"/>
      <c r="G41" s="1446"/>
      <c r="H41" s="1392">
        <v>2565000</v>
      </c>
      <c r="I41" s="1393"/>
      <c r="J41" s="871">
        <f>'Part IV-Uses of Funds'!$J$165*10*'Part IV-Uses of Funds'!$Q$158</f>
        <v>2564999.9730000002</v>
      </c>
      <c r="K41" s="872"/>
      <c r="L41" s="653">
        <f>H41-J41</f>
        <v>2.6999999769032001E-2</v>
      </c>
      <c r="M41" s="875"/>
      <c r="N41" s="868"/>
      <c r="O41" s="868"/>
      <c r="P41" s="868"/>
      <c r="Q41" s="876"/>
      <c r="S41" s="650">
        <f>H41/H50</f>
        <v>0.21324306791679479</v>
      </c>
    </row>
    <row r="42" spans="1:19" s="398" customFormat="1" ht="13.15" customHeight="1">
      <c r="A42" s="458"/>
      <c r="B42" s="857" t="s">
        <v>2121</v>
      </c>
      <c r="C42" s="858"/>
      <c r="D42" s="859"/>
      <c r="E42" s="1444"/>
      <c r="F42" s="1445"/>
      <c r="G42" s="1446"/>
      <c r="H42" s="1462"/>
      <c r="I42" s="1471"/>
      <c r="M42" s="558" t="s">
        <v>3022</v>
      </c>
      <c r="N42" s="559" t="s">
        <v>3023</v>
      </c>
      <c r="O42" s="558">
        <v>8</v>
      </c>
      <c r="P42" s="558">
        <v>9</v>
      </c>
      <c r="Q42" s="558">
        <v>10</v>
      </c>
      <c r="S42" s="651">
        <f>SUM(S40:S41)</f>
        <v>0.82138070604987623</v>
      </c>
    </row>
    <row r="43" spans="1:19" s="398" customFormat="1" ht="13.15" customHeight="1">
      <c r="A43" s="458"/>
      <c r="B43" s="720" t="s">
        <v>825</v>
      </c>
      <c r="C43" s="721"/>
      <c r="D43" s="722"/>
      <c r="E43" s="1444"/>
      <c r="F43" s="1445"/>
      <c r="G43" s="1446"/>
      <c r="H43" s="1462"/>
      <c r="I43" s="1471"/>
      <c r="K43" s="458"/>
      <c r="L43" s="458"/>
      <c r="M43" s="558" t="s">
        <v>3024</v>
      </c>
      <c r="N43" s="1464"/>
      <c r="O43" s="1464"/>
      <c r="P43" s="1464"/>
      <c r="Q43" s="1464"/>
      <c r="S43" s="458"/>
    </row>
    <row r="44" spans="1:19" s="398" customFormat="1" ht="13.15" customHeight="1">
      <c r="A44" s="458"/>
      <c r="B44" s="720" t="s">
        <v>2925</v>
      </c>
      <c r="C44" s="721"/>
      <c r="D44" s="722"/>
      <c r="E44" s="1444"/>
      <c r="F44" s="1445"/>
      <c r="G44" s="1446"/>
      <c r="H44" s="1462"/>
      <c r="I44" s="1471"/>
      <c r="J44" s="458"/>
      <c r="M44" s="560">
        <v>11</v>
      </c>
      <c r="N44" s="560">
        <v>12</v>
      </c>
      <c r="O44" s="717">
        <v>13</v>
      </c>
      <c r="P44" s="558">
        <v>14</v>
      </c>
      <c r="Q44" s="558">
        <v>15</v>
      </c>
    </row>
    <row r="45" spans="1:19" s="398" customFormat="1" ht="13.15" customHeight="1">
      <c r="A45" s="458"/>
      <c r="B45" s="720" t="s">
        <v>2926</v>
      </c>
      <c r="C45" s="721"/>
      <c r="D45" s="722"/>
      <c r="E45" s="1444"/>
      <c r="F45" s="1445"/>
      <c r="G45" s="1446"/>
      <c r="H45" s="1462"/>
      <c r="I45" s="1471"/>
      <c r="J45" s="458"/>
      <c r="M45" s="1464"/>
      <c r="N45" s="1464"/>
      <c r="O45" s="1464"/>
      <c r="P45" s="1464"/>
      <c r="Q45" s="1464"/>
    </row>
    <row r="46" spans="1:19" s="398" customFormat="1" ht="13.15" customHeight="1">
      <c r="A46" s="458"/>
      <c r="B46" s="720" t="s">
        <v>1231</v>
      </c>
      <c r="C46" s="1444"/>
      <c r="D46" s="1446"/>
      <c r="E46" s="1444"/>
      <c r="F46" s="1445"/>
      <c r="G46" s="1446"/>
      <c r="H46" s="1462"/>
      <c r="I46" s="1471"/>
      <c r="J46" s="458"/>
      <c r="M46" s="558">
        <v>16</v>
      </c>
      <c r="N46" s="558">
        <v>17</v>
      </c>
      <c r="O46" s="558">
        <v>18</v>
      </c>
      <c r="P46" s="723">
        <v>19</v>
      </c>
      <c r="Q46" s="723">
        <v>20</v>
      </c>
    </row>
    <row r="47" spans="1:19" s="398" customFormat="1" ht="13.15" customHeight="1">
      <c r="A47" s="458"/>
      <c r="B47" s="720" t="s">
        <v>1231</v>
      </c>
      <c r="C47" s="1444"/>
      <c r="D47" s="1446"/>
      <c r="E47" s="1444"/>
      <c r="F47" s="1445"/>
      <c r="G47" s="1446"/>
      <c r="H47" s="1462"/>
      <c r="I47" s="1471"/>
      <c r="J47" s="458"/>
      <c r="K47" s="458"/>
      <c r="L47" s="558"/>
      <c r="M47" s="1464"/>
      <c r="N47" s="1464"/>
      <c r="O47" s="1464"/>
      <c r="P47" s="1464"/>
      <c r="Q47" s="1464"/>
    </row>
    <row r="48" spans="1:19" s="398" customFormat="1" ht="13.15" customHeight="1">
      <c r="A48" s="458"/>
      <c r="B48" s="724" t="s">
        <v>1231</v>
      </c>
      <c r="C48" s="1444"/>
      <c r="D48" s="1446"/>
      <c r="E48" s="1444"/>
      <c r="F48" s="1445"/>
      <c r="G48" s="1446"/>
      <c r="H48" s="1462"/>
      <c r="I48" s="1471"/>
      <c r="J48" s="458"/>
      <c r="K48" s="458"/>
      <c r="L48" s="558"/>
      <c r="M48" s="723">
        <v>21</v>
      </c>
      <c r="N48" s="723">
        <v>22</v>
      </c>
      <c r="O48" s="723">
        <v>23</v>
      </c>
      <c r="P48" s="723">
        <v>24</v>
      </c>
      <c r="Q48" s="723">
        <v>25</v>
      </c>
    </row>
    <row r="49" spans="1:17" s="398" customFormat="1" ht="13.15" customHeight="1">
      <c r="A49" s="458"/>
      <c r="B49" s="713" t="s">
        <v>3334</v>
      </c>
      <c r="C49" s="458"/>
      <c r="D49" s="458"/>
      <c r="E49" s="458"/>
      <c r="F49" s="458"/>
      <c r="G49" s="458"/>
      <c r="H49" s="844">
        <f>SUM(H32:I48)</f>
        <v>12028527</v>
      </c>
      <c r="I49" s="845"/>
      <c r="J49" s="482"/>
      <c r="K49" s="458"/>
      <c r="L49" s="558"/>
      <c r="M49" s="1464"/>
      <c r="N49" s="1464"/>
      <c r="O49" s="1464"/>
      <c r="P49" s="1464"/>
      <c r="Q49" s="1464"/>
    </row>
    <row r="50" spans="1:17" s="398" customFormat="1" ht="13.15" customHeight="1" thickBot="1">
      <c r="A50" s="458"/>
      <c r="B50" s="713" t="s">
        <v>3335</v>
      </c>
      <c r="C50" s="458"/>
      <c r="D50" s="458"/>
      <c r="E50" s="458"/>
      <c r="F50" s="458"/>
      <c r="G50" s="458"/>
      <c r="H50" s="842">
        <f>'Part IV-Uses of Funds'!$G$123</f>
        <v>12028527</v>
      </c>
      <c r="I50" s="843"/>
      <c r="J50" s="482"/>
      <c r="K50" s="458"/>
      <c r="L50" s="558"/>
      <c r="M50" s="723">
        <v>26</v>
      </c>
      <c r="N50" s="723">
        <v>27</v>
      </c>
      <c r="O50" s="723">
        <v>28</v>
      </c>
      <c r="P50" s="723">
        <v>29</v>
      </c>
      <c r="Q50" s="723">
        <v>30</v>
      </c>
    </row>
    <row r="51" spans="1:17" s="398" customFormat="1" ht="13.15" customHeight="1" thickBot="1">
      <c r="A51" s="458"/>
      <c r="B51" s="464" t="s">
        <v>2277</v>
      </c>
      <c r="C51" s="458"/>
      <c r="D51" s="458"/>
      <c r="E51" s="458"/>
      <c r="F51" s="458"/>
      <c r="G51" s="458"/>
      <c r="H51" s="860">
        <f>H49-H50</f>
        <v>0</v>
      </c>
      <c r="I51" s="861"/>
      <c r="J51" s="482"/>
      <c r="K51" s="458"/>
      <c r="L51" s="558"/>
      <c r="M51" s="1464"/>
      <c r="N51" s="1464"/>
      <c r="O51" s="1464"/>
      <c r="P51" s="1464"/>
      <c r="Q51" s="1464"/>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2824</v>
      </c>
      <c r="B53" s="461" t="s">
        <v>880</v>
      </c>
      <c r="C53" s="482"/>
      <c r="D53" s="482"/>
      <c r="E53" s="482"/>
      <c r="F53" s="482"/>
      <c r="G53" s="482"/>
      <c r="H53" s="482"/>
      <c r="I53" s="482"/>
      <c r="J53" s="482"/>
      <c r="K53" s="461" t="s">
        <v>2824</v>
      </c>
      <c r="L53" s="461" t="s">
        <v>89</v>
      </c>
      <c r="M53" s="482"/>
      <c r="N53" s="482"/>
      <c r="O53" s="482"/>
      <c r="P53" s="482"/>
      <c r="Q53" s="482"/>
    </row>
    <row r="54" spans="1:17" ht="5.45" customHeight="1">
      <c r="B54" s="519"/>
    </row>
    <row r="55" spans="1:17" ht="11.25" customHeight="1">
      <c r="A55" s="1472"/>
      <c r="B55" s="1256"/>
      <c r="C55" s="1256"/>
      <c r="D55" s="1256"/>
      <c r="E55" s="1256"/>
      <c r="F55" s="1256"/>
      <c r="G55" s="1256"/>
      <c r="H55" s="1256"/>
      <c r="I55" s="1256"/>
      <c r="J55" s="1257"/>
      <c r="K55" s="1293"/>
      <c r="L55" s="1256"/>
      <c r="M55" s="1256"/>
      <c r="N55" s="1256"/>
      <c r="O55" s="1256"/>
      <c r="P55" s="1256"/>
      <c r="Q55" s="1257"/>
    </row>
    <row r="56" spans="1:17" ht="104.25" customHeight="1">
      <c r="A56" s="1294" t="s">
        <v>4053</v>
      </c>
      <c r="B56" s="1473"/>
      <c r="C56" s="1473"/>
      <c r="D56" s="1473"/>
      <c r="E56" s="1473"/>
      <c r="F56" s="1473"/>
      <c r="G56" s="1473"/>
      <c r="H56" s="1473"/>
      <c r="I56" s="1473"/>
      <c r="J56" s="1474"/>
      <c r="K56" s="1297"/>
      <c r="L56" s="1473"/>
      <c r="M56" s="1473"/>
      <c r="N56" s="1473"/>
      <c r="O56" s="1473"/>
      <c r="P56" s="1473"/>
      <c r="Q56" s="1474"/>
    </row>
    <row r="57" spans="1:17" s="398" customFormat="1" ht="51" customHeight="1">
      <c r="A57" s="1294"/>
      <c r="B57" s="1473"/>
      <c r="C57" s="1473"/>
      <c r="D57" s="1473"/>
      <c r="E57" s="1473"/>
      <c r="F57" s="1473"/>
      <c r="G57" s="1473"/>
      <c r="H57" s="1473"/>
      <c r="I57" s="1473"/>
      <c r="J57" s="1474"/>
      <c r="K57" s="1297"/>
      <c r="L57" s="1473"/>
      <c r="M57" s="1473"/>
      <c r="N57" s="1473"/>
      <c r="O57" s="1473"/>
      <c r="P57" s="1473"/>
      <c r="Q57" s="1474"/>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41" bottom="0.5" header="0.17" footer="0.25"/>
  <pageSetup fitToHeight="0" orientation="landscape" r:id="rId1"/>
  <headerFooter alignWithMargins="0">
    <oddHeader>&amp;L&amp;11Georgia Department of Community Affairs&amp;C&amp;11 2011 Funding Application&amp;R&amp;11Office of Affordable Housing</oddHeader>
    <oddFooter>&amp;L&amp;"Arial Narrow,Regular"&amp;F - March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99" sqref="D99"/>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2011-043 Calypso, Palmetto, Fulton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3386</v>
      </c>
      <c r="B5" s="42"/>
      <c r="C5" s="1438"/>
      <c r="D5" s="374">
        <f>IF(C5&gt;1500000,1500000,0)</f>
        <v>0</v>
      </c>
      <c r="E5" s="375">
        <f>IF(C5&gt;1500000,C5-1500000,0)</f>
        <v>0</v>
      </c>
    </row>
    <row r="6" spans="1:17">
      <c r="A6" s="42" t="s">
        <v>3736</v>
      </c>
      <c r="B6" s="300" t="s">
        <v>746</v>
      </c>
      <c r="C6" s="376">
        <v>0</v>
      </c>
      <c r="D6" s="160" t="s">
        <v>747</v>
      </c>
      <c r="E6" s="42"/>
    </row>
    <row r="7" spans="1:17">
      <c r="A7" s="42"/>
      <c r="B7" s="300" t="s">
        <v>3752</v>
      </c>
      <c r="C7" s="1439"/>
      <c r="D7" s="160" t="s">
        <v>2660</v>
      </c>
      <c r="E7" s="42"/>
    </row>
    <row r="8" spans="1:17" ht="13.15" customHeight="1">
      <c r="A8" s="42" t="s">
        <v>3740</v>
      </c>
      <c r="B8" s="42"/>
      <c r="C8" s="376">
        <v>0</v>
      </c>
      <c r="D8" s="160" t="s">
        <v>2661</v>
      </c>
      <c r="E8" s="42"/>
    </row>
    <row r="9" spans="1:17">
      <c r="A9" s="42" t="s">
        <v>2094</v>
      </c>
      <c r="B9" s="42"/>
      <c r="C9" s="1440"/>
      <c r="D9" s="42"/>
      <c r="E9" s="42"/>
    </row>
    <row r="10" spans="1:17">
      <c r="A10" s="42" t="s">
        <v>2095</v>
      </c>
      <c r="B10" s="42"/>
      <c r="C10" s="1440"/>
      <c r="D10" s="42"/>
      <c r="E10" s="42"/>
    </row>
    <row r="11" spans="1:17">
      <c r="A11" s="42" t="s">
        <v>2092</v>
      </c>
      <c r="B11" s="42"/>
      <c r="C11" s="377" t="e">
        <f>PMT(C7/12,C10*12,-C5,0,0)*12</f>
        <v>#DIV/0!</v>
      </c>
      <c r="D11" s="374" t="e">
        <f>PMT($C$7/12,$C$10*12,-D5,0,0)*12</f>
        <v>#DIV/0!</v>
      </c>
      <c r="E11" s="374" t="e">
        <f>PMT($C$7/12,$C$10*12,-E5,0,0)*12</f>
        <v>#DIV/0!</v>
      </c>
    </row>
    <row r="12" spans="1:17">
      <c r="A12" s="42" t="s">
        <v>2093</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3754</v>
      </c>
      <c r="B16" s="731" t="s">
        <v>3750</v>
      </c>
      <c r="C16" s="731" t="s">
        <v>3751</v>
      </c>
      <c r="D16" s="885" t="s">
        <v>3385</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6" t="str">
        <f>CONCATENATE('Part I-Project Information'!$O$4," ",'Part I-Project Information'!$F$22,", ",'Part I-Project Information'!$F$24,", ",'Part I-Project Information'!$J$25," County")</f>
        <v>2011-043 Calypso, Palmetto, Fulton County</v>
      </c>
      <c r="B58" s="886"/>
      <c r="C58" s="886"/>
      <c r="D58" s="886"/>
      <c r="E58" s="886"/>
      <c r="F58" s="886"/>
      <c r="G58" s="886" t="str">
        <f>CONCATENATE('Part I-Project Information'!$O$4," ",'Part I-Project Information'!$F$22,", ",'Part I-Project Information'!$F$24,", ",'Part I-Project Information'!$J$25," County")</f>
        <v>2011-043 Calypso, Palmetto, Fulton County</v>
      </c>
      <c r="H58" s="886"/>
      <c r="I58" s="886"/>
      <c r="J58" s="886"/>
      <c r="K58" s="886"/>
      <c r="L58" s="886"/>
    </row>
    <row r="59" spans="1:12" ht="15">
      <c r="A59" s="887" t="s">
        <v>3744</v>
      </c>
      <c r="B59" s="887"/>
      <c r="C59" s="887"/>
      <c r="D59" s="887"/>
      <c r="E59" s="887"/>
      <c r="F59" s="887"/>
      <c r="G59" s="887" t="s">
        <v>3744</v>
      </c>
      <c r="H59" s="887"/>
      <c r="I59" s="887"/>
      <c r="J59" s="887"/>
      <c r="K59" s="887"/>
      <c r="L59" s="887"/>
    </row>
    <row r="60" spans="1:12" ht="6" customHeight="1">
      <c r="C60" s="273"/>
      <c r="D60" s="273"/>
      <c r="I60" s="273"/>
      <c r="J60" s="273"/>
    </row>
    <row r="61" spans="1:12">
      <c r="A61" s="276" t="s">
        <v>3745</v>
      </c>
      <c r="B61" s="277" t="s">
        <v>3746</v>
      </c>
      <c r="C61" s="277" t="s">
        <v>1995</v>
      </c>
      <c r="D61" s="277" t="s">
        <v>3747</v>
      </c>
      <c r="E61" s="276" t="s">
        <v>3748</v>
      </c>
      <c r="F61" s="307" t="s">
        <v>3754</v>
      </c>
      <c r="G61" s="276" t="s">
        <v>3745</v>
      </c>
      <c r="H61" s="277" t="s">
        <v>3746</v>
      </c>
      <c r="I61" s="277" t="s">
        <v>1995</v>
      </c>
      <c r="J61" s="277" t="s">
        <v>3747</v>
      </c>
      <c r="K61" s="276" t="s">
        <v>3748</v>
      </c>
      <c r="L61" s="307" t="s">
        <v>3754</v>
      </c>
    </row>
    <row r="62" spans="1:12" ht="3.6" customHeight="1">
      <c r="A62" s="279"/>
      <c r="B62" s="159"/>
      <c r="C62" s="159"/>
      <c r="D62" s="159"/>
      <c r="E62" s="159"/>
      <c r="F62" s="111"/>
      <c r="G62" s="279"/>
      <c r="H62" s="159"/>
      <c r="I62" s="159"/>
      <c r="J62" s="159"/>
      <c r="K62" s="159"/>
      <c r="L62" s="111"/>
    </row>
    <row r="63" spans="1:12">
      <c r="A63" s="280" t="s">
        <v>3749</v>
      </c>
      <c r="B63" s="281"/>
      <c r="C63" s="281"/>
      <c r="D63" s="281"/>
      <c r="E63" s="282">
        <f>IF($C$5&gt;1500000,$D$5,$C$5)</f>
        <v>0</v>
      </c>
      <c r="F63" s="111"/>
      <c r="G63" s="280" t="s">
        <v>3749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99" sqref="D99"/>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2011-043 Calypso, Palmetto, Fulton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3386</v>
      </c>
      <c r="D5" s="1434"/>
      <c r="E5" s="891" t="s">
        <v>1553</v>
      </c>
      <c r="F5" s="892"/>
      <c r="G5" s="219"/>
    </row>
    <row r="6" spans="1:17">
      <c r="E6" s="892"/>
      <c r="F6" s="892"/>
      <c r="G6" s="219"/>
    </row>
    <row r="7" spans="1:17">
      <c r="A7" s="31" t="s">
        <v>3736</v>
      </c>
      <c r="C7" s="31" t="s">
        <v>3737</v>
      </c>
      <c r="D7" s="1435"/>
      <c r="E7" s="892"/>
      <c r="F7" s="892"/>
      <c r="G7" s="219"/>
    </row>
    <row r="8" spans="1:17">
      <c r="C8" s="31" t="s">
        <v>3738</v>
      </c>
      <c r="D8" s="1435"/>
      <c r="E8" s="892"/>
      <c r="F8" s="892"/>
      <c r="G8" s="219"/>
    </row>
    <row r="9" spans="1:17">
      <c r="C9" s="31" t="s">
        <v>3739</v>
      </c>
      <c r="D9" s="1435"/>
      <c r="E9" s="892"/>
      <c r="F9" s="892"/>
      <c r="G9" s="219"/>
    </row>
    <row r="10" spans="1:17">
      <c r="C10" s="31" t="s">
        <v>3752</v>
      </c>
      <c r="D10" s="318">
        <f>D7+D8+D9</f>
        <v>0</v>
      </c>
      <c r="E10" s="892"/>
      <c r="F10" s="892"/>
      <c r="G10" s="219"/>
    </row>
    <row r="11" spans="1:17">
      <c r="F11" s="219"/>
      <c r="G11" s="219"/>
    </row>
    <row r="12" spans="1:17">
      <c r="A12" s="31" t="s">
        <v>2742</v>
      </c>
      <c r="D12" s="1436"/>
      <c r="E12" s="31" t="s">
        <v>3231</v>
      </c>
      <c r="F12" s="219"/>
      <c r="G12" s="219"/>
    </row>
    <row r="13" spans="1:17">
      <c r="D13" s="273"/>
      <c r="F13" s="219"/>
      <c r="G13" s="219"/>
    </row>
    <row r="14" spans="1:17">
      <c r="A14" s="31" t="s">
        <v>3741</v>
      </c>
      <c r="D14" s="1437"/>
      <c r="E14" s="31" t="s">
        <v>3742</v>
      </c>
      <c r="F14" s="319"/>
    </row>
    <row r="15" spans="1:17">
      <c r="D15" s="292"/>
      <c r="F15" s="319"/>
    </row>
    <row r="16" spans="1:17">
      <c r="A16" s="31" t="s">
        <v>3743</v>
      </c>
      <c r="D16" s="1437"/>
      <c r="E16" s="31" t="s">
        <v>3742</v>
      </c>
      <c r="F16" s="319"/>
    </row>
    <row r="17" spans="1:10">
      <c r="D17" s="273"/>
      <c r="F17" s="319"/>
    </row>
    <row r="18" spans="1:10">
      <c r="A18" s="31" t="s">
        <v>1526</v>
      </c>
      <c r="D18" s="320" t="e">
        <f>PMT(D10/12,D16*12,-D5,0,0)*12</f>
        <v>#DIV/0!</v>
      </c>
      <c r="E18" s="31" t="s">
        <v>2246</v>
      </c>
      <c r="F18" s="319"/>
    </row>
    <row r="19" spans="1:10">
      <c r="D19" s="273"/>
      <c r="F19" s="319"/>
    </row>
    <row r="20" spans="1:10">
      <c r="A20" s="31" t="s">
        <v>2247</v>
      </c>
      <c r="D20" s="273" t="e">
        <f>D18/12</f>
        <v>#DIV/0!</v>
      </c>
      <c r="E20" s="31" t="s">
        <v>2246</v>
      </c>
      <c r="F20" s="319"/>
    </row>
    <row r="24" spans="1:10" ht="18" customHeight="1">
      <c r="A24" s="889" t="s">
        <v>2743</v>
      </c>
      <c r="B24" s="889"/>
      <c r="C24" s="889"/>
      <c r="D24" s="889"/>
      <c r="E24" s="889"/>
      <c r="F24" s="889"/>
      <c r="J24" s="321"/>
    </row>
    <row r="25" spans="1:10">
      <c r="C25" s="273"/>
      <c r="J25" s="321"/>
    </row>
    <row r="26" spans="1:10">
      <c r="A26" s="141"/>
      <c r="B26" s="111"/>
      <c r="C26" s="893" t="s">
        <v>3385</v>
      </c>
      <c r="D26" s="316"/>
      <c r="E26" s="111"/>
      <c r="F26" s="893" t="s">
        <v>3385</v>
      </c>
      <c r="J26" s="321"/>
    </row>
    <row r="27" spans="1:10">
      <c r="A27" s="322" t="s">
        <v>3754</v>
      </c>
      <c r="B27" s="736" t="s">
        <v>1647</v>
      </c>
      <c r="C27" s="894"/>
      <c r="D27" s="323" t="s">
        <v>3754</v>
      </c>
      <c r="E27" s="736" t="s">
        <v>1647</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6" t="str">
        <f>CONCATENATE('Part I-Project Information'!$O$4," ",'Part I-Project Information'!$F$22,", ",'Part I-Project Information'!$F$24,", ",'Part I-Project Information'!$J$25," County")</f>
        <v>2011-043 Calypso, Palmetto, Fulton County</v>
      </c>
      <c r="B50" s="886"/>
      <c r="C50" s="886"/>
      <c r="D50" s="886"/>
      <c r="E50" s="886"/>
      <c r="F50" s="886"/>
      <c r="G50" s="300"/>
      <c r="H50" s="300"/>
    </row>
    <row r="51" spans="1:10" ht="15">
      <c r="A51" s="887" t="s">
        <v>3744</v>
      </c>
      <c r="B51" s="887"/>
      <c r="C51" s="887"/>
      <c r="D51" s="887"/>
      <c r="E51" s="887"/>
      <c r="F51" s="887"/>
      <c r="G51" s="333"/>
      <c r="H51" s="333"/>
      <c r="I51" s="333"/>
      <c r="J51" s="333"/>
    </row>
    <row r="52" spans="1:10" ht="5.45" customHeight="1">
      <c r="C52" s="273"/>
      <c r="D52" s="273"/>
      <c r="G52" s="278"/>
      <c r="H52" s="272"/>
      <c r="I52" s="278"/>
    </row>
    <row r="53" spans="1:10">
      <c r="A53" s="276" t="s">
        <v>3745</v>
      </c>
      <c r="B53" s="276" t="s">
        <v>3746</v>
      </c>
      <c r="C53" s="276" t="s">
        <v>1995</v>
      </c>
      <c r="D53" s="276" t="s">
        <v>3747</v>
      </c>
      <c r="E53" s="276" t="s">
        <v>3748</v>
      </c>
      <c r="F53" s="307" t="s">
        <v>3754</v>
      </c>
      <c r="G53" s="334"/>
      <c r="H53" s="334"/>
      <c r="I53" s="334"/>
    </row>
    <row r="54" spans="1:10" ht="3.6" customHeight="1">
      <c r="F54" s="111"/>
      <c r="G54" s="278"/>
      <c r="H54" s="272"/>
      <c r="I54" s="278"/>
    </row>
    <row r="55" spans="1:10">
      <c r="A55" s="31" t="s">
        <v>3749</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26" zoomScale="80" zoomScaleNormal="80" zoomScaleSheetLayoutView="90" workbookViewId="0">
      <selection activeCell="D99" sqref="D99"/>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2011-043 Calypso, Palmetto, Fulton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951</v>
      </c>
      <c r="B5" s="461" t="s">
        <v>1495</v>
      </c>
      <c r="H5" s="721"/>
      <c r="I5" s="721"/>
      <c r="J5" s="895" t="s">
        <v>359</v>
      </c>
      <c r="K5" s="896"/>
      <c r="L5" s="522"/>
      <c r="M5" s="943" t="s">
        <v>721</v>
      </c>
      <c r="N5" s="944"/>
      <c r="P5" s="895" t="s">
        <v>360</v>
      </c>
      <c r="Q5" s="896"/>
      <c r="S5" s="895" t="s">
        <v>361</v>
      </c>
      <c r="T5" s="896"/>
    </row>
    <row r="6" spans="1:21" s="458" customFormat="1" ht="21" customHeight="1" thickBot="1">
      <c r="G6" s="948" t="s">
        <v>115</v>
      </c>
      <c r="H6" s="949"/>
      <c r="J6" s="897"/>
      <c r="K6" s="898"/>
      <c r="L6" s="522"/>
      <c r="M6" s="945"/>
      <c r="N6" s="946"/>
      <c r="P6" s="897"/>
      <c r="Q6" s="898"/>
      <c r="S6" s="897"/>
      <c r="T6" s="898"/>
    </row>
    <row r="7" spans="1:21" s="458" customFormat="1" ht="13.15" customHeight="1">
      <c r="B7" s="461" t="s">
        <v>116</v>
      </c>
      <c r="O7" s="733" t="str">
        <f>B7</f>
        <v>PRE-DEVELOPMENT COSTS</v>
      </c>
    </row>
    <row r="8" spans="1:21" s="458" customFormat="1" ht="12.6" customHeight="1">
      <c r="B8" s="458" t="s">
        <v>3079</v>
      </c>
      <c r="G8" s="1392">
        <v>8000</v>
      </c>
      <c r="H8" s="1393"/>
      <c r="J8" s="1392">
        <v>8000</v>
      </c>
      <c r="K8" s="1393"/>
      <c r="L8" s="732"/>
      <c r="M8" s="1392"/>
      <c r="N8" s="1393"/>
      <c r="P8" s="1392"/>
      <c r="Q8" s="1393"/>
      <c r="S8" s="1392"/>
      <c r="T8" s="1393"/>
    </row>
    <row r="9" spans="1:21" s="458" customFormat="1" ht="12.6" customHeight="1">
      <c r="B9" s="458" t="s">
        <v>672</v>
      </c>
      <c r="G9" s="1392">
        <v>10000</v>
      </c>
      <c r="H9" s="1393"/>
      <c r="J9" s="1392">
        <v>10000</v>
      </c>
      <c r="K9" s="1393"/>
      <c r="L9" s="732"/>
      <c r="M9" s="1392"/>
      <c r="N9" s="1393"/>
      <c r="P9" s="1392"/>
      <c r="Q9" s="1393"/>
      <c r="S9" s="1392"/>
      <c r="T9" s="1393"/>
    </row>
    <row r="10" spans="1:21" s="458" customFormat="1" ht="12.6" customHeight="1">
      <c r="B10" s="458" t="s">
        <v>718</v>
      </c>
      <c r="G10" s="1392">
        <v>9500</v>
      </c>
      <c r="H10" s="1393"/>
      <c r="J10" s="1392">
        <v>9500</v>
      </c>
      <c r="K10" s="1393"/>
      <c r="L10" s="732"/>
      <c r="M10" s="1392"/>
      <c r="N10" s="1393"/>
      <c r="P10" s="1392"/>
      <c r="Q10" s="1393"/>
      <c r="S10" s="1392"/>
      <c r="T10" s="1393"/>
    </row>
    <row r="11" spans="1:21" s="458" customFormat="1" ht="12.6" customHeight="1">
      <c r="B11" s="458" t="s">
        <v>719</v>
      </c>
      <c r="G11" s="1392">
        <v>7000</v>
      </c>
      <c r="H11" s="1393"/>
      <c r="J11" s="1392">
        <v>7000</v>
      </c>
      <c r="K11" s="1393"/>
      <c r="L11" s="732"/>
      <c r="M11" s="1392"/>
      <c r="N11" s="1393"/>
      <c r="P11" s="1392"/>
      <c r="Q11" s="1393"/>
      <c r="S11" s="1392"/>
      <c r="T11" s="1393"/>
    </row>
    <row r="12" spans="1:21" s="458" customFormat="1" ht="12.6" customHeight="1">
      <c r="B12" s="458" t="s">
        <v>3780</v>
      </c>
      <c r="G12" s="1392">
        <v>22500</v>
      </c>
      <c r="H12" s="1393"/>
      <c r="J12" s="1392">
        <v>22500</v>
      </c>
      <c r="K12" s="1393"/>
      <c r="L12" s="732"/>
      <c r="M12" s="1392"/>
      <c r="N12" s="1393"/>
      <c r="P12" s="1392"/>
      <c r="Q12" s="1393"/>
      <c r="S12" s="1392"/>
      <c r="T12" s="1393"/>
    </row>
    <row r="13" spans="1:21" s="458" customFormat="1" ht="12.6" customHeight="1">
      <c r="B13" s="458" t="s">
        <v>248</v>
      </c>
      <c r="G13" s="1392">
        <v>25950</v>
      </c>
      <c r="H13" s="1393"/>
      <c r="J13" s="1392">
        <v>25950</v>
      </c>
      <c r="K13" s="1393"/>
      <c r="L13" s="732"/>
      <c r="M13" s="1392"/>
      <c r="N13" s="1393"/>
      <c r="P13" s="1392"/>
      <c r="Q13" s="1393"/>
      <c r="S13" s="1392"/>
      <c r="T13" s="1393"/>
    </row>
    <row r="14" spans="1:21" s="458" customFormat="1" ht="12.6" customHeight="1">
      <c r="A14" s="562" t="str">
        <f>IF(AND(G14&gt;0,OR(C14="",C14="&lt;Enter detailed description here; use Comments section if needed&gt;")),"X","")</f>
        <v/>
      </c>
      <c r="B14" s="458" t="s">
        <v>1231</v>
      </c>
      <c r="C14" s="1394"/>
      <c r="D14" s="1394"/>
      <c r="E14" s="1394"/>
      <c r="F14" s="1395"/>
      <c r="G14" s="1392"/>
      <c r="H14" s="1393"/>
      <c r="J14" s="1392"/>
      <c r="K14" s="1393"/>
      <c r="L14" s="732"/>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1231</v>
      </c>
      <c r="C15" s="1394"/>
      <c r="D15" s="1394"/>
      <c r="E15" s="1394"/>
      <c r="F15" s="1395"/>
      <c r="G15" s="1392"/>
      <c r="H15" s="1393"/>
      <c r="J15" s="1392"/>
      <c r="K15" s="1393"/>
      <c r="L15" s="732"/>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1231</v>
      </c>
      <c r="C16" s="1394"/>
      <c r="D16" s="1394"/>
      <c r="E16" s="1394"/>
      <c r="F16" s="1395"/>
      <c r="G16" s="1392"/>
      <c r="H16" s="1393"/>
      <c r="J16" s="1396"/>
      <c r="K16" s="1397"/>
      <c r="L16" s="732"/>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82950</v>
      </c>
      <c r="H17" s="900"/>
      <c r="J17" s="899">
        <f>SUM(J8:K16)</f>
        <v>82950</v>
      </c>
      <c r="K17" s="947"/>
      <c r="L17" s="732"/>
      <c r="M17" s="899">
        <f>SUM(M8:N16)</f>
        <v>0</v>
      </c>
      <c r="N17" s="900"/>
      <c r="P17" s="899">
        <f>SUM(P8:Q16)</f>
        <v>0</v>
      </c>
      <c r="Q17" s="900"/>
      <c r="S17" s="899">
        <f>SUM(S8:T16)</f>
        <v>0</v>
      </c>
      <c r="T17" s="900"/>
    </row>
    <row r="18" spans="2:20" s="458" customFormat="1" ht="13.15" customHeight="1">
      <c r="B18" s="461" t="s">
        <v>3306</v>
      </c>
      <c r="J18" s="522"/>
      <c r="K18" s="522"/>
      <c r="M18" s="522"/>
      <c r="N18" s="522"/>
      <c r="O18" s="524" t="str">
        <f>B18</f>
        <v>ACQUISITION</v>
      </c>
      <c r="P18" s="522"/>
      <c r="Q18" s="522"/>
      <c r="S18" s="522"/>
      <c r="T18" s="522"/>
    </row>
    <row r="19" spans="2:20" s="458" customFormat="1" ht="12.6" customHeight="1">
      <c r="B19" s="458" t="s">
        <v>3307</v>
      </c>
      <c r="G19" s="1392">
        <v>775000</v>
      </c>
      <c r="H19" s="1393"/>
      <c r="J19" s="525"/>
      <c r="K19" s="522"/>
      <c r="L19" s="525"/>
      <c r="M19" s="525"/>
      <c r="N19" s="522"/>
      <c r="P19" s="525"/>
      <c r="Q19" s="522"/>
      <c r="S19" s="1392">
        <v>775000</v>
      </c>
      <c r="T19" s="1393"/>
    </row>
    <row r="20" spans="2:20" s="458" customFormat="1" ht="12.6" customHeight="1">
      <c r="B20" s="458" t="s">
        <v>1751</v>
      </c>
      <c r="G20" s="1392"/>
      <c r="H20" s="1393"/>
      <c r="J20" s="525"/>
      <c r="K20" s="522"/>
      <c r="L20" s="525"/>
      <c r="M20" s="525"/>
      <c r="N20" s="522"/>
      <c r="P20" s="525"/>
      <c r="Q20" s="522"/>
      <c r="S20" s="1392"/>
      <c r="T20" s="1393"/>
    </row>
    <row r="21" spans="2:20" s="458" customFormat="1" ht="12.6" customHeight="1">
      <c r="B21" s="458" t="s">
        <v>673</v>
      </c>
      <c r="G21" s="1392"/>
      <c r="H21" s="1393"/>
      <c r="J21" s="525"/>
      <c r="K21" s="522"/>
      <c r="L21" s="525"/>
      <c r="M21" s="1392"/>
      <c r="N21" s="1393"/>
      <c r="P21" s="525"/>
      <c r="Q21" s="522"/>
      <c r="S21" s="1392"/>
      <c r="T21" s="1393"/>
    </row>
    <row r="22" spans="2:20" s="458" customFormat="1" ht="12.6" customHeight="1" thickBot="1">
      <c r="B22" s="458" t="s">
        <v>638</v>
      </c>
      <c r="G22" s="1398"/>
      <c r="H22" s="1399"/>
      <c r="J22" s="525"/>
      <c r="K22" s="522"/>
      <c r="L22" s="525"/>
      <c r="M22" s="1398"/>
      <c r="N22" s="1399"/>
      <c r="P22" s="525"/>
      <c r="Q22" s="522"/>
      <c r="S22" s="1392"/>
      <c r="T22" s="1393"/>
    </row>
    <row r="23" spans="2:20" s="458" customFormat="1" ht="12.6" customHeight="1" thickTop="1">
      <c r="F23" s="523" t="s">
        <v>249</v>
      </c>
      <c r="G23" s="899">
        <f>SUM(G19:H22)</f>
        <v>775000</v>
      </c>
      <c r="H23" s="900"/>
      <c r="J23" s="525"/>
      <c r="K23" s="522"/>
      <c r="L23" s="525"/>
      <c r="M23" s="899">
        <f>SUM(M21:N22)</f>
        <v>0</v>
      </c>
      <c r="N23" s="900"/>
      <c r="P23" s="525"/>
      <c r="Q23" s="522"/>
      <c r="S23" s="899">
        <f>SUM(S19:T22)</f>
        <v>775000</v>
      </c>
      <c r="T23" s="900"/>
    </row>
    <row r="24" spans="2:20" s="458" customFormat="1" ht="13.15" customHeight="1">
      <c r="B24" s="461" t="s">
        <v>1752</v>
      </c>
      <c r="J24" s="525"/>
      <c r="K24" s="522"/>
      <c r="M24" s="525"/>
      <c r="N24" s="522"/>
      <c r="O24" s="524" t="str">
        <f>B24</f>
        <v>LAND IMPROVEMENTS</v>
      </c>
      <c r="P24" s="525"/>
      <c r="Q24" s="522"/>
      <c r="S24" s="525"/>
      <c r="T24" s="522"/>
    </row>
    <row r="25" spans="2:20" s="458" customFormat="1" ht="12.6" customHeight="1">
      <c r="B25" s="458" t="s">
        <v>1753</v>
      </c>
      <c r="G25" s="1392">
        <v>1319478</v>
      </c>
      <c r="H25" s="1393"/>
      <c r="J25" s="1396">
        <v>1319478</v>
      </c>
      <c r="K25" s="1397"/>
      <c r="L25" s="732"/>
      <c r="M25" s="1396"/>
      <c r="N25" s="1397"/>
      <c r="P25" s="1396"/>
      <c r="Q25" s="1397"/>
      <c r="S25" s="1392"/>
      <c r="T25" s="1393"/>
    </row>
    <row r="26" spans="2:20" s="458" customFormat="1" ht="12.6" customHeight="1" thickBot="1">
      <c r="B26" s="458" t="s">
        <v>1754</v>
      </c>
      <c r="G26" s="1392"/>
      <c r="H26" s="1393"/>
      <c r="J26" s="1396"/>
      <c r="K26" s="1397"/>
      <c r="L26" s="526"/>
      <c r="M26" s="955"/>
      <c r="N26" s="955"/>
      <c r="P26" s="955"/>
      <c r="Q26" s="955"/>
      <c r="S26" s="1392"/>
      <c r="T26" s="1393"/>
    </row>
    <row r="27" spans="2:20" s="458" customFormat="1" ht="12.6" customHeight="1" thickTop="1">
      <c r="F27" s="523" t="s">
        <v>249</v>
      </c>
      <c r="G27" s="899">
        <f>SUM(G25:H26)</f>
        <v>1319478</v>
      </c>
      <c r="H27" s="900"/>
      <c r="J27" s="899">
        <f>SUM(J25:K26)</f>
        <v>1319478</v>
      </c>
      <c r="K27" s="900"/>
      <c r="L27" s="525"/>
      <c r="M27" s="899">
        <f>M25</f>
        <v>0</v>
      </c>
      <c r="N27" s="900"/>
      <c r="P27" s="899">
        <f>P25</f>
        <v>0</v>
      </c>
      <c r="Q27" s="900"/>
      <c r="S27" s="899">
        <f>SUM(S25:T26)</f>
        <v>0</v>
      </c>
      <c r="T27" s="900"/>
    </row>
    <row r="28" spans="2:20" s="458" customFormat="1" ht="13.15" customHeight="1">
      <c r="B28" s="461" t="s">
        <v>1755</v>
      </c>
      <c r="J28" s="525"/>
      <c r="K28" s="522"/>
      <c r="M28" s="525"/>
      <c r="N28" s="522"/>
      <c r="O28" s="524" t="str">
        <f>B28</f>
        <v>STRUCTURES</v>
      </c>
      <c r="P28" s="525"/>
      <c r="Q28" s="522"/>
      <c r="S28" s="525"/>
      <c r="T28" s="522"/>
    </row>
    <row r="29" spans="2:20" s="458" customFormat="1" ht="12.6" customHeight="1">
      <c r="B29" s="458" t="s">
        <v>1756</v>
      </c>
      <c r="G29" s="1392">
        <v>5055041</v>
      </c>
      <c r="H29" s="1393"/>
      <c r="J29" s="1392">
        <v>5055041</v>
      </c>
      <c r="K29" s="1393"/>
      <c r="L29" s="732"/>
      <c r="M29" s="1392"/>
      <c r="N29" s="1393"/>
      <c r="P29" s="1392"/>
      <c r="Q29" s="1393"/>
      <c r="S29" s="1392"/>
      <c r="T29" s="1393"/>
    </row>
    <row r="30" spans="2:20" s="458" customFormat="1" ht="12.6" customHeight="1">
      <c r="B30" s="458" t="s">
        <v>1757</v>
      </c>
      <c r="G30" s="1392"/>
      <c r="H30" s="1393"/>
      <c r="J30" s="1392"/>
      <c r="K30" s="1393"/>
      <c r="L30" s="732"/>
      <c r="M30" s="1392"/>
      <c r="N30" s="1393"/>
      <c r="P30" s="1392"/>
      <c r="Q30" s="1393"/>
      <c r="S30" s="1392"/>
      <c r="T30" s="1393"/>
    </row>
    <row r="31" spans="2:20" ht="12.6" customHeight="1" thickBot="1">
      <c r="B31" s="458" t="s">
        <v>1758</v>
      </c>
      <c r="G31" s="1392">
        <v>183383</v>
      </c>
      <c r="H31" s="1393"/>
      <c r="I31" s="458"/>
      <c r="J31" s="1392">
        <v>183383</v>
      </c>
      <c r="K31" s="1393"/>
      <c r="L31" s="732"/>
      <c r="M31" s="1392"/>
      <c r="N31" s="1393"/>
      <c r="O31" s="458"/>
      <c r="P31" s="1392"/>
      <c r="Q31" s="1393"/>
      <c r="R31" s="458"/>
      <c r="S31" s="1392"/>
      <c r="T31" s="1393"/>
    </row>
    <row r="32" spans="2:20" s="458" customFormat="1" ht="12.6" customHeight="1" thickTop="1">
      <c r="C32" s="950"/>
      <c r="D32" s="950"/>
      <c r="E32" s="734"/>
      <c r="F32" s="523" t="s">
        <v>249</v>
      </c>
      <c r="G32" s="899">
        <f>SUM(G29:H31)</f>
        <v>5238424</v>
      </c>
      <c r="H32" s="900"/>
      <c r="J32" s="899">
        <f>SUM(J29:K31)</f>
        <v>5238424</v>
      </c>
      <c r="K32" s="900"/>
      <c r="L32" s="732"/>
      <c r="M32" s="899">
        <f>SUM(M29:N31)</f>
        <v>0</v>
      </c>
      <c r="N32" s="900"/>
      <c r="P32" s="899">
        <f>SUM(P29:Q31)</f>
        <v>0</v>
      </c>
      <c r="Q32" s="900"/>
      <c r="S32" s="899">
        <f>SUM(S29:T31)</f>
        <v>0</v>
      </c>
      <c r="T32" s="900"/>
    </row>
    <row r="33" spans="1:20" s="458" customFormat="1" ht="13.15" customHeight="1">
      <c r="B33" s="461" t="s">
        <v>3493</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3494</v>
      </c>
      <c r="E34" s="527">
        <f>'DCA Underwriting Assumptions'!$R$38</f>
        <v>0.06</v>
      </c>
      <c r="F34" s="620">
        <f>E34*($G$27+$G$32)</f>
        <v>393474.12</v>
      </c>
      <c r="G34" s="1392">
        <v>393474</v>
      </c>
      <c r="H34" s="1393"/>
      <c r="I34" s="482"/>
      <c r="J34" s="1392">
        <v>393474</v>
      </c>
      <c r="K34" s="1393"/>
      <c r="L34" s="732"/>
      <c r="M34" s="1392"/>
      <c r="N34" s="1393"/>
      <c r="P34" s="1392"/>
      <c r="Q34" s="1393"/>
      <c r="S34" s="1392"/>
      <c r="T34" s="1393"/>
    </row>
    <row r="35" spans="1:20" s="458" customFormat="1" ht="12.6" customHeight="1" thickBot="1">
      <c r="B35" s="458" t="s">
        <v>3130</v>
      </c>
      <c r="E35" s="619">
        <f>'DCA Underwriting Assumptions'!$R$39+'DCA Underwriting Assumptions'!$R$40</f>
        <v>0.08</v>
      </c>
      <c r="F35" s="620">
        <f>E35*($G$27+$G$32)</f>
        <v>524632.16</v>
      </c>
      <c r="G35" s="1392">
        <v>520695</v>
      </c>
      <c r="H35" s="1393"/>
      <c r="I35" s="482"/>
      <c r="J35" s="1392">
        <v>520695</v>
      </c>
      <c r="K35" s="1393"/>
      <c r="L35" s="732"/>
      <c r="M35" s="1392"/>
      <c r="N35" s="1393"/>
      <c r="P35" s="1392"/>
      <c r="Q35" s="1393"/>
      <c r="S35" s="1392"/>
      <c r="T35" s="1393"/>
    </row>
    <row r="36" spans="1:20" s="458" customFormat="1" ht="12.6" customHeight="1" thickTop="1">
      <c r="B36" s="458" t="s">
        <v>3131</v>
      </c>
      <c r="D36" s="530"/>
      <c r="E36" s="721"/>
      <c r="F36" s="621" t="s">
        <v>249</v>
      </c>
      <c r="G36" s="899">
        <f>SUM(G34:H35)</f>
        <v>914169</v>
      </c>
      <c r="H36" s="900"/>
      <c r="J36" s="899">
        <f>SUM(J34:K35)</f>
        <v>914169</v>
      </c>
      <c r="K36" s="900"/>
      <c r="L36" s="525"/>
      <c r="M36" s="899">
        <f>SUM(M34:N35)</f>
        <v>0</v>
      </c>
      <c r="N36" s="900"/>
      <c r="P36" s="899">
        <f>SUM(P34:Q35)</f>
        <v>0</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1761</v>
      </c>
      <c r="C38" s="532"/>
      <c r="D38" s="533">
        <f>B39/'Part VI-Revenues &amp; Expenses'!$M$63</f>
        <v>120517.27419354839</v>
      </c>
      <c r="E38" s="533"/>
      <c r="F38" s="534" t="s">
        <v>2111</v>
      </c>
    </row>
    <row r="39" spans="1:20" s="458" customFormat="1" ht="12.6" customHeight="1">
      <c r="B39" s="951">
        <f>G27+G32+G36</f>
        <v>7472071</v>
      </c>
      <c r="C39" s="952"/>
      <c r="D39" s="535">
        <f>B39/'Part VI-Revenues &amp; Expenses'!$M$98</f>
        <v>90.636475012130035</v>
      </c>
      <c r="E39" s="535"/>
      <c r="F39" s="536" t="s">
        <v>1338</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1759</v>
      </c>
      <c r="J41" s="525"/>
      <c r="K41" s="522"/>
      <c r="M41" s="525"/>
      <c r="N41" s="522"/>
      <c r="O41" s="524" t="str">
        <f>B41</f>
        <v>CONSTRUCTION CONTINGENCY</v>
      </c>
      <c r="P41" s="525"/>
      <c r="Q41" s="522"/>
      <c r="S41" s="525"/>
      <c r="T41" s="522"/>
    </row>
    <row r="42" spans="1:20" ht="12.6" customHeight="1">
      <c r="B42" s="458" t="s">
        <v>3038</v>
      </c>
      <c r="F42" s="646">
        <f>G42/$B$39</f>
        <v>4.9999524897448112E-2</v>
      </c>
      <c r="G42" s="1392">
        <v>373600</v>
      </c>
      <c r="H42" s="1393"/>
      <c r="I42" s="458"/>
      <c r="J42" s="1392">
        <v>373600</v>
      </c>
      <c r="K42" s="1393"/>
      <c r="L42" s="732"/>
      <c r="M42" s="1392"/>
      <c r="N42" s="1393"/>
      <c r="O42" s="458"/>
      <c r="P42" s="1392"/>
      <c r="Q42" s="1393"/>
      <c r="R42" s="458"/>
      <c r="S42" s="1392"/>
      <c r="T42" s="1393"/>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951</v>
      </c>
      <c r="B45" s="461" t="s">
        <v>1495</v>
      </c>
      <c r="H45" s="721"/>
      <c r="I45" s="721"/>
      <c r="J45" s="895" t="s">
        <v>359</v>
      </c>
      <c r="K45" s="896"/>
      <c r="L45" s="522"/>
      <c r="M45" s="943" t="s">
        <v>721</v>
      </c>
      <c r="N45" s="944"/>
      <c r="P45" s="895" t="s">
        <v>360</v>
      </c>
      <c r="Q45" s="896"/>
      <c r="S45" s="895" t="s">
        <v>361</v>
      </c>
      <c r="T45" s="896"/>
    </row>
    <row r="46" spans="1:20" s="458" customFormat="1" ht="21" customHeight="1" thickBot="1">
      <c r="G46" s="948" t="s">
        <v>115</v>
      </c>
      <c r="H46" s="949"/>
      <c r="J46" s="897"/>
      <c r="K46" s="898"/>
      <c r="L46" s="522"/>
      <c r="M46" s="945"/>
      <c r="N46" s="946"/>
      <c r="P46" s="897"/>
      <c r="Q46" s="898"/>
      <c r="S46" s="897"/>
      <c r="T46" s="898"/>
    </row>
    <row r="47" spans="1:20" s="458" customFormat="1" ht="13.15" customHeight="1">
      <c r="B47" s="461" t="s">
        <v>1092</v>
      </c>
      <c r="J47" s="525"/>
      <c r="K47" s="522"/>
      <c r="M47" s="525"/>
      <c r="N47" s="522"/>
      <c r="O47" s="524" t="str">
        <f>B47</f>
        <v>CONSTRUCTION PERIOD FINANCING</v>
      </c>
      <c r="P47" s="525"/>
      <c r="Q47" s="522"/>
      <c r="S47" s="525"/>
      <c r="T47" s="522"/>
    </row>
    <row r="48" spans="1:20" s="458" customFormat="1" ht="13.15" customHeight="1">
      <c r="B48" s="458" t="s">
        <v>3496</v>
      </c>
      <c r="G48" s="1392">
        <v>45268</v>
      </c>
      <c r="H48" s="1393"/>
      <c r="J48" s="1392">
        <v>45268</v>
      </c>
      <c r="K48" s="1393"/>
      <c r="L48" s="732"/>
      <c r="M48" s="1392"/>
      <c r="N48" s="1393"/>
      <c r="P48" s="1392"/>
      <c r="Q48" s="1393"/>
      <c r="S48" s="1392"/>
      <c r="T48" s="1393"/>
    </row>
    <row r="49" spans="1:21" s="458" customFormat="1" ht="13.15" customHeight="1">
      <c r="B49" s="458" t="s">
        <v>3497</v>
      </c>
      <c r="G49" s="1392">
        <v>120000</v>
      </c>
      <c r="H49" s="1393"/>
      <c r="J49" s="1392">
        <f>G49*0.8</f>
        <v>96000</v>
      </c>
      <c r="K49" s="1393"/>
      <c r="L49" s="732"/>
      <c r="M49" s="1392"/>
      <c r="N49" s="1393"/>
      <c r="P49" s="1392"/>
      <c r="Q49" s="1393"/>
      <c r="S49" s="1392">
        <v>24000</v>
      </c>
      <c r="T49" s="1393"/>
    </row>
    <row r="50" spans="1:21" s="458" customFormat="1" ht="13.15" customHeight="1">
      <c r="B50" s="458" t="s">
        <v>3498</v>
      </c>
      <c r="G50" s="1392">
        <v>30000</v>
      </c>
      <c r="H50" s="1393"/>
      <c r="J50" s="1392">
        <v>30000</v>
      </c>
      <c r="K50" s="1393"/>
      <c r="L50" s="732"/>
      <c r="M50" s="1392"/>
      <c r="N50" s="1393"/>
      <c r="P50" s="1392"/>
      <c r="Q50" s="1393"/>
      <c r="S50" s="1392"/>
      <c r="T50" s="1393"/>
    </row>
    <row r="51" spans="1:21" s="458" customFormat="1" ht="13.15" customHeight="1">
      <c r="B51" s="458" t="s">
        <v>1093</v>
      </c>
      <c r="G51" s="1392">
        <v>14340</v>
      </c>
      <c r="H51" s="1393"/>
      <c r="J51" s="1392">
        <v>14340</v>
      </c>
      <c r="K51" s="1393"/>
      <c r="L51" s="732"/>
      <c r="M51" s="1392"/>
      <c r="N51" s="1393"/>
      <c r="P51" s="1392"/>
      <c r="Q51" s="1393"/>
      <c r="S51" s="1392"/>
      <c r="T51" s="1393"/>
    </row>
    <row r="52" spans="1:21" s="458" customFormat="1" ht="13.15" customHeight="1">
      <c r="B52" s="458" t="s">
        <v>3499</v>
      </c>
      <c r="G52" s="1392">
        <f>22311+18486+21700</f>
        <v>62497</v>
      </c>
      <c r="H52" s="1393"/>
      <c r="J52" s="1392">
        <v>62497</v>
      </c>
      <c r="K52" s="1393"/>
      <c r="L52" s="732"/>
      <c r="M52" s="1392"/>
      <c r="N52" s="1393"/>
      <c r="P52" s="1392"/>
      <c r="Q52" s="1393"/>
      <c r="S52" s="1392"/>
      <c r="T52" s="1393"/>
    </row>
    <row r="53" spans="1:21" s="458" customFormat="1" ht="13.15" customHeight="1">
      <c r="B53" s="458" t="s">
        <v>372</v>
      </c>
      <c r="G53" s="1392"/>
      <c r="H53" s="1393"/>
      <c r="J53" s="1392"/>
      <c r="K53" s="1393"/>
      <c r="L53" s="732"/>
      <c r="M53" s="1392"/>
      <c r="N53" s="1393"/>
      <c r="P53" s="1392"/>
      <c r="Q53" s="1393"/>
      <c r="S53" s="1392"/>
      <c r="T53" s="1393"/>
    </row>
    <row r="54" spans="1:21" s="458" customFormat="1" ht="12.6" customHeight="1">
      <c r="B54" s="529" t="s">
        <v>1796</v>
      </c>
      <c r="D54" s="527"/>
      <c r="E54" s="527"/>
      <c r="F54" s="528"/>
      <c r="G54" s="1392">
        <v>50996</v>
      </c>
      <c r="H54" s="1393"/>
      <c r="I54" s="482"/>
      <c r="J54" s="1392">
        <v>50996</v>
      </c>
      <c r="K54" s="1393"/>
      <c r="L54" s="732"/>
      <c r="M54" s="1392"/>
      <c r="N54" s="1393"/>
      <c r="P54" s="1392"/>
      <c r="Q54" s="1393"/>
      <c r="S54" s="1392"/>
      <c r="T54" s="1393"/>
    </row>
    <row r="55" spans="1:21" s="458" customFormat="1" ht="13.15" customHeight="1" thickBot="1">
      <c r="A55" s="562" t="str">
        <f>IF(AND(G55&gt;0,OR(C55="",C55="&lt;Enter detailed description here; use Comments section if needed&gt;")),"X","")</f>
        <v/>
      </c>
      <c r="B55" s="458" t="s">
        <v>1231</v>
      </c>
      <c r="C55" s="1394"/>
      <c r="D55" s="1394"/>
      <c r="E55" s="1394"/>
      <c r="F55" s="1395"/>
      <c r="G55" s="1398"/>
      <c r="H55" s="1399"/>
      <c r="J55" s="1398"/>
      <c r="K55" s="1399"/>
      <c r="L55" s="732"/>
      <c r="M55" s="1398"/>
      <c r="N55" s="1399"/>
      <c r="P55" s="1398"/>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323101</v>
      </c>
      <c r="H56" s="900"/>
      <c r="J56" s="899">
        <f>SUM(J48:K55)</f>
        <v>299101</v>
      </c>
      <c r="K56" s="900"/>
      <c r="L56" s="525"/>
      <c r="M56" s="899">
        <f>SUM(M48:N55)</f>
        <v>0</v>
      </c>
      <c r="N56" s="900"/>
      <c r="P56" s="899">
        <f>SUM(P48:Q55)</f>
        <v>0</v>
      </c>
      <c r="Q56" s="900"/>
      <c r="S56" s="899">
        <f>SUM(S48:T55)</f>
        <v>24000</v>
      </c>
      <c r="T56" s="900"/>
    </row>
    <row r="57" spans="1:21" s="458" customFormat="1" ht="13.15" customHeight="1">
      <c r="B57" s="461" t="s">
        <v>705</v>
      </c>
      <c r="G57" s="522"/>
      <c r="H57" s="522"/>
      <c r="J57" s="522"/>
      <c r="K57" s="522"/>
      <c r="M57" s="522"/>
      <c r="N57" s="522"/>
      <c r="O57" s="524" t="str">
        <f>B57</f>
        <v>PROFESSIONAL SERVICES</v>
      </c>
      <c r="P57" s="522"/>
      <c r="Q57" s="522"/>
      <c r="S57" s="522"/>
      <c r="T57" s="522"/>
    </row>
    <row r="58" spans="1:21" s="458" customFormat="1" ht="13.15" customHeight="1">
      <c r="B58" s="458" t="s">
        <v>706</v>
      </c>
      <c r="G58" s="1392">
        <f>146320-12000-42000+1700+4500</f>
        <v>98520</v>
      </c>
      <c r="H58" s="1393"/>
      <c r="J58" s="1392">
        <v>98520</v>
      </c>
      <c r="K58" s="1393"/>
      <c r="L58" s="732"/>
      <c r="M58" s="1392"/>
      <c r="N58" s="1393"/>
      <c r="P58" s="1392"/>
      <c r="Q58" s="1393"/>
      <c r="S58" s="1392"/>
      <c r="T58" s="1393"/>
    </row>
    <row r="59" spans="1:21" s="458" customFormat="1" ht="13.15" customHeight="1">
      <c r="B59" s="458" t="s">
        <v>707</v>
      </c>
      <c r="G59" s="1392">
        <v>12000</v>
      </c>
      <c r="H59" s="1393"/>
      <c r="J59" s="1392">
        <v>12000</v>
      </c>
      <c r="K59" s="1393"/>
      <c r="L59" s="732"/>
      <c r="M59" s="1392"/>
      <c r="N59" s="1393"/>
      <c r="P59" s="1392"/>
      <c r="Q59" s="1393"/>
      <c r="S59" s="1392"/>
      <c r="T59" s="1393"/>
    </row>
    <row r="60" spans="1:21" s="458" customFormat="1" ht="13.15" customHeight="1">
      <c r="B60" s="458" t="s">
        <v>1762</v>
      </c>
      <c r="G60" s="1392">
        <v>20000</v>
      </c>
      <c r="H60" s="1393"/>
      <c r="J60" s="1392">
        <v>20000</v>
      </c>
      <c r="K60" s="1393"/>
      <c r="L60" s="732"/>
      <c r="M60" s="1392"/>
      <c r="N60" s="1393"/>
      <c r="P60" s="1392"/>
      <c r="Q60" s="1393"/>
      <c r="S60" s="1392"/>
      <c r="T60" s="1393"/>
    </row>
    <row r="61" spans="1:21" s="458" customFormat="1" ht="13.15" customHeight="1">
      <c r="B61" s="458" t="s">
        <v>1763</v>
      </c>
      <c r="G61" s="1392">
        <v>9650</v>
      </c>
      <c r="H61" s="1393"/>
      <c r="J61" s="1392">
        <v>9650</v>
      </c>
      <c r="K61" s="1393"/>
      <c r="L61" s="732"/>
      <c r="M61" s="1392"/>
      <c r="N61" s="1393"/>
      <c r="P61" s="1392"/>
      <c r="Q61" s="1393"/>
      <c r="S61" s="1392"/>
      <c r="T61" s="1393"/>
    </row>
    <row r="62" spans="1:21" s="458" customFormat="1" ht="13.15" customHeight="1">
      <c r="B62" s="458" t="s">
        <v>1764</v>
      </c>
      <c r="G62" s="1392">
        <v>3900</v>
      </c>
      <c r="H62" s="1393"/>
      <c r="J62" s="1392">
        <v>3900</v>
      </c>
      <c r="K62" s="1393"/>
      <c r="L62" s="732"/>
      <c r="M62" s="1392"/>
      <c r="N62" s="1393"/>
      <c r="P62" s="1392"/>
      <c r="Q62" s="1393"/>
      <c r="S62" s="1392"/>
      <c r="T62" s="1393"/>
    </row>
    <row r="63" spans="1:21" s="458" customFormat="1" ht="13.15" customHeight="1">
      <c r="B63" s="458" t="s">
        <v>1765</v>
      </c>
      <c r="G63" s="1392">
        <v>58500</v>
      </c>
      <c r="H63" s="1393"/>
      <c r="J63" s="1392">
        <v>58500</v>
      </c>
      <c r="K63" s="1393"/>
      <c r="L63" s="732"/>
      <c r="M63" s="1392"/>
      <c r="N63" s="1393"/>
      <c r="P63" s="1392"/>
      <c r="Q63" s="1393"/>
      <c r="S63" s="1392"/>
      <c r="T63" s="1393"/>
    </row>
    <row r="64" spans="1:21" s="458" customFormat="1" ht="13.15" customHeight="1">
      <c r="B64" s="458" t="s">
        <v>708</v>
      </c>
      <c r="G64" s="1392">
        <v>42000</v>
      </c>
      <c r="H64" s="1393"/>
      <c r="J64" s="1392">
        <v>42000</v>
      </c>
      <c r="K64" s="1393"/>
      <c r="L64" s="732"/>
      <c r="M64" s="1392"/>
      <c r="N64" s="1393"/>
      <c r="P64" s="1392"/>
      <c r="Q64" s="1393"/>
      <c r="S64" s="1392"/>
      <c r="T64" s="1393"/>
    </row>
    <row r="65" spans="1:21" s="458" customFormat="1" ht="13.15" customHeight="1">
      <c r="B65" s="458" t="s">
        <v>709</v>
      </c>
      <c r="G65" s="1392">
        <v>75000</v>
      </c>
      <c r="H65" s="1393"/>
      <c r="J65" s="1392">
        <v>75000</v>
      </c>
      <c r="K65" s="1393"/>
      <c r="L65" s="732"/>
      <c r="M65" s="1392"/>
      <c r="N65" s="1393"/>
      <c r="P65" s="1392"/>
      <c r="Q65" s="1393"/>
      <c r="S65" s="1392"/>
      <c r="T65" s="1393"/>
    </row>
    <row r="66" spans="1:21" s="458" customFormat="1" ht="13.15" customHeight="1">
      <c r="B66" s="458" t="s">
        <v>3141</v>
      </c>
      <c r="G66" s="1392">
        <v>28500</v>
      </c>
      <c r="H66" s="1393"/>
      <c r="J66" s="1392">
        <v>28500</v>
      </c>
      <c r="K66" s="1393"/>
      <c r="L66" s="732"/>
      <c r="M66" s="1392"/>
      <c r="N66" s="1393"/>
      <c r="P66" s="1392"/>
      <c r="Q66" s="1393"/>
      <c r="S66" s="1392"/>
      <c r="T66" s="1393"/>
    </row>
    <row r="67" spans="1:21" s="458" customFormat="1" ht="13.15" customHeight="1" thickBot="1">
      <c r="A67" s="562" t="str">
        <f>IF(AND(G67&gt;0,OR(C67="",C67="&lt;Enter detailed description here; use Comments section if needed&gt;")),"X","")</f>
        <v/>
      </c>
      <c r="B67" s="458" t="s">
        <v>1231</v>
      </c>
      <c r="C67" s="1394" t="s">
        <v>3956</v>
      </c>
      <c r="D67" s="1394"/>
      <c r="E67" s="1394"/>
      <c r="F67" s="1395"/>
      <c r="G67" s="1398">
        <f>1500*12</f>
        <v>18000</v>
      </c>
      <c r="H67" s="1399"/>
      <c r="J67" s="1398">
        <v>18000</v>
      </c>
      <c r="K67" s="1399"/>
      <c r="L67" s="732"/>
      <c r="M67" s="1392"/>
      <c r="N67" s="1393"/>
      <c r="P67" s="1392"/>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366070</v>
      </c>
      <c r="H68" s="900"/>
      <c r="J68" s="899">
        <f>SUM(J58:K67)</f>
        <v>366070</v>
      </c>
      <c r="K68" s="900"/>
      <c r="L68" s="525"/>
      <c r="M68" s="899">
        <f>SUM(M58:N67)</f>
        <v>0</v>
      </c>
      <c r="N68" s="900"/>
      <c r="P68" s="899">
        <f>SUM(P58:Q67)</f>
        <v>0</v>
      </c>
      <c r="Q68" s="900"/>
      <c r="S68" s="899">
        <f>SUM(S58:T67)</f>
        <v>0</v>
      </c>
      <c r="T68" s="900"/>
    </row>
    <row r="69" spans="1:21" ht="13.15" customHeight="1">
      <c r="A69" s="458"/>
      <c r="B69" s="461" t="s">
        <v>1954</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1955</v>
      </c>
      <c r="G70" s="1392">
        <v>29159</v>
      </c>
      <c r="H70" s="1393"/>
      <c r="J70" s="1392">
        <v>29159</v>
      </c>
      <c r="K70" s="1393"/>
      <c r="L70" s="732"/>
      <c r="M70" s="1392"/>
      <c r="N70" s="1393"/>
      <c r="P70" s="1392"/>
      <c r="Q70" s="1393"/>
      <c r="S70" s="1392"/>
      <c r="T70" s="1393"/>
    </row>
    <row r="71" spans="1:21" s="458" customFormat="1" ht="13.15" customHeight="1">
      <c r="B71" s="458" t="s">
        <v>1956</v>
      </c>
      <c r="G71" s="1392">
        <v>30550</v>
      </c>
      <c r="H71" s="1393"/>
      <c r="J71" s="1392">
        <v>30550</v>
      </c>
      <c r="K71" s="1393"/>
      <c r="L71" s="732"/>
      <c r="M71" s="1392"/>
      <c r="N71" s="1393"/>
      <c r="P71" s="1392"/>
      <c r="Q71" s="1393"/>
      <c r="S71" s="1392"/>
      <c r="T71" s="1393"/>
    </row>
    <row r="72" spans="1:21" s="458" customFormat="1" ht="13.15" customHeight="1">
      <c r="B72" s="458" t="s">
        <v>1957</v>
      </c>
      <c r="D72" s="539" t="s">
        <v>2112</v>
      </c>
      <c r="E72" s="1400" t="s">
        <v>3924</v>
      </c>
      <c r="G72" s="1392">
        <v>164300</v>
      </c>
      <c r="H72" s="1393"/>
      <c r="I72" s="482"/>
      <c r="J72" s="1392">
        <v>164300</v>
      </c>
      <c r="K72" s="1393"/>
      <c r="L72" s="732"/>
      <c r="M72" s="1392"/>
      <c r="N72" s="1393"/>
      <c r="P72" s="1392"/>
      <c r="Q72" s="1393"/>
      <c r="S72" s="1392"/>
      <c r="T72" s="1393"/>
    </row>
    <row r="73" spans="1:21" s="458" customFormat="1" ht="13.15" customHeight="1" thickBot="1">
      <c r="B73" s="458" t="s">
        <v>1958</v>
      </c>
      <c r="D73" s="539" t="s">
        <v>2112</v>
      </c>
      <c r="E73" s="1400" t="s">
        <v>3924</v>
      </c>
      <c r="G73" s="1392">
        <v>356250</v>
      </c>
      <c r="H73" s="1393"/>
      <c r="I73" s="482"/>
      <c r="J73" s="1392">
        <v>356250</v>
      </c>
      <c r="K73" s="1393"/>
      <c r="L73" s="732"/>
      <c r="M73" s="1392"/>
      <c r="N73" s="1393"/>
      <c r="P73" s="1392"/>
      <c r="Q73" s="1393"/>
      <c r="S73" s="1392"/>
      <c r="T73" s="1393"/>
    </row>
    <row r="74" spans="1:21" s="458" customFormat="1" ht="13.15" customHeight="1" thickTop="1">
      <c r="F74" s="523" t="s">
        <v>249</v>
      </c>
      <c r="G74" s="899">
        <f>SUM(G70:H73)</f>
        <v>580259</v>
      </c>
      <c r="H74" s="900"/>
      <c r="J74" s="899">
        <f>SUM(J70:K73)</f>
        <v>580259</v>
      </c>
      <c r="K74" s="900"/>
      <c r="L74" s="525"/>
      <c r="M74" s="899">
        <f>SUM(M70:N73)</f>
        <v>0</v>
      </c>
      <c r="N74" s="900"/>
      <c r="P74" s="899">
        <f>SUM(P70:Q73)</f>
        <v>0</v>
      </c>
      <c r="Q74" s="900"/>
      <c r="S74" s="899">
        <f>SUM(S70:T73)</f>
        <v>0</v>
      </c>
      <c r="T74" s="900"/>
    </row>
    <row r="75" spans="1:21" s="458" customFormat="1" ht="13.15" customHeight="1">
      <c r="B75" s="461" t="s">
        <v>1094</v>
      </c>
      <c r="J75" s="525"/>
      <c r="K75" s="525"/>
      <c r="M75" s="525"/>
      <c r="N75" s="525"/>
      <c r="O75" s="524" t="str">
        <f>B75</f>
        <v>PERMANENT FINANCING FEES</v>
      </c>
      <c r="P75" s="525"/>
      <c r="Q75" s="525"/>
      <c r="S75" s="525"/>
      <c r="T75" s="525"/>
    </row>
    <row r="76" spans="1:21" s="458" customFormat="1" ht="13.15" customHeight="1">
      <c r="B76" s="458" t="s">
        <v>1959</v>
      </c>
      <c r="G76" s="1392">
        <v>31485</v>
      </c>
      <c r="H76" s="1393"/>
      <c r="J76" s="936"/>
      <c r="K76" s="936"/>
      <c r="L76" s="732"/>
      <c r="M76" s="936"/>
      <c r="N76" s="936"/>
      <c r="P76" s="936"/>
      <c r="Q76" s="936"/>
      <c r="S76" s="1392"/>
      <c r="T76" s="1393"/>
    </row>
    <row r="77" spans="1:21" s="458" customFormat="1" ht="13.15" customHeight="1">
      <c r="B77" s="458" t="s">
        <v>1960</v>
      </c>
      <c r="G77" s="1392">
        <v>15000</v>
      </c>
      <c r="H77" s="1393"/>
      <c r="J77" s="901"/>
      <c r="K77" s="901"/>
      <c r="L77" s="732"/>
      <c r="M77" s="901"/>
      <c r="N77" s="901"/>
      <c r="P77" s="901"/>
      <c r="Q77" s="901"/>
      <c r="S77" s="1392"/>
      <c r="T77" s="1393"/>
    </row>
    <row r="78" spans="1:21" s="458" customFormat="1" ht="13.15" customHeight="1">
      <c r="B78" s="458" t="s">
        <v>1961</v>
      </c>
      <c r="G78" s="1392">
        <v>25000</v>
      </c>
      <c r="H78" s="1393"/>
      <c r="J78" s="1392">
        <v>25000</v>
      </c>
      <c r="K78" s="1393"/>
      <c r="L78" s="732"/>
      <c r="M78" s="1392"/>
      <c r="N78" s="1393"/>
      <c r="P78" s="1392"/>
      <c r="Q78" s="1393"/>
      <c r="S78" s="1392"/>
      <c r="T78" s="1393"/>
    </row>
    <row r="79" spans="1:21" s="458" customFormat="1" ht="13.15" customHeight="1">
      <c r="B79" s="458" t="s">
        <v>1962</v>
      </c>
      <c r="G79" s="1392">
        <v>10000</v>
      </c>
      <c r="H79" s="1393"/>
      <c r="J79" s="1392">
        <v>10000</v>
      </c>
      <c r="K79" s="1393"/>
      <c r="L79" s="732"/>
      <c r="M79" s="1392"/>
      <c r="N79" s="1393"/>
      <c r="P79" s="1392"/>
      <c r="Q79" s="1393"/>
      <c r="S79" s="1392"/>
      <c r="T79" s="1393"/>
    </row>
    <row r="80" spans="1:21" s="458" customFormat="1" ht="13.15" customHeight="1">
      <c r="B80" s="458" t="s">
        <v>1963</v>
      </c>
      <c r="G80" s="1392"/>
      <c r="H80" s="1393"/>
      <c r="J80" s="1392"/>
      <c r="K80" s="1393"/>
      <c r="L80" s="732"/>
      <c r="M80" s="1392"/>
      <c r="N80" s="1393"/>
      <c r="P80" s="1392"/>
      <c r="Q80" s="1393"/>
      <c r="S80" s="1392"/>
      <c r="T80" s="1393"/>
    </row>
    <row r="81" spans="1:21" s="458" customFormat="1" ht="13.15" customHeight="1">
      <c r="B81" s="458" t="s">
        <v>3439</v>
      </c>
      <c r="G81" s="1392"/>
      <c r="H81" s="1393"/>
      <c r="J81" s="1392"/>
      <c r="K81" s="1393"/>
      <c r="L81" s="732"/>
      <c r="M81" s="1392"/>
      <c r="N81" s="1393"/>
      <c r="P81" s="1392"/>
      <c r="Q81" s="1393"/>
      <c r="S81" s="1392"/>
      <c r="T81" s="1393"/>
    </row>
    <row r="82" spans="1:21" s="458" customFormat="1" ht="13.15" customHeight="1" thickBot="1">
      <c r="A82" s="562" t="str">
        <f>IF(AND(G82&gt;0,OR(C82="",C82="&lt;Enter detailed description here; use Comments section if needed&gt;")),"X","")</f>
        <v/>
      </c>
      <c r="B82" s="458" t="s">
        <v>1231</v>
      </c>
      <c r="C82" s="1394" t="s">
        <v>3955</v>
      </c>
      <c r="D82" s="1394"/>
      <c r="E82" s="1394"/>
      <c r="F82" s="1395"/>
      <c r="G82" s="1392">
        <v>10000</v>
      </c>
      <c r="H82" s="1393"/>
      <c r="J82" s="1392"/>
      <c r="K82" s="1393"/>
      <c r="L82" s="732"/>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91485</v>
      </c>
      <c r="H83" s="900"/>
      <c r="J83" s="899">
        <f>SUM(J78:K82)</f>
        <v>35000</v>
      </c>
      <c r="K83" s="900"/>
      <c r="L83" s="525"/>
      <c r="M83" s="899">
        <f>SUM(M78:N82)</f>
        <v>0</v>
      </c>
      <c r="N83" s="900"/>
      <c r="P83" s="899">
        <f>SUM(P78:Q82)</f>
        <v>0</v>
      </c>
      <c r="Q83" s="900"/>
      <c r="S83" s="899">
        <f>SUM(S76:T82)</f>
        <v>0</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951</v>
      </c>
      <c r="B86" s="461" t="s">
        <v>1495</v>
      </c>
      <c r="H86" s="721"/>
      <c r="I86" s="721"/>
      <c r="J86" s="895" t="s">
        <v>359</v>
      </c>
      <c r="K86" s="896"/>
      <c r="L86" s="522"/>
      <c r="M86" s="943" t="s">
        <v>721</v>
      </c>
      <c r="N86" s="944"/>
      <c r="P86" s="895" t="s">
        <v>360</v>
      </c>
      <c r="Q86" s="896"/>
      <c r="S86" s="895" t="s">
        <v>361</v>
      </c>
      <c r="T86" s="896"/>
    </row>
    <row r="87" spans="1:21" s="458" customFormat="1" ht="18" customHeight="1" thickBot="1">
      <c r="G87" s="948" t="s">
        <v>115</v>
      </c>
      <c r="H87" s="949"/>
      <c r="J87" s="897"/>
      <c r="K87" s="898"/>
      <c r="L87" s="522"/>
      <c r="M87" s="945"/>
      <c r="N87" s="946"/>
      <c r="P87" s="897"/>
      <c r="Q87" s="898"/>
      <c r="S87" s="897"/>
      <c r="T87" s="898"/>
    </row>
    <row r="88" spans="1:21" s="458" customFormat="1" ht="13.15" customHeight="1">
      <c r="B88" s="461" t="s">
        <v>1095</v>
      </c>
      <c r="J88" s="525"/>
      <c r="K88" s="525"/>
      <c r="M88" s="525"/>
      <c r="N88" s="525"/>
      <c r="O88" s="524" t="str">
        <f>B88</f>
        <v>DCA-RELATED COSTS</v>
      </c>
      <c r="P88" s="525"/>
      <c r="Q88" s="525"/>
      <c r="S88" s="525"/>
      <c r="T88" s="525"/>
    </row>
    <row r="89" spans="1:21" s="458" customFormat="1" ht="12.6" customHeight="1">
      <c r="B89" s="458" t="s">
        <v>2289</v>
      </c>
      <c r="G89" s="1392"/>
      <c r="H89" s="1393"/>
      <c r="J89" s="525"/>
      <c r="K89" s="525"/>
      <c r="L89" s="732"/>
      <c r="M89" s="525"/>
      <c r="N89" s="525"/>
      <c r="P89" s="525"/>
      <c r="Q89" s="525"/>
      <c r="S89" s="1392"/>
      <c r="T89" s="1393"/>
    </row>
    <row r="90" spans="1:21" s="458" customFormat="1" ht="12.6" customHeight="1">
      <c r="B90" s="458" t="s">
        <v>1859</v>
      </c>
      <c r="G90" s="1392">
        <v>4000</v>
      </c>
      <c r="H90" s="1393"/>
      <c r="J90" s="525"/>
      <c r="K90" s="525"/>
      <c r="L90" s="540"/>
      <c r="M90" s="525"/>
      <c r="N90" s="525"/>
      <c r="P90" s="525"/>
      <c r="Q90" s="525"/>
      <c r="S90" s="1392">
        <v>4000</v>
      </c>
      <c r="T90" s="1393"/>
    </row>
    <row r="91" spans="1:21" s="458" customFormat="1" ht="12.6" customHeight="1">
      <c r="B91" s="458" t="s">
        <v>2748</v>
      </c>
      <c r="G91" s="1392"/>
      <c r="H91" s="1393"/>
      <c r="J91" s="525"/>
      <c r="K91" s="525"/>
      <c r="L91" s="540"/>
      <c r="M91" s="525"/>
      <c r="N91" s="525"/>
      <c r="O91" s="721"/>
      <c r="P91" s="525"/>
      <c r="Q91" s="525"/>
      <c r="S91" s="1392"/>
      <c r="T91" s="1393"/>
    </row>
    <row r="92" spans="1:21" s="458" customFormat="1" ht="12.6" customHeight="1">
      <c r="B92" s="458" t="s">
        <v>812</v>
      </c>
      <c r="E92" s="953">
        <f>'DCA Underwriting Assumptions'!$Q$41*$J$165</f>
        <v>66499.99930000001</v>
      </c>
      <c r="F92" s="954"/>
      <c r="G92" s="1392">
        <v>66500</v>
      </c>
      <c r="H92" s="1393"/>
      <c r="J92" s="525"/>
      <c r="K92" s="525"/>
      <c r="L92" s="732"/>
      <c r="M92" s="525"/>
      <c r="N92" s="525"/>
      <c r="O92" s="721"/>
      <c r="P92" s="525"/>
      <c r="Q92" s="525"/>
      <c r="S92" s="1392">
        <v>66500</v>
      </c>
      <c r="T92" s="1393"/>
    </row>
    <row r="93" spans="1:21" s="458" customFormat="1" ht="12.6" customHeight="1">
      <c r="B93" s="458" t="s">
        <v>1245</v>
      </c>
      <c r="E93" s="953">
        <f>'Part VI-Revenues &amp; Expenses'!$M$63*'DCA Underwriting Assumptions'!$Q$44</f>
        <v>43400</v>
      </c>
      <c r="F93" s="954"/>
      <c r="G93" s="1392">
        <v>43400</v>
      </c>
      <c r="H93" s="1393"/>
      <c r="J93" s="418"/>
      <c r="K93" s="418"/>
      <c r="L93" s="418"/>
      <c r="M93" s="418"/>
      <c r="N93" s="418"/>
      <c r="O93" s="418"/>
      <c r="P93" s="418"/>
      <c r="Q93" s="418"/>
      <c r="S93" s="1392">
        <v>43400</v>
      </c>
      <c r="T93" s="1393"/>
    </row>
    <row r="94" spans="1:21" s="458" customFormat="1" ht="12.6" customHeight="1">
      <c r="B94" s="458" t="s">
        <v>716</v>
      </c>
      <c r="G94" s="1392"/>
      <c r="H94" s="1393"/>
      <c r="J94" s="418"/>
      <c r="K94" s="418"/>
      <c r="L94" s="418"/>
      <c r="M94" s="418"/>
      <c r="N94" s="418"/>
      <c r="O94" s="418"/>
      <c r="P94" s="418"/>
      <c r="Q94" s="418"/>
      <c r="S94" s="1392"/>
      <c r="T94" s="1393"/>
    </row>
    <row r="95" spans="1:21" s="458" customFormat="1" ht="12.6" customHeight="1">
      <c r="B95" s="458" t="s">
        <v>3553</v>
      </c>
      <c r="G95" s="1392">
        <v>3000</v>
      </c>
      <c r="H95" s="1393"/>
      <c r="J95" s="418"/>
      <c r="K95" s="418"/>
      <c r="L95" s="418"/>
      <c r="M95" s="418"/>
      <c r="N95" s="418"/>
      <c r="O95" s="418"/>
      <c r="P95" s="418"/>
      <c r="Q95" s="418"/>
      <c r="S95" s="1392">
        <v>3000</v>
      </c>
      <c r="T95" s="1393"/>
    </row>
    <row r="96" spans="1:21" s="458" customFormat="1" ht="12.6" customHeight="1">
      <c r="A96" s="562" t="str">
        <f>IF(AND(G96&gt;0,OR(C96="",C96="&lt;Enter detailed description here; use Comments section if needed&gt;")),"X","")</f>
        <v/>
      </c>
      <c r="B96" s="458" t="s">
        <v>1231</v>
      </c>
      <c r="C96" s="1394"/>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1231</v>
      </c>
      <c r="C97" s="1394"/>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SUM(G89:H97)</f>
        <v>116900</v>
      </c>
      <c r="H98" s="900"/>
      <c r="J98" s="525"/>
      <c r="K98" s="525"/>
      <c r="L98" s="732"/>
      <c r="M98" s="525"/>
      <c r="N98" s="525"/>
      <c r="P98" s="525"/>
      <c r="Q98" s="525"/>
      <c r="S98" s="899">
        <f>SUM(S89:T97)</f>
        <v>116900</v>
      </c>
      <c r="T98" s="900"/>
    </row>
    <row r="99" spans="1:21" s="458" customFormat="1" ht="13.15" customHeight="1">
      <c r="B99" s="461" t="s">
        <v>3440</v>
      </c>
      <c r="J99" s="525"/>
      <c r="K99" s="525"/>
      <c r="M99" s="525"/>
      <c r="N99" s="525"/>
      <c r="O99" s="524" t="str">
        <f>B99</f>
        <v>EQUITY COSTS</v>
      </c>
      <c r="P99" s="525"/>
      <c r="Q99" s="525"/>
      <c r="S99" s="525"/>
      <c r="T99" s="525"/>
    </row>
    <row r="100" spans="1:21" s="458" customFormat="1" ht="12.6" customHeight="1">
      <c r="B100" s="458" t="s">
        <v>371</v>
      </c>
      <c r="G100" s="1392">
        <v>25000</v>
      </c>
      <c r="H100" s="1393"/>
      <c r="J100" s="936"/>
      <c r="K100" s="936"/>
      <c r="L100" s="732"/>
      <c r="M100" s="936"/>
      <c r="N100" s="936"/>
      <c r="O100" s="721"/>
      <c r="P100" s="936"/>
      <c r="Q100" s="936"/>
      <c r="S100" s="1392">
        <v>25000</v>
      </c>
      <c r="T100" s="1393"/>
    </row>
    <row r="101" spans="1:21" s="458" customFormat="1" ht="12.6" customHeight="1">
      <c r="B101" s="458" t="s">
        <v>373</v>
      </c>
      <c r="G101" s="1392">
        <f>15000-84</f>
        <v>14916</v>
      </c>
      <c r="H101" s="1393"/>
      <c r="J101" s="936"/>
      <c r="K101" s="936"/>
      <c r="L101" s="732"/>
      <c r="M101" s="936"/>
      <c r="N101" s="936"/>
      <c r="O101" s="721"/>
      <c r="P101" s="936"/>
      <c r="Q101" s="936"/>
      <c r="S101" s="1392">
        <v>14916</v>
      </c>
      <c r="T101" s="1393"/>
    </row>
    <row r="102" spans="1:21" s="458" customFormat="1" ht="12.6" customHeight="1">
      <c r="B102" s="458" t="s">
        <v>3615</v>
      </c>
      <c r="G102" s="1392"/>
      <c r="H102" s="1393"/>
      <c r="J102" s="936"/>
      <c r="K102" s="936"/>
      <c r="L102" s="732"/>
      <c r="M102" s="936"/>
      <c r="N102" s="936"/>
      <c r="O102" s="721"/>
      <c r="P102" s="936"/>
      <c r="Q102" s="936"/>
      <c r="S102" s="1392"/>
      <c r="T102" s="1393"/>
    </row>
    <row r="103" spans="1:21" s="458" customFormat="1" ht="12.6" customHeight="1" thickBot="1">
      <c r="A103" s="562" t="str">
        <f>IF(AND(G103&gt;0,OR(C103="",C103="&lt;Enter detailed description here; use Comments section if needed&gt;")),"X","")</f>
        <v/>
      </c>
      <c r="B103" s="458" t="s">
        <v>1231</v>
      </c>
      <c r="C103" s="1394"/>
      <c r="D103" s="1394"/>
      <c r="E103" s="1394"/>
      <c r="F103" s="1395"/>
      <c r="G103" s="1392"/>
      <c r="H103" s="1393"/>
      <c r="J103" s="936"/>
      <c r="K103" s="936"/>
      <c r="L103" s="732"/>
      <c r="M103" s="936"/>
      <c r="N103" s="936"/>
      <c r="O103" s="721"/>
      <c r="P103" s="936"/>
      <c r="Q103" s="936"/>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39916</v>
      </c>
      <c r="H104" s="900"/>
      <c r="J104" s="936"/>
      <c r="K104" s="936"/>
      <c r="L104" s="732"/>
      <c r="M104" s="936"/>
      <c r="N104" s="936"/>
      <c r="O104" s="721"/>
      <c r="P104" s="936"/>
      <c r="Q104" s="936"/>
      <c r="S104" s="899">
        <f>SUM(S100:T103)</f>
        <v>39916</v>
      </c>
      <c r="T104" s="900"/>
    </row>
    <row r="105" spans="1:21" s="458" customFormat="1" ht="13.15" customHeight="1">
      <c r="B105" s="461" t="s">
        <v>374</v>
      </c>
      <c r="J105" s="525"/>
      <c r="K105" s="522"/>
      <c r="M105" s="525"/>
      <c r="N105" s="522"/>
      <c r="O105" s="524" t="str">
        <f>B105</f>
        <v>DEVELOPER'S FEE</v>
      </c>
      <c r="P105" s="525"/>
      <c r="Q105" s="522"/>
      <c r="S105" s="525"/>
      <c r="T105" s="522"/>
    </row>
    <row r="106" spans="1:21" s="458" customFormat="1" ht="12.6" customHeight="1">
      <c r="B106" s="458" t="s">
        <v>2915</v>
      </c>
      <c r="F106" s="647">
        <f>G106/$G$109</f>
        <v>0.20833333333333334</v>
      </c>
      <c r="G106" s="1392">
        <v>300000</v>
      </c>
      <c r="H106" s="1393"/>
      <c r="J106" s="1392">
        <v>300000</v>
      </c>
      <c r="K106" s="1393"/>
      <c r="L106" s="524"/>
      <c r="M106" s="1392"/>
      <c r="N106" s="1393"/>
      <c r="P106" s="1392"/>
      <c r="Q106" s="1393"/>
      <c r="S106" s="1392"/>
      <c r="T106" s="1393"/>
    </row>
    <row r="107" spans="1:21" s="458" customFormat="1" ht="12.6" customHeight="1">
      <c r="B107" s="458" t="s">
        <v>2916</v>
      </c>
      <c r="F107" s="647">
        <f>G107/$G$109</f>
        <v>2.7777777777777776E-2</v>
      </c>
      <c r="G107" s="1392">
        <v>40000</v>
      </c>
      <c r="H107" s="1393"/>
      <c r="J107" s="1392">
        <v>40000</v>
      </c>
      <c r="K107" s="1393"/>
      <c r="L107" s="732"/>
      <c r="M107" s="1392"/>
      <c r="N107" s="1393"/>
      <c r="P107" s="1392"/>
      <c r="Q107" s="1393"/>
      <c r="S107" s="1392"/>
      <c r="T107" s="1393"/>
    </row>
    <row r="108" spans="1:21" s="458" customFormat="1" ht="12.6" customHeight="1" thickBot="1">
      <c r="B108" s="458" t="s">
        <v>2908</v>
      </c>
      <c r="F108" s="647">
        <f>G108/$G$109</f>
        <v>0.76388888888888884</v>
      </c>
      <c r="G108" s="1392">
        <v>1100000</v>
      </c>
      <c r="H108" s="1393"/>
      <c r="J108" s="1392">
        <v>1100000</v>
      </c>
      <c r="K108" s="1393"/>
      <c r="L108" s="732"/>
      <c r="M108" s="1392"/>
      <c r="N108" s="1393"/>
      <c r="P108" s="1392"/>
      <c r="Q108" s="1393"/>
      <c r="S108" s="1392"/>
      <c r="T108" s="1393"/>
    </row>
    <row r="109" spans="1:21" s="458" customFormat="1" ht="12.6" customHeight="1" thickTop="1">
      <c r="C109" s="561" t="str">
        <f>IF(G109&lt;='DCA Underwriting Assumptions'!$Q$46,"","Developer Fee exceeds DCA Program Maximum !!!")</f>
        <v/>
      </c>
      <c r="F109" s="523" t="s">
        <v>249</v>
      </c>
      <c r="G109" s="899">
        <f>SUM(G106:H108)</f>
        <v>1440000</v>
      </c>
      <c r="H109" s="900"/>
      <c r="J109" s="899">
        <f>SUM(J106:K108)</f>
        <v>1440000</v>
      </c>
      <c r="K109" s="900"/>
      <c r="L109" s="732"/>
      <c r="M109" s="899">
        <f>SUM(M106:N108)</f>
        <v>0</v>
      </c>
      <c r="N109" s="900"/>
      <c r="P109" s="899">
        <f>SUM(P106:Q108)</f>
        <v>0</v>
      </c>
      <c r="Q109" s="900"/>
      <c r="S109" s="899">
        <f>SUM(S106:T108)</f>
        <v>0</v>
      </c>
      <c r="T109" s="900"/>
    </row>
    <row r="110" spans="1:21" s="458" customFormat="1" ht="13.15" customHeight="1">
      <c r="B110" s="461" t="s">
        <v>2011</v>
      </c>
      <c r="J110" s="522"/>
      <c r="K110" s="522"/>
      <c r="M110" s="522"/>
      <c r="N110" s="522"/>
      <c r="O110" s="524" t="str">
        <f>B110</f>
        <v>START-UP AND RESERVES</v>
      </c>
      <c r="P110" s="522"/>
      <c r="Q110" s="522"/>
      <c r="S110" s="522"/>
      <c r="T110" s="522"/>
    </row>
    <row r="111" spans="1:21" s="458" customFormat="1" ht="12.6" customHeight="1">
      <c r="B111" s="458" t="s">
        <v>324</v>
      </c>
      <c r="G111" s="1392">
        <v>30000</v>
      </c>
      <c r="H111" s="1393"/>
      <c r="J111" s="541"/>
      <c r="K111" s="541"/>
      <c r="L111" s="541"/>
      <c r="M111" s="541"/>
      <c r="N111" s="541"/>
      <c r="P111" s="541"/>
      <c r="Q111" s="541"/>
      <c r="S111" s="1392">
        <v>30000</v>
      </c>
      <c r="T111" s="1393"/>
    </row>
    <row r="112" spans="1:21" s="458" customFormat="1" ht="12.6" customHeight="1">
      <c r="B112" s="458" t="s">
        <v>2288</v>
      </c>
      <c r="G112" s="1392">
        <v>72622</v>
      </c>
      <c r="H112" s="1393"/>
      <c r="J112" s="936"/>
      <c r="K112" s="936"/>
      <c r="L112" s="732"/>
      <c r="M112" s="936"/>
      <c r="N112" s="936"/>
      <c r="O112" s="721"/>
      <c r="P112" s="936"/>
      <c r="Q112" s="936"/>
      <c r="R112" s="721"/>
      <c r="S112" s="1392">
        <v>72622</v>
      </c>
      <c r="T112" s="1393"/>
    </row>
    <row r="113" spans="1:21" s="458" customFormat="1" ht="12.6" customHeight="1">
      <c r="B113" s="458" t="s">
        <v>1029</v>
      </c>
      <c r="F113" s="482"/>
      <c r="G113" s="1392">
        <v>232835</v>
      </c>
      <c r="H113" s="1393"/>
      <c r="J113" s="540"/>
      <c r="K113" s="540"/>
      <c r="L113" s="540"/>
      <c r="M113" s="540"/>
      <c r="N113" s="540"/>
      <c r="O113" s="721"/>
      <c r="P113" s="540"/>
      <c r="Q113" s="540"/>
      <c r="R113" s="721"/>
      <c r="S113" s="1392">
        <v>232835</v>
      </c>
      <c r="T113" s="1393"/>
    </row>
    <row r="114" spans="1:21" s="458" customFormat="1" ht="12.6" customHeight="1">
      <c r="B114" s="458" t="s">
        <v>1923</v>
      </c>
      <c r="G114" s="1392"/>
      <c r="H114" s="1393"/>
      <c r="J114" s="541"/>
      <c r="K114" s="541"/>
      <c r="L114" s="541"/>
      <c r="M114" s="541"/>
      <c r="N114" s="541"/>
      <c r="P114" s="541"/>
      <c r="Q114" s="541"/>
      <c r="S114" s="1392"/>
      <c r="T114" s="1393"/>
    </row>
    <row r="115" spans="1:21" s="458" customFormat="1" ht="12.6" customHeight="1">
      <c r="B115" s="458" t="s">
        <v>1924</v>
      </c>
      <c r="E115" s="458" t="s">
        <v>1472</v>
      </c>
      <c r="F115" s="647">
        <f>G115/'Part VI-Revenues &amp; Expenses'!$M$63</f>
        <v>511.58064516129031</v>
      </c>
      <c r="G115" s="1392">
        <f>31000+718</f>
        <v>31718</v>
      </c>
      <c r="H115" s="1393"/>
      <c r="J115" s="1392">
        <v>31718</v>
      </c>
      <c r="K115" s="1393"/>
      <c r="L115" s="732"/>
      <c r="M115" s="1392"/>
      <c r="N115" s="1393"/>
      <c r="P115" s="1392"/>
      <c r="Q115" s="1393"/>
      <c r="S115" s="1392"/>
      <c r="T115" s="1393"/>
    </row>
    <row r="116" spans="1:21" s="458" customFormat="1" ht="12.6" customHeight="1" thickBot="1">
      <c r="A116" s="562" t="str">
        <f>IF(AND(G116&gt;0,OR(C116="",C116="&lt;Enter detailed description here; use Comments section if needed&gt;")),"X","")</f>
        <v/>
      </c>
      <c r="B116" s="458" t="s">
        <v>1231</v>
      </c>
      <c r="C116" s="1394"/>
      <c r="D116" s="1394"/>
      <c r="E116" s="1394"/>
      <c r="F116" s="1395"/>
      <c r="G116" s="1392"/>
      <c r="H116" s="1393"/>
      <c r="J116" s="1392"/>
      <c r="K116" s="1393"/>
      <c r="L116" s="732"/>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367175</v>
      </c>
      <c r="H117" s="900"/>
      <c r="J117" s="899">
        <f>SUM(J115:K116)</f>
        <v>31718</v>
      </c>
      <c r="K117" s="900"/>
      <c r="L117" s="732"/>
      <c r="M117" s="899">
        <f>SUM(M115:N116)</f>
        <v>0</v>
      </c>
      <c r="N117" s="900"/>
      <c r="P117" s="899">
        <f>SUM(P115:Q116)</f>
        <v>0</v>
      </c>
      <c r="Q117" s="900"/>
      <c r="S117" s="899">
        <f>SUM(S111:T116)</f>
        <v>335457</v>
      </c>
      <c r="T117" s="900"/>
    </row>
    <row r="118" spans="1:21" s="458" customFormat="1" ht="13.15" customHeight="1">
      <c r="B118" s="461" t="s">
        <v>944</v>
      </c>
      <c r="C118" s="713"/>
      <c r="H118" s="538"/>
      <c r="I118" s="538"/>
      <c r="J118" s="522"/>
      <c r="K118" s="522"/>
      <c r="M118" s="522"/>
      <c r="N118" s="522"/>
      <c r="O118" s="524" t="str">
        <f>B118</f>
        <v>OTHER COSTS</v>
      </c>
      <c r="P118" s="522"/>
      <c r="Q118" s="522"/>
      <c r="S118" s="522"/>
      <c r="T118" s="522"/>
    </row>
    <row r="119" spans="1:21" s="458" customFormat="1" ht="12.6" customHeight="1">
      <c r="B119" s="458" t="s">
        <v>945</v>
      </c>
      <c r="C119" s="713"/>
      <c r="G119" s="1392"/>
      <c r="H119" s="1393"/>
      <c r="J119" s="1392"/>
      <c r="K119" s="1393"/>
      <c r="L119" s="524"/>
      <c r="M119" s="1392"/>
      <c r="N119" s="1393"/>
      <c r="P119" s="1392"/>
      <c r="Q119" s="1393"/>
      <c r="S119" s="1392"/>
      <c r="T119" s="1393"/>
    </row>
    <row r="120" spans="1:21" s="458" customFormat="1" ht="12.6" customHeight="1" thickBot="1">
      <c r="A120" s="562" t="str">
        <f>IF(AND(G120&gt;0,OR(C120="",C120="&lt;Enter detailed description here; use Comments section if needed&gt;")),"X","")</f>
        <v/>
      </c>
      <c r="B120" s="458" t="s">
        <v>1231</v>
      </c>
      <c r="C120" s="1394"/>
      <c r="D120" s="1394"/>
      <c r="E120" s="1394"/>
      <c r="F120" s="1395"/>
      <c r="G120" s="1392"/>
      <c r="H120" s="1393"/>
      <c r="J120" s="1392"/>
      <c r="K120" s="1393"/>
      <c r="L120" s="732"/>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249</v>
      </c>
      <c r="G121" s="899">
        <f>SUM(G119:H120)</f>
        <v>0</v>
      </c>
      <c r="H121" s="900"/>
      <c r="J121" s="899">
        <f>SUM(J119:K120)</f>
        <v>0</v>
      </c>
      <c r="K121" s="900"/>
      <c r="L121" s="732"/>
      <c r="M121" s="899">
        <f>SUM(M119:N120)</f>
        <v>0</v>
      </c>
      <c r="N121" s="900"/>
      <c r="P121" s="899">
        <f>SUM(P119:Q120)</f>
        <v>0</v>
      </c>
      <c r="Q121" s="900"/>
      <c r="S121" s="899">
        <f>SUM(S119:T120)</f>
        <v>0</v>
      </c>
      <c r="T121" s="900"/>
    </row>
    <row r="122" spans="1:21" s="458" customFormat="1" ht="3" customHeight="1" thickBot="1">
      <c r="C122" s="713"/>
      <c r="H122" s="538"/>
      <c r="I122" s="538"/>
      <c r="L122" s="721"/>
    </row>
    <row r="123" spans="1:21" s="458" customFormat="1" ht="13.9" customHeight="1" thickBot="1">
      <c r="B123" s="465" t="s">
        <v>375</v>
      </c>
      <c r="G123" s="930">
        <f>G17+G23+G27+G32+G36+G42+G56+G68+G74+G83+G98+G104+G109+G117+G121</f>
        <v>12028527</v>
      </c>
      <c r="H123" s="931"/>
      <c r="J123" s="930">
        <f>J17+J23+J27+J32+J36+J42+J56+J68+J74+J83+J98+J104+J109+J117+J121</f>
        <v>10680769</v>
      </c>
      <c r="K123" s="931"/>
      <c r="M123" s="930">
        <f>M17+M23+M27+M32+M36+M42+M56+M68+M74+M83+M98+M104+M109+M117+M121</f>
        <v>0</v>
      </c>
      <c r="N123" s="931"/>
      <c r="P123" s="930">
        <f>P17+P23+P27+P32+P36+P42+P56+P68+P74+P83+P98+P104+P109+P117+P121</f>
        <v>0</v>
      </c>
      <c r="Q123" s="931"/>
      <c r="S123" s="930">
        <f>S17+S23+S27+S32+S36+S42+S56+S68+S74+S83+S98+S104+S109+S117+S121</f>
        <v>1291273</v>
      </c>
      <c r="T123" s="931"/>
    </row>
    <row r="124" spans="1:21" s="458" customFormat="1" ht="3" customHeight="1" thickBot="1">
      <c r="C124" s="713"/>
      <c r="H124" s="538"/>
      <c r="I124" s="538"/>
      <c r="L124" s="721"/>
    </row>
    <row r="125" spans="1:21" s="458" customFormat="1" ht="13.9" customHeight="1" thickBot="1">
      <c r="B125" s="465" t="s">
        <v>3896</v>
      </c>
      <c r="D125" s="902">
        <f>IF(AND($T$155 = "Yes", 'Part IX A-Scoring Criteria'!$O$176 &gt; 0),'DCA Underwriting Assumptions'!$R$13, IF(AND('Part IV-Uses of Funds'!$T$156="Yes", 'Part IX A-Scoring Criteria'!$O$74&gt;0),'DCA Underwriting Assumptions'!$R$12, 'DCA Underwriting Assumptions'!$R$11))</f>
        <v>12663622</v>
      </c>
      <c r="E125" s="903"/>
      <c r="F125" s="461" t="s">
        <v>1039</v>
      </c>
      <c r="G125" s="932">
        <f>G123/'Part VI-Revenues &amp; Expenses'!$M$63</f>
        <v>194008.5</v>
      </c>
      <c r="H125" s="933"/>
      <c r="I125" s="543"/>
      <c r="J125" s="465" t="s">
        <v>1040</v>
      </c>
      <c r="M125" s="932">
        <f>G123/'Part VI-Revenues &amp; Expenses'!$M$98</f>
        <v>145.90644104803494</v>
      </c>
      <c r="N125" s="933"/>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 customHeight="1">
      <c r="A128" s="406" t="s">
        <v>1230</v>
      </c>
      <c r="B128" s="408" t="s">
        <v>2146</v>
      </c>
      <c r="C128" s="459"/>
      <c r="D128" s="732"/>
      <c r="E128" s="732"/>
      <c r="G128" s="721"/>
      <c r="H128" s="721"/>
      <c r="I128" s="545"/>
      <c r="J128" s="895" t="s">
        <v>359</v>
      </c>
      <c r="K128" s="896"/>
      <c r="M128" s="895" t="s">
        <v>114</v>
      </c>
      <c r="N128" s="896"/>
      <c r="P128" s="895" t="s">
        <v>360</v>
      </c>
      <c r="Q128" s="896"/>
    </row>
    <row r="129" spans="2:17" s="458" customFormat="1" ht="15" customHeight="1" thickBot="1">
      <c r="B129" s="465" t="s">
        <v>3136</v>
      </c>
      <c r="D129" s="732"/>
      <c r="E129" s="732"/>
      <c r="I129" s="545"/>
      <c r="J129" s="897"/>
      <c r="K129" s="898"/>
      <c r="L129" s="459"/>
      <c r="M129" s="897"/>
      <c r="N129" s="898"/>
      <c r="P129" s="897"/>
      <c r="Q129" s="898"/>
    </row>
    <row r="130" spans="2:17" s="458" customFormat="1" ht="6" customHeight="1">
      <c r="D130" s="713"/>
      <c r="E130" s="713"/>
      <c r="I130" s="538"/>
      <c r="J130" s="538"/>
      <c r="K130" s="544"/>
      <c r="L130" s="464"/>
      <c r="P130" s="721"/>
    </row>
    <row r="131" spans="2:17" s="458" customFormat="1" ht="13.9" customHeight="1">
      <c r="B131" s="713" t="s">
        <v>185</v>
      </c>
      <c r="D131" s="721"/>
      <c r="E131" s="721"/>
      <c r="F131" s="721"/>
      <c r="G131" s="721"/>
      <c r="H131" s="721"/>
      <c r="I131" s="545"/>
      <c r="J131" s="1401"/>
      <c r="K131" s="1402"/>
      <c r="P131" s="1401"/>
      <c r="Q131" s="1402"/>
    </row>
    <row r="132" spans="2:17" s="458" customFormat="1" ht="13.9" customHeight="1">
      <c r="B132" s="721" t="s">
        <v>3256</v>
      </c>
      <c r="D132" s="721"/>
      <c r="E132" s="721"/>
      <c r="F132" s="721"/>
      <c r="G132" s="721"/>
      <c r="H132" s="721"/>
      <c r="I132" s="545"/>
      <c r="J132" s="1401"/>
      <c r="K132" s="1402"/>
      <c r="P132" s="1401"/>
      <c r="Q132" s="1402"/>
    </row>
    <row r="133" spans="2:17" s="458" customFormat="1" ht="13.9" customHeight="1">
      <c r="B133" s="721" t="s">
        <v>2918</v>
      </c>
      <c r="D133" s="721"/>
      <c r="E133" s="721"/>
      <c r="I133" s="545"/>
      <c r="J133" s="1401"/>
      <c r="K133" s="1402"/>
      <c r="P133" s="1401"/>
      <c r="Q133" s="1402"/>
    </row>
    <row r="134" spans="2:17" s="458" customFormat="1" ht="13.9" customHeight="1">
      <c r="B134" s="721" t="s">
        <v>2919</v>
      </c>
      <c r="D134" s="721"/>
      <c r="E134" s="721"/>
      <c r="I134" s="545"/>
      <c r="J134" s="1401"/>
      <c r="K134" s="1402"/>
      <c r="P134" s="1401"/>
      <c r="Q134" s="1402"/>
    </row>
    <row r="135" spans="2:17" s="458" customFormat="1" ht="13.9" customHeight="1">
      <c r="B135" s="721" t="s">
        <v>329</v>
      </c>
      <c r="D135" s="721"/>
      <c r="E135" s="721"/>
      <c r="I135" s="545"/>
      <c r="J135" s="1401"/>
      <c r="K135" s="1402"/>
      <c r="P135" s="1401"/>
      <c r="Q135" s="1402"/>
    </row>
    <row r="136" spans="2:17" s="458" customFormat="1" ht="13.9" customHeight="1" thickBot="1">
      <c r="B136" s="721" t="s">
        <v>2364</v>
      </c>
      <c r="C136" s="1394" t="s">
        <v>3660</v>
      </c>
      <c r="D136" s="1394"/>
      <c r="E136" s="1394"/>
      <c r="F136" s="1394"/>
      <c r="G136" s="1394"/>
      <c r="H136" s="1394"/>
      <c r="I136" s="1395"/>
      <c r="J136" s="1401"/>
      <c r="K136" s="1402"/>
      <c r="P136" s="1401"/>
      <c r="Q136" s="1402"/>
    </row>
    <row r="137" spans="2:17" s="458" customFormat="1" ht="13.9" customHeight="1" thickBot="1">
      <c r="B137" s="470" t="s">
        <v>2920</v>
      </c>
      <c r="C137" s="473"/>
      <c r="J137" s="860">
        <f>SUM(J131:K136)</f>
        <v>0</v>
      </c>
      <c r="K137" s="861"/>
      <c r="P137" s="860">
        <f>SUM(P131:Q136)</f>
        <v>0</v>
      </c>
      <c r="Q137" s="861"/>
    </row>
    <row r="138" spans="2:17" s="458" customFormat="1" ht="3" customHeight="1"/>
    <row r="139" spans="2:17" s="458" customFormat="1" ht="15" customHeight="1" thickBot="1">
      <c r="B139" s="461" t="s">
        <v>3488</v>
      </c>
    </row>
    <row r="140" spans="2:17" s="458" customFormat="1" ht="13.9" customHeight="1">
      <c r="B140" s="458" t="s">
        <v>2822</v>
      </c>
      <c r="J140" s="934">
        <f>J123</f>
        <v>10680769</v>
      </c>
      <c r="K140" s="935"/>
      <c r="M140" s="938">
        <f>M123</f>
        <v>0</v>
      </c>
      <c r="N140" s="939"/>
      <c r="P140" s="934">
        <f>P123</f>
        <v>0</v>
      </c>
      <c r="Q140" s="935"/>
    </row>
    <row r="141" spans="2:17" s="458" customFormat="1" ht="13.9" customHeight="1">
      <c r="B141" s="458" t="s">
        <v>3344</v>
      </c>
      <c r="J141" s="910">
        <f>J137</f>
        <v>0</v>
      </c>
      <c r="K141" s="927"/>
      <c r="M141" s="911"/>
      <c r="N141" s="911"/>
      <c r="P141" s="910">
        <f>P137</f>
        <v>0</v>
      </c>
      <c r="Q141" s="927"/>
    </row>
    <row r="142" spans="2:17" s="458" customFormat="1" ht="13.9" customHeight="1">
      <c r="B142" s="458" t="s">
        <v>3345</v>
      </c>
      <c r="J142" s="910">
        <f>J140-J141</f>
        <v>10680769</v>
      </c>
      <c r="K142" s="927"/>
      <c r="M142" s="910">
        <f>M140</f>
        <v>0</v>
      </c>
      <c r="N142" s="927"/>
      <c r="P142" s="910">
        <f>P140-P141</f>
        <v>0</v>
      </c>
      <c r="Q142" s="927"/>
    </row>
    <row r="143" spans="2:17" s="458" customFormat="1" ht="13.9" customHeight="1">
      <c r="B143" s="458" t="s">
        <v>2229</v>
      </c>
      <c r="G143" s="717" t="s">
        <v>2735</v>
      </c>
      <c r="H143" s="1403" t="s">
        <v>2801</v>
      </c>
      <c r="I143" s="1404"/>
      <c r="J143" s="1405">
        <v>1</v>
      </c>
      <c r="K143" s="1406"/>
      <c r="M143" s="937"/>
      <c r="N143" s="937"/>
      <c r="P143" s="1405"/>
      <c r="Q143" s="1406"/>
    </row>
    <row r="144" spans="2:17" s="458" customFormat="1" ht="13.9" customHeight="1">
      <c r="B144" s="458" t="s">
        <v>3150</v>
      </c>
      <c r="J144" s="910">
        <f>J142*J143</f>
        <v>10680769</v>
      </c>
      <c r="K144" s="927"/>
      <c r="M144" s="910">
        <f>+M142</f>
        <v>0</v>
      </c>
      <c r="N144" s="927"/>
      <c r="P144" s="910">
        <f>P142*P143</f>
        <v>0</v>
      </c>
      <c r="Q144" s="927"/>
    </row>
    <row r="145" spans="1:20" s="458" customFormat="1" ht="13.9" customHeight="1">
      <c r="B145" s="458" t="s">
        <v>3840</v>
      </c>
      <c r="J145" s="940">
        <f>MIN('Part VI-Revenues &amp; Expenses'!$M$59/'Part VI-Revenues &amp; Expenses'!$M$61,'Part VI-Revenues &amp; Expenses'!$M$94/'Part VI-Revenues &amp; Expenses'!$M$96)</f>
        <v>1</v>
      </c>
      <c r="K145" s="941"/>
      <c r="M145" s="940">
        <f>MIN('Part VI-Revenues &amp; Expenses'!$M$59/'Part VI-Revenues &amp; Expenses'!$M$61,'Part VI-Revenues &amp; Expenses'!$M$94/'Part VI-Revenues &amp; Expenses'!$M$96)</f>
        <v>1</v>
      </c>
      <c r="N145" s="941"/>
      <c r="P145" s="940">
        <f>MIN('Part VI-Revenues &amp; Expenses'!$M$59/'Part VI-Revenues &amp; Expenses'!$M$61,'Part VI-Revenues &amp; Expenses'!$M$94/'Part VI-Revenues &amp; Expenses'!$M$96)</f>
        <v>1</v>
      </c>
      <c r="Q145" s="941"/>
    </row>
    <row r="146" spans="1:20" s="458" customFormat="1" ht="13.9" customHeight="1">
      <c r="B146" s="458" t="s">
        <v>3137</v>
      </c>
      <c r="J146" s="910">
        <f>J144*J145</f>
        <v>10680769</v>
      </c>
      <c r="K146" s="927"/>
      <c r="M146" s="910">
        <f>M144*M145</f>
        <v>0</v>
      </c>
      <c r="N146" s="927"/>
      <c r="P146" s="910">
        <f>P144*P145</f>
        <v>0</v>
      </c>
      <c r="Q146" s="927"/>
    </row>
    <row r="147" spans="1:20" s="458" customFormat="1" ht="13.9" customHeight="1">
      <c r="B147" s="458" t="s">
        <v>3138</v>
      </c>
      <c r="J147" s="1405">
        <v>0.09</v>
      </c>
      <c r="K147" s="1406"/>
      <c r="M147" s="1405"/>
      <c r="N147" s="1406"/>
      <c r="P147" s="1405"/>
      <c r="Q147" s="1406"/>
    </row>
    <row r="148" spans="1:20" s="458" customFormat="1" ht="13.9" customHeight="1" thickBot="1">
      <c r="B148" s="458" t="s">
        <v>3841</v>
      </c>
      <c r="J148" s="912">
        <f>J146*J147</f>
        <v>961269.21</v>
      </c>
      <c r="K148" s="913"/>
      <c r="M148" s="912">
        <f>M146*M147</f>
        <v>0</v>
      </c>
      <c r="N148" s="913"/>
      <c r="P148" s="912">
        <f>P146*P147</f>
        <v>0</v>
      </c>
      <c r="Q148" s="913"/>
    </row>
    <row r="149" spans="1:20" s="458" customFormat="1" ht="13.9" customHeight="1" thickBot="1">
      <c r="B149" s="458" t="s">
        <v>2144</v>
      </c>
      <c r="J149" s="860">
        <f>J148+M148+P148</f>
        <v>961269.21</v>
      </c>
      <c r="K149" s="928"/>
      <c r="L149" s="928"/>
      <c r="M149" s="928"/>
      <c r="N149" s="928"/>
      <c r="O149" s="928"/>
      <c r="P149" s="928"/>
      <c r="Q149" s="861"/>
    </row>
    <row r="150" spans="1:20" s="458" customFormat="1" ht="6" customHeight="1" thickBot="1">
      <c r="B150" s="546"/>
      <c r="L150" s="547"/>
      <c r="M150" s="547"/>
      <c r="N150" s="547"/>
      <c r="O150" s="547"/>
    </row>
    <row r="151" spans="1:20" s="458" customFormat="1" ht="15" customHeight="1">
      <c r="A151" s="461" t="s">
        <v>1232</v>
      </c>
      <c r="B151" s="461" t="s">
        <v>2147</v>
      </c>
      <c r="I151" s="721"/>
      <c r="J151" s="925" t="s">
        <v>345</v>
      </c>
      <c r="K151" s="925"/>
      <c r="L151" s="925"/>
      <c r="M151" s="904" t="str">
        <f>IF(J153&gt;D125,"TDC exceeds PUCL!","")</f>
        <v/>
      </c>
      <c r="N151" s="905"/>
      <c r="O151" s="905"/>
      <c r="P151" s="905"/>
      <c r="Q151" s="905"/>
      <c r="R151" s="906"/>
      <c r="S151" s="917" t="s">
        <v>2651</v>
      </c>
      <c r="T151" s="918"/>
    </row>
    <row r="152" spans="1:20" s="458" customFormat="1" ht="15" customHeight="1">
      <c r="B152" s="461" t="s">
        <v>231</v>
      </c>
      <c r="I152" s="721"/>
      <c r="J152" s="942">
        <f>MIN(G123,D125)</f>
        <v>12028527</v>
      </c>
      <c r="K152" s="942"/>
      <c r="L152" s="942"/>
      <c r="M152" s="907" t="s">
        <v>3645</v>
      </c>
      <c r="N152" s="908"/>
      <c r="O152" s="908"/>
      <c r="P152" s="908"/>
      <c r="Q152" s="908"/>
      <c r="R152" s="909"/>
      <c r="S152" s="919"/>
      <c r="T152" s="920"/>
    </row>
    <row r="153" spans="1:20" s="458" customFormat="1" ht="13.9" customHeight="1">
      <c r="B153" s="458" t="s">
        <v>2650</v>
      </c>
      <c r="J153" s="1407">
        <v>12028527</v>
      </c>
      <c r="K153" s="1408"/>
      <c r="L153" s="1408"/>
      <c r="M153" s="907"/>
      <c r="N153" s="908"/>
      <c r="O153" s="908"/>
      <c r="P153" s="908"/>
      <c r="Q153" s="908"/>
      <c r="R153" s="909"/>
      <c r="S153" s="919"/>
      <c r="T153" s="920"/>
    </row>
    <row r="154" spans="1:20" s="458" customFormat="1" ht="13.9" customHeight="1">
      <c r="B154" s="458" t="s">
        <v>341</v>
      </c>
      <c r="J154" s="910">
        <f>'Part III A-Sources of Funds'!$H$49-'Part III A-Sources of Funds'!$H$37-'Part III A-Sources of Funds'!$H$40-'Part III A-Sources of Funds'!$H$41</f>
        <v>2148527</v>
      </c>
      <c r="K154" s="911"/>
      <c r="L154" s="911"/>
      <c r="M154" s="907"/>
      <c r="N154" s="908"/>
      <c r="O154" s="908"/>
      <c r="P154" s="908"/>
      <c r="Q154" s="908"/>
      <c r="R154" s="909"/>
      <c r="S154" s="685"/>
      <c r="T154" s="688" t="s">
        <v>344</v>
      </c>
    </row>
    <row r="155" spans="1:20" s="458" customFormat="1" ht="13.9" customHeight="1">
      <c r="B155" s="458" t="s">
        <v>3357</v>
      </c>
      <c r="J155" s="910">
        <f>+J153-J154</f>
        <v>9880000</v>
      </c>
      <c r="K155" s="911"/>
      <c r="L155" s="911"/>
      <c r="M155" s="924" t="s">
        <v>342</v>
      </c>
      <c r="N155" s="925"/>
      <c r="O155" s="925" t="s">
        <v>2653</v>
      </c>
      <c r="P155" s="925"/>
      <c r="Q155" s="925"/>
      <c r="R155" s="926"/>
      <c r="S155" s="686" t="s">
        <v>2652</v>
      </c>
      <c r="T155" s="1409"/>
    </row>
    <row r="156" spans="1:20" s="458" customFormat="1" ht="13.9" customHeight="1" thickBot="1">
      <c r="B156" s="458" t="s">
        <v>1987</v>
      </c>
      <c r="J156" s="929" t="str">
        <f>"/ 10"</f>
        <v>/ 10</v>
      </c>
      <c r="K156" s="929"/>
      <c r="L156" s="929"/>
      <c r="M156" s="1410"/>
      <c r="N156" s="1411"/>
      <c r="O156" s="1412"/>
      <c r="P156" s="1412"/>
      <c r="Q156" s="1412"/>
      <c r="R156" s="1413"/>
      <c r="S156" s="687" t="s">
        <v>343</v>
      </c>
      <c r="T156" s="1414"/>
    </row>
    <row r="157" spans="1:20" s="458" customFormat="1" ht="13.9" customHeight="1">
      <c r="B157" s="458" t="s">
        <v>1988</v>
      </c>
      <c r="J157" s="910">
        <f>J155/10</f>
        <v>988000</v>
      </c>
      <c r="K157" s="911"/>
      <c r="L157" s="927"/>
      <c r="M157" s="482"/>
      <c r="N157" s="797" t="s">
        <v>1989</v>
      </c>
      <c r="O157" s="797"/>
      <c r="Q157" s="797" t="s">
        <v>2831</v>
      </c>
      <c r="R157" s="797"/>
    </row>
    <row r="158" spans="1:20" s="458" customFormat="1" ht="13.9" customHeight="1" thickBot="1">
      <c r="B158" s="458" t="s">
        <v>2228</v>
      </c>
      <c r="J158" s="921">
        <f>N158+Q158</f>
        <v>1.04</v>
      </c>
      <c r="K158" s="922"/>
      <c r="L158" s="923"/>
      <c r="M158" s="717" t="s">
        <v>1990</v>
      </c>
      <c r="N158" s="1415">
        <v>0.77</v>
      </c>
      <c r="O158" s="1416"/>
      <c r="P158" s="717" t="s">
        <v>946</v>
      </c>
      <c r="Q158" s="1415">
        <v>0.27</v>
      </c>
      <c r="R158" s="1416"/>
    </row>
    <row r="159" spans="1:20" s="458" customFormat="1" ht="13.9" customHeight="1" thickBot="1">
      <c r="B159" s="458" t="s">
        <v>2145</v>
      </c>
      <c r="J159" s="860">
        <f>IF(J158=0,"",J157/J158)</f>
        <v>950000</v>
      </c>
      <c r="K159" s="928"/>
      <c r="L159" s="861"/>
      <c r="M159" s="482"/>
      <c r="N159" s="721"/>
      <c r="O159" s="721"/>
    </row>
    <row r="160" spans="1:20" s="458" customFormat="1" ht="9" customHeight="1">
      <c r="J160" s="548"/>
      <c r="K160" s="548"/>
      <c r="L160" s="548"/>
      <c r="M160" s="482"/>
      <c r="N160" s="723"/>
      <c r="O160" s="723"/>
    </row>
    <row r="161" spans="1:20" s="458" customFormat="1" ht="16.149999999999999" customHeight="1">
      <c r="B161" s="461" t="s">
        <v>448</v>
      </c>
      <c r="J161" s="914">
        <f>+MIN(J149,J159,'DCA Underwriting Assumptions'!$R$6)</f>
        <v>950000</v>
      </c>
      <c r="K161" s="915"/>
      <c r="L161" s="916"/>
      <c r="M161" s="482"/>
      <c r="N161" s="723"/>
      <c r="O161" s="723"/>
    </row>
    <row r="162" spans="1:20" s="458" customFormat="1" ht="9.6" customHeight="1">
      <c r="J162" s="548"/>
      <c r="K162" s="548"/>
      <c r="L162" s="548"/>
      <c r="M162" s="482"/>
      <c r="N162" s="723"/>
      <c r="O162" s="723"/>
    </row>
    <row r="163" spans="1:20" s="458" customFormat="1" ht="16.149999999999999" customHeight="1">
      <c r="B163" s="461" t="s">
        <v>449</v>
      </c>
      <c r="J163" s="1417">
        <v>949999.99</v>
      </c>
      <c r="K163" s="1418"/>
      <c r="L163" s="1419"/>
      <c r="M163" s="549" t="str">
        <f>IF(J163&gt;J161,"ALLOCATION CANNOT EXCEED MAXIMUM - REVISE ALLOCATION!","")</f>
        <v/>
      </c>
      <c r="N163" s="723"/>
      <c r="O163" s="723"/>
    </row>
    <row r="164" spans="1:20" s="458" customFormat="1" ht="9.6" customHeight="1">
      <c r="J164" s="548"/>
      <c r="K164" s="548"/>
      <c r="L164" s="548"/>
      <c r="M164" s="482"/>
      <c r="N164" s="723"/>
      <c r="O164" s="723"/>
    </row>
    <row r="165" spans="1:20" s="458" customFormat="1" ht="16.149999999999999" customHeight="1">
      <c r="A165" s="461" t="s">
        <v>2824</v>
      </c>
      <c r="B165" s="461" t="s">
        <v>450</v>
      </c>
      <c r="D165" s="482"/>
      <c r="E165" s="482"/>
      <c r="F165" s="464"/>
      <c r="J165" s="914">
        <f>+MIN(J161,J163)</f>
        <v>949999.99</v>
      </c>
      <c r="K165" s="915"/>
      <c r="L165" s="916"/>
      <c r="N165" s="1420"/>
      <c r="O165" s="1420"/>
      <c r="P165" s="1420"/>
      <c r="Q165" s="1420"/>
      <c r="R165" s="1420"/>
      <c r="S165" s="1420"/>
      <c r="T165" s="1420"/>
    </row>
    <row r="166" spans="1:20" ht="3" customHeight="1"/>
    <row r="167" spans="1:20" ht="6" customHeight="1"/>
    <row r="168" spans="1:20" ht="12" customHeight="1">
      <c r="A168" s="461" t="s">
        <v>2826</v>
      </c>
      <c r="B168" s="491" t="s">
        <v>880</v>
      </c>
      <c r="K168" s="461" t="s">
        <v>823</v>
      </c>
      <c r="L168" s="461" t="s">
        <v>89</v>
      </c>
    </row>
    <row r="169" spans="1:20" ht="107.45" customHeight="1">
      <c r="A169" s="1421" t="s">
        <v>3954</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107.45" customHeight="1">
      <c r="A170" s="1425" t="s">
        <v>4026</v>
      </c>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45" customHeight="1">
      <c r="A171" s="1429"/>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45" customHeight="1">
      <c r="A172" s="1430"/>
      <c r="B172" s="1431"/>
      <c r="C172" s="1431"/>
      <c r="D172" s="1431"/>
      <c r="E172" s="1431"/>
      <c r="F172" s="1431"/>
      <c r="G172" s="1431"/>
      <c r="H172" s="1431"/>
      <c r="I172" s="1431"/>
      <c r="J172" s="1432"/>
      <c r="K172" s="1433"/>
      <c r="L172" s="1431"/>
      <c r="M172" s="1431"/>
      <c r="N172" s="1431"/>
      <c r="O172" s="1431"/>
      <c r="P172" s="1431"/>
      <c r="Q172" s="1431"/>
      <c r="R172" s="1431"/>
      <c r="S172" s="1431"/>
      <c r="T172" s="1432"/>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March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13" workbookViewId="0">
      <selection activeCell="D99" sqref="D99"/>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2011-043 Calypso, Palmetto, Fulton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807</v>
      </c>
      <c r="I3" s="741" t="str">
        <f>VLOOKUP('Part I-Project Information'!$J$25,'Part I-Project Information'!$C$183:$D$342,2)</f>
        <v>Middle</v>
      </c>
    </row>
    <row r="4" spans="1:20" s="9" customFormat="1"/>
    <row r="5" spans="1:20" s="9" customFormat="1">
      <c r="A5" s="16" t="s">
        <v>951</v>
      </c>
      <c r="B5" s="16" t="s">
        <v>3352</v>
      </c>
      <c r="F5" s="9" t="s">
        <v>3806</v>
      </c>
      <c r="I5" s="1361" t="s">
        <v>3952</v>
      </c>
      <c r="J5" s="1362"/>
      <c r="K5" s="1362"/>
      <c r="L5" s="1362"/>
      <c r="M5" s="1363"/>
    </row>
    <row r="6" spans="1:20" s="9" customFormat="1" ht="13.15" customHeight="1">
      <c r="A6" s="16"/>
      <c r="F6" s="9" t="s">
        <v>973</v>
      </c>
      <c r="H6" s="31"/>
      <c r="I6" s="1364">
        <v>40452</v>
      </c>
      <c r="J6" s="1365"/>
      <c r="K6" s="77" t="s">
        <v>834</v>
      </c>
      <c r="L6" s="1366" t="s">
        <v>48</v>
      </c>
      <c r="M6" s="1363"/>
    </row>
    <row r="7" spans="1:20" s="9" customFormat="1" ht="6" customHeight="1">
      <c r="A7" s="16"/>
    </row>
    <row r="8" spans="1:20" s="16" customFormat="1">
      <c r="B8" s="337"/>
      <c r="C8" s="337"/>
      <c r="D8" s="337"/>
      <c r="E8" s="337"/>
      <c r="F8" s="962" t="s">
        <v>943</v>
      </c>
      <c r="G8" s="962"/>
      <c r="I8" s="961" t="s">
        <v>258</v>
      </c>
      <c r="J8" s="961"/>
      <c r="K8" s="961"/>
      <c r="L8" s="961"/>
      <c r="M8" s="961"/>
    </row>
    <row r="9" spans="1:20" s="16" customFormat="1">
      <c r="B9" s="337" t="s">
        <v>1381</v>
      </c>
      <c r="D9" s="337" t="s">
        <v>2362</v>
      </c>
      <c r="F9" s="736" t="s">
        <v>979</v>
      </c>
      <c r="G9" s="736" t="s">
        <v>2904</v>
      </c>
      <c r="I9" s="338">
        <v>0</v>
      </c>
      <c r="J9" s="339">
        <v>1</v>
      </c>
      <c r="K9" s="339">
        <v>2</v>
      </c>
      <c r="L9" s="339">
        <v>3</v>
      </c>
      <c r="M9" s="339">
        <v>4</v>
      </c>
    </row>
    <row r="10" spans="1:20" s="9" customFormat="1">
      <c r="B10" s="340" t="s">
        <v>2906</v>
      </c>
      <c r="C10" s="341"/>
      <c r="D10" s="1367" t="s">
        <v>3953</v>
      </c>
      <c r="E10" s="1368"/>
      <c r="F10" s="1369" t="s">
        <v>652</v>
      </c>
      <c r="G10" s="1369"/>
      <c r="H10" s="342"/>
      <c r="I10" s="1370"/>
      <c r="J10" s="1370"/>
      <c r="K10" s="1370"/>
      <c r="L10" s="1370">
        <v>12</v>
      </c>
      <c r="M10" s="1370">
        <v>14</v>
      </c>
    </row>
    <row r="11" spans="1:20" s="9" customFormat="1">
      <c r="B11" s="343" t="s">
        <v>687</v>
      </c>
      <c r="C11" s="344"/>
      <c r="D11" s="343" t="s">
        <v>2358</v>
      </c>
      <c r="E11" s="344"/>
      <c r="F11" s="1371" t="s">
        <v>652</v>
      </c>
      <c r="G11" s="1371"/>
      <c r="H11" s="345"/>
      <c r="I11" s="1372"/>
      <c r="J11" s="1372"/>
      <c r="K11" s="1372"/>
      <c r="L11" s="1373">
        <v>17</v>
      </c>
      <c r="M11" s="1373">
        <v>22</v>
      </c>
    </row>
    <row r="12" spans="1:20" s="9" customFormat="1">
      <c r="B12" s="343" t="s">
        <v>2359</v>
      </c>
      <c r="C12" s="344"/>
      <c r="D12" s="1374" t="s">
        <v>2358</v>
      </c>
      <c r="E12" s="1375"/>
      <c r="F12" s="1371" t="s">
        <v>652</v>
      </c>
      <c r="G12" s="1371"/>
      <c r="H12" s="345"/>
      <c r="I12" s="1372"/>
      <c r="J12" s="1372"/>
      <c r="K12" s="1372"/>
      <c r="L12" s="1373">
        <v>11</v>
      </c>
      <c r="M12" s="1373">
        <v>13</v>
      </c>
    </row>
    <row r="13" spans="1:20" s="9" customFormat="1">
      <c r="B13" s="343" t="s">
        <v>2360</v>
      </c>
      <c r="C13" s="344"/>
      <c r="D13" s="1374" t="s">
        <v>2358</v>
      </c>
      <c r="E13" s="1375"/>
      <c r="F13" s="1371" t="s">
        <v>652</v>
      </c>
      <c r="G13" s="1371"/>
      <c r="H13" s="345"/>
      <c r="I13" s="1372"/>
      <c r="J13" s="1372"/>
      <c r="K13" s="1372"/>
      <c r="L13" s="1373">
        <v>25</v>
      </c>
      <c r="M13" s="1373">
        <v>30</v>
      </c>
    </row>
    <row r="14" spans="1:20" s="9" customFormat="1">
      <c r="B14" s="343" t="s">
        <v>2361</v>
      </c>
      <c r="C14" s="344"/>
      <c r="D14" s="343" t="s">
        <v>2358</v>
      </c>
      <c r="E14" s="346"/>
      <c r="F14" s="1371" t="s">
        <v>652</v>
      </c>
      <c r="G14" s="1371"/>
      <c r="H14" s="345"/>
      <c r="I14" s="1372"/>
      <c r="J14" s="1372"/>
      <c r="K14" s="1372"/>
      <c r="L14" s="1373">
        <v>46</v>
      </c>
      <c r="M14" s="1373">
        <v>54</v>
      </c>
    </row>
    <row r="15" spans="1:20" s="9" customFormat="1">
      <c r="B15" s="343" t="s">
        <v>2073</v>
      </c>
      <c r="C15" s="344"/>
      <c r="D15" s="343" t="s">
        <v>3351</v>
      </c>
      <c r="E15" s="1376" t="s">
        <v>3925</v>
      </c>
      <c r="F15" s="1371" t="s">
        <v>652</v>
      </c>
      <c r="G15" s="1371"/>
      <c r="H15" s="345"/>
      <c r="I15" s="1372"/>
      <c r="J15" s="1372"/>
      <c r="K15" s="1372"/>
      <c r="L15" s="1373">
        <f>42+39</f>
        <v>81</v>
      </c>
      <c r="M15" s="1373">
        <f>51+47</f>
        <v>98</v>
      </c>
    </row>
    <row r="16" spans="1:20" s="9" customFormat="1">
      <c r="B16" s="347" t="s">
        <v>2905</v>
      </c>
      <c r="C16" s="348"/>
      <c r="D16" s="347"/>
      <c r="E16" s="315"/>
      <c r="F16" s="1377"/>
      <c r="G16" s="1377" t="s">
        <v>652</v>
      </c>
      <c r="H16" s="349"/>
      <c r="I16" s="1378"/>
      <c r="J16" s="1378"/>
      <c r="K16" s="1378"/>
      <c r="L16" s="1379"/>
      <c r="M16" s="1379"/>
    </row>
    <row r="17" spans="1:19" s="9" customFormat="1">
      <c r="B17" s="337" t="s">
        <v>1641</v>
      </c>
      <c r="D17" s="31"/>
      <c r="E17" s="31"/>
      <c r="F17" s="111"/>
      <c r="G17" s="111"/>
      <c r="I17" s="736">
        <f>SUM(I10:I16)</f>
        <v>0</v>
      </c>
      <c r="J17" s="736">
        <f>SUM(J10:J16)</f>
        <v>0</v>
      </c>
      <c r="K17" s="736">
        <f>SUM(K10:K16)</f>
        <v>0</v>
      </c>
      <c r="L17" s="736">
        <f>SUM(L10:L16)</f>
        <v>192</v>
      </c>
      <c r="M17" s="736">
        <f>SUM(M10:M16)</f>
        <v>231</v>
      </c>
    </row>
    <row r="18" spans="1:19" s="9" customFormat="1" ht="11.25" customHeight="1">
      <c r="M18" s="31"/>
      <c r="N18" s="31"/>
      <c r="O18" s="31"/>
      <c r="P18" s="31"/>
      <c r="Q18" s="31"/>
      <c r="R18" s="31"/>
      <c r="S18" s="31"/>
    </row>
    <row r="19" spans="1:19" s="9" customFormat="1">
      <c r="A19" s="16" t="s">
        <v>1230</v>
      </c>
      <c r="B19" s="16" t="s">
        <v>3353</v>
      </c>
      <c r="F19" s="9" t="s">
        <v>3806</v>
      </c>
      <c r="I19" s="1366"/>
      <c r="J19" s="1362"/>
      <c r="K19" s="1362"/>
      <c r="L19" s="1362"/>
      <c r="M19" s="1363"/>
    </row>
    <row r="20" spans="1:19" s="9" customFormat="1" ht="13.15" customHeight="1">
      <c r="A20" s="16"/>
      <c r="B20" s="16"/>
      <c r="F20" s="9" t="s">
        <v>973</v>
      </c>
      <c r="H20" s="31"/>
      <c r="I20" s="1364"/>
      <c r="J20" s="1365"/>
      <c r="K20" s="77" t="s">
        <v>834</v>
      </c>
      <c r="L20" s="1366"/>
      <c r="M20" s="1363"/>
    </row>
    <row r="21" spans="1:19" s="9" customFormat="1" ht="6" customHeight="1">
      <c r="A21" s="16"/>
    </row>
    <row r="22" spans="1:19" s="16" customFormat="1">
      <c r="B22" s="337"/>
      <c r="C22" s="337"/>
      <c r="D22" s="337"/>
      <c r="E22" s="337"/>
      <c r="F22" s="962" t="s">
        <v>943</v>
      </c>
      <c r="G22" s="962"/>
      <c r="I22" s="961" t="s">
        <v>258</v>
      </c>
      <c r="J22" s="961"/>
      <c r="K22" s="961"/>
      <c r="L22" s="961"/>
      <c r="M22" s="961"/>
    </row>
    <row r="23" spans="1:19" s="16" customFormat="1">
      <c r="B23" s="337" t="s">
        <v>1381</v>
      </c>
      <c r="D23" s="337" t="s">
        <v>2362</v>
      </c>
      <c r="F23" s="736" t="s">
        <v>979</v>
      </c>
      <c r="G23" s="736" t="s">
        <v>2904</v>
      </c>
      <c r="I23" s="338">
        <v>0</v>
      </c>
      <c r="J23" s="339">
        <v>1</v>
      </c>
      <c r="K23" s="339">
        <v>2</v>
      </c>
      <c r="L23" s="339">
        <v>3</v>
      </c>
      <c r="M23" s="339">
        <v>4</v>
      </c>
    </row>
    <row r="24" spans="1:19" s="9" customFormat="1">
      <c r="B24" s="340" t="s">
        <v>2906</v>
      </c>
      <c r="C24" s="341"/>
      <c r="D24" s="1367" t="s">
        <v>2862</v>
      </c>
      <c r="E24" s="1368"/>
      <c r="F24" s="1369"/>
      <c r="G24" s="1369"/>
      <c r="H24" s="342"/>
      <c r="I24" s="1370"/>
      <c r="J24" s="1370"/>
      <c r="K24" s="1370"/>
      <c r="L24" s="1370"/>
      <c r="M24" s="1370"/>
    </row>
    <row r="25" spans="1:19" s="9" customFormat="1">
      <c r="B25" s="343" t="s">
        <v>687</v>
      </c>
      <c r="C25" s="344"/>
      <c r="D25" s="343" t="s">
        <v>2358</v>
      </c>
      <c r="E25" s="344"/>
      <c r="F25" s="1371"/>
      <c r="G25" s="1371"/>
      <c r="H25" s="345"/>
      <c r="I25" s="1372"/>
      <c r="J25" s="1372"/>
      <c r="K25" s="1372"/>
      <c r="L25" s="1373"/>
      <c r="M25" s="1373"/>
    </row>
    <row r="26" spans="1:19" s="9" customFormat="1">
      <c r="B26" s="343" t="s">
        <v>2359</v>
      </c>
      <c r="C26" s="344"/>
      <c r="D26" s="1374" t="s">
        <v>2862</v>
      </c>
      <c r="E26" s="1375"/>
      <c r="F26" s="1371"/>
      <c r="G26" s="1371"/>
      <c r="H26" s="345"/>
      <c r="I26" s="1372"/>
      <c r="J26" s="1372"/>
      <c r="K26" s="1372"/>
      <c r="L26" s="1373"/>
      <c r="M26" s="1373"/>
    </row>
    <row r="27" spans="1:19" s="9" customFormat="1">
      <c r="B27" s="343" t="s">
        <v>2360</v>
      </c>
      <c r="C27" s="344"/>
      <c r="D27" s="1374" t="s">
        <v>2862</v>
      </c>
      <c r="E27" s="1375"/>
      <c r="F27" s="1371"/>
      <c r="G27" s="1371"/>
      <c r="H27" s="345"/>
      <c r="I27" s="1372"/>
      <c r="J27" s="1372"/>
      <c r="K27" s="1372"/>
      <c r="L27" s="1373"/>
      <c r="M27" s="1373"/>
    </row>
    <row r="28" spans="1:19" s="9" customFormat="1">
      <c r="B28" s="343" t="s">
        <v>2361</v>
      </c>
      <c r="C28" s="344"/>
      <c r="D28" s="343" t="s">
        <v>2358</v>
      </c>
      <c r="E28" s="346"/>
      <c r="F28" s="1371"/>
      <c r="G28" s="1371"/>
      <c r="H28" s="345"/>
      <c r="I28" s="1372"/>
      <c r="J28" s="1372"/>
      <c r="K28" s="1372"/>
      <c r="L28" s="1373"/>
      <c r="M28" s="1373"/>
    </row>
    <row r="29" spans="1:19" s="9" customFormat="1">
      <c r="B29" s="343" t="s">
        <v>2073</v>
      </c>
      <c r="C29" s="344"/>
      <c r="D29" s="343" t="s">
        <v>3351</v>
      </c>
      <c r="E29" s="1376" t="s">
        <v>259</v>
      </c>
      <c r="F29" s="1371"/>
      <c r="G29" s="1371"/>
      <c r="H29" s="345"/>
      <c r="I29" s="1372"/>
      <c r="J29" s="1372"/>
      <c r="K29" s="1372"/>
      <c r="L29" s="1373"/>
      <c r="M29" s="1373"/>
    </row>
    <row r="30" spans="1:19" s="9" customFormat="1">
      <c r="B30" s="347" t="s">
        <v>2905</v>
      </c>
      <c r="C30" s="348"/>
      <c r="D30" s="347"/>
      <c r="E30" s="315"/>
      <c r="F30" s="1377"/>
      <c r="G30" s="1377"/>
      <c r="H30" s="349"/>
      <c r="I30" s="1378"/>
      <c r="J30" s="1378"/>
      <c r="K30" s="1378"/>
      <c r="L30" s="1379"/>
      <c r="M30" s="1379"/>
    </row>
    <row r="31" spans="1:19" s="9" customFormat="1">
      <c r="B31" s="337" t="s">
        <v>1641</v>
      </c>
      <c r="D31" s="31"/>
      <c r="E31" s="31"/>
      <c r="F31" s="111"/>
      <c r="G31" s="111"/>
      <c r="I31" s="736">
        <f>SUM(I24:I30)</f>
        <v>0</v>
      </c>
      <c r="J31" s="736">
        <f>SUM(J24:J30)</f>
        <v>0</v>
      </c>
      <c r="K31" s="736">
        <f>SUM(K24:K30)</f>
        <v>0</v>
      </c>
      <c r="L31" s="736">
        <f>SUM(L24:L30)</f>
        <v>0</v>
      </c>
      <c r="M31" s="736">
        <f>SUM(M24:M30)</f>
        <v>0</v>
      </c>
    </row>
    <row r="32" spans="1:19">
      <c r="A32" s="9"/>
    </row>
    <row r="33" spans="1:19">
      <c r="B33" s="350" t="s">
        <v>2841</v>
      </c>
    </row>
    <row r="34" spans="1:19" s="9" customFormat="1" ht="6" customHeight="1">
      <c r="M34" s="31"/>
      <c r="N34" s="31"/>
      <c r="O34" s="31"/>
      <c r="P34" s="31"/>
      <c r="Q34" s="31"/>
      <c r="R34" s="31"/>
      <c r="S34" s="31"/>
    </row>
    <row r="35" spans="1:19" s="9" customFormat="1" ht="12" customHeight="1">
      <c r="A35" s="16"/>
      <c r="B35" s="16" t="s">
        <v>880</v>
      </c>
      <c r="M35" s="31"/>
      <c r="N35" s="31"/>
      <c r="O35" s="31"/>
      <c r="P35" s="31"/>
      <c r="Q35" s="31"/>
      <c r="R35" s="31"/>
      <c r="S35" s="31"/>
    </row>
    <row r="36" spans="1:19" s="9" customFormat="1" ht="12" customHeight="1">
      <c r="B36" s="1380" t="s">
        <v>4045</v>
      </c>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2898</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March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2011-06-27T20:48:38Z</cp:lastPrinted>
  <dcterms:created xsi:type="dcterms:W3CDTF">2005-09-15T20:51:37Z</dcterms:created>
  <dcterms:modified xsi:type="dcterms:W3CDTF">2011-08-11T15:05:15Z</dcterms:modified>
</cp:coreProperties>
</file>