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5480" windowHeight="11640"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J26" i="7"/>
  <c r="M2260" i="35"/>
  <c r="M2261"/>
  <c r="M2259"/>
  <c r="J322" l="1"/>
  <c r="J316"/>
  <c r="J309"/>
  <c r="J303"/>
  <c r="J297"/>
  <c r="J291"/>
  <c r="J283"/>
  <c r="J277"/>
  <c r="J271"/>
  <c r="J265"/>
  <c r="J257"/>
  <c r="J249"/>
  <c r="J243"/>
  <c r="J235"/>
  <c r="J229"/>
  <c r="M2115" l="1"/>
  <c r="M33" i="3"/>
  <c r="B32" l="1"/>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P2771" s="1"/>
  <c r="O2775"/>
  <c r="O2771" s="1"/>
  <c r="L2771" s="1"/>
  <c r="P2765"/>
  <c r="O2765"/>
  <c r="P2777"/>
  <c r="O2777"/>
  <c r="P2773"/>
  <c r="O2773"/>
  <c r="P2753"/>
  <c r="O2753"/>
  <c r="P2752"/>
  <c r="O2752"/>
  <c r="P2764"/>
  <c r="O2764"/>
  <c r="P2763"/>
  <c r="O2763"/>
  <c r="R2763" s="1"/>
  <c r="A2760"/>
  <c r="A2769"/>
  <c r="A2784"/>
  <c r="A2783"/>
  <c r="A2759"/>
  <c r="A2758"/>
  <c r="A2767"/>
  <c r="A2756"/>
  <c r="A2780"/>
  <c r="A2755"/>
  <c r="A2749"/>
  <c r="A2748"/>
  <c r="A2746"/>
  <c r="A2745"/>
  <c r="E2742"/>
  <c r="E2741"/>
  <c r="E2740"/>
  <c r="P2739"/>
  <c r="O2739"/>
  <c r="P2737"/>
  <c r="O2737"/>
  <c r="O2725"/>
  <c r="P2725"/>
  <c r="P2735"/>
  <c r="O2735"/>
  <c r="P2734"/>
  <c r="O2734"/>
  <c r="P2733"/>
  <c r="O2733"/>
  <c r="R2733" s="1"/>
  <c r="P2732"/>
  <c r="O2732"/>
  <c r="P2731"/>
  <c r="O2731"/>
  <c r="P2730"/>
  <c r="O2730"/>
  <c r="P2729"/>
  <c r="O2729"/>
  <c r="P2728"/>
  <c r="P2727" s="1"/>
  <c r="P2719" s="1"/>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L2705" s="1"/>
  <c r="P2693"/>
  <c r="O2693"/>
  <c r="P2692"/>
  <c r="O2692"/>
  <c r="L2692" s="1"/>
  <c r="P2685"/>
  <c r="O2685"/>
  <c r="L2685" s="1"/>
  <c r="P2684"/>
  <c r="O2684"/>
  <c r="L2684" s="1"/>
  <c r="P2675"/>
  <c r="O2675"/>
  <c r="P2674"/>
  <c r="O2674"/>
  <c r="L2674" s="1"/>
  <c r="P2673"/>
  <c r="O2673"/>
  <c r="P2660"/>
  <c r="O2660"/>
  <c r="R2660" s="1"/>
  <c r="P2659"/>
  <c r="P2658" s="1"/>
  <c r="O2659"/>
  <c r="P2638"/>
  <c r="O2638"/>
  <c r="M2632"/>
  <c r="K2627"/>
  <c r="I2627"/>
  <c r="P2630"/>
  <c r="O2630"/>
  <c r="L2630" s="1"/>
  <c r="P2629"/>
  <c r="O2629"/>
  <c r="L2629" s="1"/>
  <c r="P2628"/>
  <c r="O2628"/>
  <c r="L2628" s="1"/>
  <c r="P2626"/>
  <c r="O2626"/>
  <c r="P2625"/>
  <c r="O2625"/>
  <c r="A2656"/>
  <c r="A2636"/>
  <c r="A2655"/>
  <c r="A2654"/>
  <c r="A2653"/>
  <c r="A2652"/>
  <c r="A2634"/>
  <c r="A2650"/>
  <c r="A2649"/>
  <c r="A2622"/>
  <c r="A2621"/>
  <c r="A2619"/>
  <c r="A2618"/>
  <c r="P2616"/>
  <c r="O2616"/>
  <c r="P2615"/>
  <c r="O2615"/>
  <c r="M2615" s="1"/>
  <c r="P2614"/>
  <c r="O2614"/>
  <c r="P2613"/>
  <c r="O2613"/>
  <c r="M2613" s="1"/>
  <c r="O2603"/>
  <c r="P2603"/>
  <c r="O2604"/>
  <c r="P2604"/>
  <c r="O2602"/>
  <c r="P2602"/>
  <c r="H2605"/>
  <c r="H2604"/>
  <c r="J2603"/>
  <c r="O2608"/>
  <c r="M2608" s="1"/>
  <c r="P2608"/>
  <c r="O2609"/>
  <c r="P2609"/>
  <c r="O2610"/>
  <c r="M2610" s="1"/>
  <c r="P2610"/>
  <c r="O2611"/>
  <c r="P2611"/>
  <c r="O2601"/>
  <c r="P2601"/>
  <c r="P2607"/>
  <c r="O2607"/>
  <c r="M2607" s="1"/>
  <c r="P2606"/>
  <c r="O2606"/>
  <c r="P2605"/>
  <c r="O2605"/>
  <c r="M2605" s="1"/>
  <c r="P2600"/>
  <c r="O2600"/>
  <c r="M2600" s="1"/>
  <c r="P2599"/>
  <c r="O2599"/>
  <c r="M2599" s="1"/>
  <c r="P2598"/>
  <c r="O2598"/>
  <c r="M2598" s="1"/>
  <c r="P2595"/>
  <c r="O2595"/>
  <c r="M2595" s="1"/>
  <c r="P2594"/>
  <c r="O2594"/>
  <c r="M2594" s="1"/>
  <c r="P2593"/>
  <c r="O2593"/>
  <c r="M2593" s="1"/>
  <c r="P2591"/>
  <c r="O2591"/>
  <c r="M2591" s="1"/>
  <c r="P2590"/>
  <c r="O2590"/>
  <c r="M2590" s="1"/>
  <c r="P2589"/>
  <c r="O2589"/>
  <c r="M2589" s="1"/>
  <c r="O2576"/>
  <c r="M2576" s="1"/>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L2534" s="1"/>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O2500" s="1"/>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J385" i="35" s="1"/>
  <c r="M32" i="3"/>
  <c r="F128" i="8"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J1874" s="1"/>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P1846" s="1"/>
  <c r="O1844"/>
  <c r="N1844"/>
  <c r="N1846" s="1"/>
  <c r="M1844"/>
  <c r="L1844"/>
  <c r="L1846" s="1"/>
  <c r="K1844"/>
  <c r="J1844"/>
  <c r="J1846" s="1"/>
  <c r="I1844"/>
  <c r="H1844"/>
  <c r="H1846" s="1"/>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P1835" s="1"/>
  <c r="O1833"/>
  <c r="N1833"/>
  <c r="N1835" s="1"/>
  <c r="M1833"/>
  <c r="L1833"/>
  <c r="L1835" s="1"/>
  <c r="K1833"/>
  <c r="J1833"/>
  <c r="J1835" s="1"/>
  <c r="I1833"/>
  <c r="H1833"/>
  <c r="H1835" s="1"/>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F1603" s="1"/>
  <c r="G1604"/>
  <c r="S1599"/>
  <c r="S1598"/>
  <c r="S1597"/>
  <c r="S1596"/>
  <c r="G1597"/>
  <c r="G1598"/>
  <c r="G1599"/>
  <c r="A1599" s="1"/>
  <c r="S1593"/>
  <c r="S1592"/>
  <c r="S1591"/>
  <c r="S1590"/>
  <c r="S1589"/>
  <c r="S1588"/>
  <c r="S1587"/>
  <c r="S1586"/>
  <c r="S1585"/>
  <c r="G1586"/>
  <c r="G1587"/>
  <c r="G1588"/>
  <c r="G1589"/>
  <c r="G1590"/>
  <c r="G1591"/>
  <c r="G1592"/>
  <c r="G1593"/>
  <c r="J1611"/>
  <c r="G1607"/>
  <c r="G1602"/>
  <c r="F1602" s="1"/>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s="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G1521"/>
  <c r="M1521"/>
  <c r="M1523" s="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613"/>
  <c r="M1519"/>
  <c r="J1652"/>
  <c r="O1614"/>
  <c r="O1606"/>
  <c r="O1601"/>
  <c r="O1595"/>
  <c r="E1588"/>
  <c r="O1584"/>
  <c r="O1571"/>
  <c r="O1565"/>
  <c r="O1553"/>
  <c r="O1543"/>
  <c r="O1537"/>
  <c r="E1531"/>
  <c r="F1531" s="1"/>
  <c r="E1530"/>
  <c r="F1530" s="1"/>
  <c r="O1529"/>
  <c r="O1524"/>
  <c r="O1520"/>
  <c r="O1514"/>
  <c r="O1503"/>
  <c r="A1497"/>
  <c r="D974"/>
  <c r="D972"/>
  <c r="D970"/>
  <c r="D967"/>
  <c r="D966"/>
  <c r="D965"/>
  <c r="D963"/>
  <c r="E1013" s="1"/>
  <c r="C423"/>
  <c r="C422"/>
  <c r="B469" s="1"/>
  <c r="C420"/>
  <c r="C418"/>
  <c r="E418" s="1"/>
  <c r="E424" s="1"/>
  <c r="E425" s="1"/>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O2683"/>
  <c r="O2762"/>
  <c r="M2786"/>
  <c r="R2764"/>
  <c r="L2763"/>
  <c r="R2751"/>
  <c r="L2751"/>
  <c r="L2733"/>
  <c r="L2726"/>
  <c r="L2721"/>
  <c r="L2720"/>
  <c r="L2719"/>
  <c r="R2692"/>
  <c r="R2685"/>
  <c r="R2684"/>
  <c r="L2675"/>
  <c r="A2671"/>
  <c r="A2670"/>
  <c r="L2668"/>
  <c r="L2660"/>
  <c r="L2638"/>
  <c r="M2616"/>
  <c r="M2614"/>
  <c r="M2611"/>
  <c r="M2609"/>
  <c r="M2601"/>
  <c r="M2577"/>
  <c r="L2548"/>
  <c r="R2523"/>
  <c r="L2523"/>
  <c r="A2493"/>
  <c r="O207" i="11"/>
  <c r="A2793" i="35"/>
  <c r="A2792"/>
  <c r="A2049"/>
  <c r="A2036"/>
  <c r="A2035"/>
  <c r="E2016"/>
  <c r="C2016"/>
  <c r="K1981"/>
  <c r="I1981"/>
  <c r="G1981"/>
  <c r="E1981"/>
  <c r="C1981"/>
  <c r="K1946"/>
  <c r="K1957" s="1"/>
  <c r="I1946"/>
  <c r="G1946"/>
  <c r="G1957" s="1"/>
  <c r="E1946"/>
  <c r="E1957" s="1"/>
  <c r="C1946"/>
  <c r="C1957" s="1"/>
  <c r="K1911"/>
  <c r="I1911"/>
  <c r="G1911"/>
  <c r="E1911"/>
  <c r="C1911"/>
  <c r="A2034"/>
  <c r="F2013"/>
  <c r="F2033" s="1"/>
  <c r="E2013"/>
  <c r="E2033" s="1"/>
  <c r="D2013"/>
  <c r="D2033" s="1"/>
  <c r="C2013"/>
  <c r="C2033" s="1"/>
  <c r="B2013"/>
  <c r="B2033" s="1"/>
  <c r="F2017"/>
  <c r="E2017"/>
  <c r="D2017"/>
  <c r="C2017"/>
  <c r="B2017"/>
  <c r="A1962"/>
  <c r="A1997"/>
  <c r="A2032"/>
  <c r="A1961"/>
  <c r="A1996"/>
  <c r="A2031"/>
  <c r="A1925"/>
  <c r="A1960" s="1"/>
  <c r="A1995" s="1"/>
  <c r="A2030" s="1"/>
  <c r="A1924"/>
  <c r="A1959" s="1"/>
  <c r="A1994" s="1"/>
  <c r="A2029" s="1"/>
  <c r="A1923"/>
  <c r="A1958" s="1"/>
  <c r="A1993" s="1"/>
  <c r="A2028" s="1"/>
  <c r="C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72"/>
  <c r="K1980"/>
  <c r="K1991" s="1"/>
  <c r="J1972"/>
  <c r="J1980"/>
  <c r="J1991" s="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G1958" s="1"/>
  <c r="F1947"/>
  <c r="E1947"/>
  <c r="D1947"/>
  <c r="C1947"/>
  <c r="C1958" s="1"/>
  <c r="B1947"/>
  <c r="K1958"/>
  <c r="I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I1923" s="1"/>
  <c r="H1912"/>
  <c r="G1912"/>
  <c r="G1923" s="1"/>
  <c r="F1912"/>
  <c r="E1912"/>
  <c r="E1923" s="1"/>
  <c r="D1912"/>
  <c r="C1912"/>
  <c r="C1923" s="1"/>
  <c r="B1912"/>
  <c r="K1923"/>
  <c r="K1922"/>
  <c r="I1922"/>
  <c r="G1922"/>
  <c r="E1922"/>
  <c r="C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T1746"/>
  <c r="AI1734"/>
  <c r="BR1758"/>
  <c r="Z1746"/>
  <c r="BS1734"/>
  <c r="V1760"/>
  <c r="AA1757"/>
  <c r="AK1752"/>
  <c r="BT1729"/>
  <c r="BT1731"/>
  <c r="BT1733"/>
  <c r="BT1735"/>
  <c r="BT1737"/>
  <c r="BT1739"/>
  <c r="BT1741"/>
  <c r="BT1743"/>
  <c r="BT1745"/>
  <c r="BT1747"/>
  <c r="BT1749"/>
  <c r="BT1751"/>
  <c r="BT1753"/>
  <c r="BT1755"/>
  <c r="BT1757"/>
  <c r="BT1759"/>
  <c r="BT1761"/>
  <c r="W1737"/>
  <c r="AB1733"/>
  <c r="AL1728"/>
  <c r="AL1757"/>
  <c r="BU1729"/>
  <c r="BU1731"/>
  <c r="BU1733"/>
  <c r="BU1735"/>
  <c r="BU1737"/>
  <c r="BU1739"/>
  <c r="BU1741"/>
  <c r="BU1743"/>
  <c r="BU1745"/>
  <c r="BU1747"/>
  <c r="BU1749"/>
  <c r="BU1751"/>
  <c r="BU1753"/>
  <c r="BU1755"/>
  <c r="BU1757"/>
  <c r="BU1759"/>
  <c r="BU1761"/>
  <c r="X1732"/>
  <c r="X1748"/>
  <c r="AC1728"/>
  <c r="AC1744"/>
  <c r="AC1760"/>
  <c r="AM1739"/>
  <c r="AM1755"/>
  <c r="BV1729"/>
  <c r="BV1731"/>
  <c r="BV1733"/>
  <c r="BV1735"/>
  <c r="BV1737"/>
  <c r="BV1739"/>
  <c r="BV1741"/>
  <c r="BV1743"/>
  <c r="BV1745"/>
  <c r="BV1747"/>
  <c r="BV1749"/>
  <c r="BV1751"/>
  <c r="BV1753"/>
  <c r="BV1755"/>
  <c r="BV1757"/>
  <c r="BV1759"/>
  <c r="BV1761"/>
  <c r="J1875"/>
  <c r="N1873"/>
  <c r="J1873"/>
  <c r="P1849"/>
  <c r="O1849"/>
  <c r="O1852" s="1"/>
  <c r="N1849"/>
  <c r="M1849"/>
  <c r="M1852" s="1"/>
  <c r="L1849"/>
  <c r="K1849"/>
  <c r="K1852" s="1"/>
  <c r="J1849"/>
  <c r="I1849"/>
  <c r="I1852" s="1"/>
  <c r="H1849"/>
  <c r="G1849"/>
  <c r="G1852" s="1"/>
  <c r="O1846"/>
  <c r="M1846"/>
  <c r="K1846"/>
  <c r="I1846"/>
  <c r="G1846"/>
  <c r="P1838"/>
  <c r="O1838"/>
  <c r="O1841" s="1"/>
  <c r="N1838"/>
  <c r="M1838"/>
  <c r="M1841" s="1"/>
  <c r="L1838"/>
  <c r="K1838"/>
  <c r="K1841" s="1"/>
  <c r="J1838"/>
  <c r="I1838"/>
  <c r="I1841" s="1"/>
  <c r="H1838"/>
  <c r="G1838"/>
  <c r="G1841" s="1"/>
  <c r="O1835"/>
  <c r="M1835"/>
  <c r="K1835"/>
  <c r="I1835"/>
  <c r="G1835"/>
  <c r="P1827"/>
  <c r="O1827"/>
  <c r="O1830" s="1"/>
  <c r="N1827"/>
  <c r="M1827"/>
  <c r="M1830" s="1"/>
  <c r="L1827"/>
  <c r="K1827"/>
  <c r="K1830" s="1"/>
  <c r="J1827"/>
  <c r="I1827"/>
  <c r="I1830" s="1"/>
  <c r="H1827"/>
  <c r="G1827"/>
  <c r="G1830" s="1"/>
  <c r="J1824"/>
  <c r="K1737"/>
  <c r="L1737" s="1"/>
  <c r="K1753"/>
  <c r="L1753" s="1"/>
  <c r="BW1732"/>
  <c r="BW1748"/>
  <c r="CB1728"/>
  <c r="CB1744"/>
  <c r="CB1760"/>
  <c r="CL1739"/>
  <c r="CL1755"/>
  <c r="CV1729"/>
  <c r="CV1731"/>
  <c r="CV1733"/>
  <c r="CV1735"/>
  <c r="CV1737"/>
  <c r="CV1739"/>
  <c r="CV1741"/>
  <c r="CV1743"/>
  <c r="CV1745"/>
  <c r="CV1747"/>
  <c r="CV1749"/>
  <c r="CV1751"/>
  <c r="CV1753"/>
  <c r="CV1755"/>
  <c r="CV1757"/>
  <c r="CV1759"/>
  <c r="CV1761"/>
  <c r="BX1734"/>
  <c r="BX1750"/>
  <c r="CC1730"/>
  <c r="CC1746"/>
  <c r="CC1762"/>
  <c r="CM1741"/>
  <c r="CM1757"/>
  <c r="CW1729"/>
  <c r="CW1731"/>
  <c r="CW1733"/>
  <c r="CW1735"/>
  <c r="CW1737"/>
  <c r="CW1739"/>
  <c r="CW1741"/>
  <c r="CW1743"/>
  <c r="CW1745"/>
  <c r="CW1747"/>
  <c r="CW1749"/>
  <c r="CW1751"/>
  <c r="CW1753"/>
  <c r="CW1755"/>
  <c r="CW1757"/>
  <c r="CW1759"/>
  <c r="CW1761"/>
  <c r="BY1732"/>
  <c r="BY1748"/>
  <c r="CD1728"/>
  <c r="CD1744"/>
  <c r="CD1760"/>
  <c r="CN1739"/>
  <c r="CN1755"/>
  <c r="CX1729"/>
  <c r="CX1731"/>
  <c r="CX1733"/>
  <c r="CX1735"/>
  <c r="CX1737"/>
  <c r="CX1739"/>
  <c r="CX1741"/>
  <c r="CX1743"/>
  <c r="CX1745"/>
  <c r="CX1747"/>
  <c r="CX1749"/>
  <c r="CX1751"/>
  <c r="CX1753"/>
  <c r="CX1755"/>
  <c r="CX1757"/>
  <c r="CX1759"/>
  <c r="CX1761"/>
  <c r="BZ1734"/>
  <c r="BZ1750"/>
  <c r="CE1730"/>
  <c r="CE1746"/>
  <c r="CE1762"/>
  <c r="CO1741"/>
  <c r="CO1757"/>
  <c r="CY1729"/>
  <c r="CY1731"/>
  <c r="CY1733"/>
  <c r="CY1735"/>
  <c r="CY1737"/>
  <c r="CY1739"/>
  <c r="CY1741"/>
  <c r="CY1743"/>
  <c r="CY1745"/>
  <c r="CY1747"/>
  <c r="CY1749"/>
  <c r="CY1751"/>
  <c r="CY1753"/>
  <c r="CY1755"/>
  <c r="CY1757"/>
  <c r="CY1759"/>
  <c r="CY1761"/>
  <c r="CA1728"/>
  <c r="CA1736"/>
  <c r="CA1744"/>
  <c r="CA1752"/>
  <c r="CA1760"/>
  <c r="CF1732"/>
  <c r="CF1740"/>
  <c r="CF1748"/>
  <c r="CF1756"/>
  <c r="CP1727"/>
  <c r="CP1735"/>
  <c r="CP1743"/>
  <c r="CP1751"/>
  <c r="CP1759"/>
  <c r="CZ1729"/>
  <c r="CZ1731"/>
  <c r="CZ1733"/>
  <c r="CZ1735"/>
  <c r="CZ1737"/>
  <c r="CZ1739"/>
  <c r="CZ1741"/>
  <c r="CZ1743"/>
  <c r="CZ1745"/>
  <c r="CZ1747"/>
  <c r="CZ1749"/>
  <c r="CZ1751"/>
  <c r="CZ1753"/>
  <c r="CZ1755"/>
  <c r="CZ1757"/>
  <c r="CZ1759"/>
  <c r="CZ1761"/>
  <c r="FD1730"/>
  <c r="FD1738"/>
  <c r="FD1746"/>
  <c r="FD1754"/>
  <c r="FD1762"/>
  <c r="FE1733"/>
  <c r="FE1741"/>
  <c r="FE1749"/>
  <c r="FE1757"/>
  <c r="FF1728"/>
  <c r="FF1736"/>
  <c r="FF1744"/>
  <c r="FF1752"/>
  <c r="FF1760"/>
  <c r="FG1731"/>
  <c r="FG1739"/>
  <c r="FG1747"/>
  <c r="FG1755"/>
  <c r="FH1725"/>
  <c r="FH1734"/>
  <c r="FH1742"/>
  <c r="FH1750"/>
  <c r="FH1758"/>
  <c r="FI1729"/>
  <c r="FI1737"/>
  <c r="FI1745"/>
  <c r="FI1753"/>
  <c r="FI1761"/>
  <c r="FJ1732"/>
  <c r="FJ1740"/>
  <c r="FJ1748"/>
  <c r="FJ1756"/>
  <c r="FK1726"/>
  <c r="FK1735"/>
  <c r="FK1743"/>
  <c r="FK1751"/>
  <c r="FK1759"/>
  <c r="FL1730"/>
  <c r="FL1738"/>
  <c r="FL1746"/>
  <c r="FL1754"/>
  <c r="FL1762"/>
  <c r="FM1733"/>
  <c r="FM1741"/>
  <c r="FM1749"/>
  <c r="FM1757"/>
  <c r="FN1728"/>
  <c r="FN1736"/>
  <c r="FN1744"/>
  <c r="FN1752"/>
  <c r="FN1760"/>
  <c r="FO1731"/>
  <c r="FO1739"/>
  <c r="FO1747"/>
  <c r="FO1755"/>
  <c r="FP1725"/>
  <c r="FP1734"/>
  <c r="FP1742"/>
  <c r="FP1750"/>
  <c r="FP1758"/>
  <c r="FQ1729"/>
  <c r="FQ1737"/>
  <c r="FQ1745"/>
  <c r="FQ1753"/>
  <c r="FQ1761"/>
  <c r="FR1732"/>
  <c r="FR1740"/>
  <c r="FR1748"/>
  <c r="FR1756"/>
  <c r="EY1726"/>
  <c r="EY1735"/>
  <c r="EY1743"/>
  <c r="EY1751"/>
  <c r="EY1759"/>
  <c r="EZ1730"/>
  <c r="EZ1738"/>
  <c r="EZ1746"/>
  <c r="EZ1754"/>
  <c r="EZ1762"/>
  <c r="FA1733"/>
  <c r="FA1741"/>
  <c r="FA1749"/>
  <c r="FA1757"/>
  <c r="FB1728"/>
  <c r="FB1736"/>
  <c r="FB1744"/>
  <c r="FB1752"/>
  <c r="FB1760"/>
  <c r="FC1731"/>
  <c r="FC1739"/>
  <c r="FC1747"/>
  <c r="FC1755"/>
  <c r="ET1725"/>
  <c r="ET1734"/>
  <c r="ET1742"/>
  <c r="ET1750"/>
  <c r="ET1758"/>
  <c r="EU1729"/>
  <c r="EU1737"/>
  <c r="EU1745"/>
  <c r="EU1753"/>
  <c r="EU1761"/>
  <c r="EV1732"/>
  <c r="EV1740"/>
  <c r="EV1748"/>
  <c r="EV1756"/>
  <c r="EW1726"/>
  <c r="EW1735"/>
  <c r="EW1743"/>
  <c r="EW1751"/>
  <c r="EW1759"/>
  <c r="EX1730"/>
  <c r="EX1738"/>
  <c r="EX1746"/>
  <c r="EX1754"/>
  <c r="EX1762"/>
  <c r="EE1730"/>
  <c r="EE1738"/>
  <c r="EE1746"/>
  <c r="EE1754"/>
  <c r="EE1762"/>
  <c r="EJ1732"/>
  <c r="EJ1740"/>
  <c r="EJ1748"/>
  <c r="EJ1756"/>
  <c r="EO1726"/>
  <c r="EO1734"/>
  <c r="EO1742"/>
  <c r="EO1750"/>
  <c r="EO1758"/>
  <c r="EF1728"/>
  <c r="EF1736"/>
  <c r="EF1744"/>
  <c r="EF1752"/>
  <c r="EF1760"/>
  <c r="EK1730"/>
  <c r="EK1738"/>
  <c r="EK1746"/>
  <c r="EK1754"/>
  <c r="EK1762"/>
  <c r="EP1732"/>
  <c r="EP1740"/>
  <c r="EP1748"/>
  <c r="EP1756"/>
  <c r="EG1726"/>
  <c r="EG1734"/>
  <c r="EG1742"/>
  <c r="EG1750"/>
  <c r="EG1758"/>
  <c r="EL1728"/>
  <c r="EL1736"/>
  <c r="EL1744"/>
  <c r="EL1752"/>
  <c r="EL1760"/>
  <c r="EQ1730"/>
  <c r="EQ1738"/>
  <c r="EQ1746"/>
  <c r="EQ1754"/>
  <c r="EQ1762"/>
  <c r="EH1732"/>
  <c r="EH1740"/>
  <c r="EH1748"/>
  <c r="EH1756"/>
  <c r="EM1726"/>
  <c r="EM1734"/>
  <c r="EM1742"/>
  <c r="EM1750"/>
  <c r="EM1758"/>
  <c r="ER1728"/>
  <c r="ER1736"/>
  <c r="ER1744"/>
  <c r="ER1752"/>
  <c r="ER1759"/>
  <c r="EI1725"/>
  <c r="EI1729"/>
  <c r="EI1733"/>
  <c r="EI1737"/>
  <c r="EI1741"/>
  <c r="EI1745"/>
  <c r="EI1749"/>
  <c r="EI1753"/>
  <c r="EI1757"/>
  <c r="EI1761"/>
  <c r="EN1727"/>
  <c r="EN1731"/>
  <c r="EN1735"/>
  <c r="EN1739"/>
  <c r="EN1743"/>
  <c r="EN1747"/>
  <c r="EN1751"/>
  <c r="EN1755"/>
  <c r="EN1759"/>
  <c r="ES1725"/>
  <c r="ES1729"/>
  <c r="ES1733"/>
  <c r="ES1737"/>
  <c r="ES1741"/>
  <c r="ES1745"/>
  <c r="ES1749"/>
  <c r="ES1753"/>
  <c r="ES1757"/>
  <c r="ES1761"/>
  <c r="DP1727"/>
  <c r="DP1731"/>
  <c r="DP1735"/>
  <c r="DP1739"/>
  <c r="DP1743"/>
  <c r="DP1747"/>
  <c r="DP1751"/>
  <c r="DP1755"/>
  <c r="DP1759"/>
  <c r="DU1725"/>
  <c r="DU1729"/>
  <c r="DU1733"/>
  <c r="DU1737"/>
  <c r="DU1741"/>
  <c r="DU1745"/>
  <c r="DU1749"/>
  <c r="DU1753"/>
  <c r="DU1757"/>
  <c r="DU1761"/>
  <c r="DZ1727"/>
  <c r="DZ1731"/>
  <c r="DZ1735"/>
  <c r="DZ1739"/>
  <c r="DZ1743"/>
  <c r="DZ1747"/>
  <c r="DZ1751"/>
  <c r="DZ1755"/>
  <c r="DZ1759"/>
  <c r="DQ1725"/>
  <c r="DQ1729"/>
  <c r="DQ1733"/>
  <c r="DQ1737"/>
  <c r="DQ1741"/>
  <c r="DQ1745"/>
  <c r="DQ1749"/>
  <c r="DQ1753"/>
  <c r="DQ1757"/>
  <c r="DQ1761"/>
  <c r="DV1727"/>
  <c r="DV1731"/>
  <c r="DV1735"/>
  <c r="DV1739"/>
  <c r="DV1743"/>
  <c r="DV1747"/>
  <c r="DV1751"/>
  <c r="DV1755"/>
  <c r="DV1759"/>
  <c r="EA1725"/>
  <c r="EA1729"/>
  <c r="EA1733"/>
  <c r="EA1737"/>
  <c r="EA1741"/>
  <c r="EA1745"/>
  <c r="EA1749"/>
  <c r="EA1753"/>
  <c r="EA1757"/>
  <c r="EA1761"/>
  <c r="DR1727"/>
  <c r="DR1731"/>
  <c r="DR1735"/>
  <c r="DR1739"/>
  <c r="DR1743"/>
  <c r="DR1747"/>
  <c r="DR1751"/>
  <c r="DR1755"/>
  <c r="DR1759"/>
  <c r="DW1725"/>
  <c r="DW1729"/>
  <c r="DW1733"/>
  <c r="DW1737"/>
  <c r="DW1741"/>
  <c r="DW1745"/>
  <c r="DW1749"/>
  <c r="DW1753"/>
  <c r="DW1757"/>
  <c r="DW1761"/>
  <c r="EB1727"/>
  <c r="EB1731"/>
  <c r="EB1735"/>
  <c r="EB1739"/>
  <c r="EB1743"/>
  <c r="EB1747"/>
  <c r="EB1751"/>
  <c r="EB1755"/>
  <c r="EB1759"/>
  <c r="DS1725"/>
  <c r="DS1729"/>
  <c r="DS1733"/>
  <c r="DS1737"/>
  <c r="DS1741"/>
  <c r="DS1745"/>
  <c r="DS1749"/>
  <c r="DS1753"/>
  <c r="DS1757"/>
  <c r="DS1761"/>
  <c r="DX1727"/>
  <c r="DX1731"/>
  <c r="DX1735"/>
  <c r="DX1739"/>
  <c r="DX1743"/>
  <c r="DX1747"/>
  <c r="DX1751"/>
  <c r="DX1755"/>
  <c r="DX1759"/>
  <c r="EC1725"/>
  <c r="EC1729"/>
  <c r="EC1733"/>
  <c r="EC1737"/>
  <c r="EC1741"/>
  <c r="EC1745"/>
  <c r="EC1749"/>
  <c r="EC1753"/>
  <c r="EC1757"/>
  <c r="EC1761"/>
  <c r="DT1727"/>
  <c r="DT1731"/>
  <c r="DT1735"/>
  <c r="DT1739"/>
  <c r="DT1743"/>
  <c r="DT1747"/>
  <c r="DT1751"/>
  <c r="DT1755"/>
  <c r="DT1759"/>
  <c r="DY1725"/>
  <c r="DY1729"/>
  <c r="DY1733"/>
  <c r="DY1737"/>
  <c r="DY1741"/>
  <c r="DY1745"/>
  <c r="DY1749"/>
  <c r="DY1753"/>
  <c r="DY1757"/>
  <c r="DY1761"/>
  <c r="ED1727"/>
  <c r="ED1731"/>
  <c r="ED1735"/>
  <c r="ED1739"/>
  <c r="ED1743"/>
  <c r="ED1747"/>
  <c r="ED1751"/>
  <c r="ED1755"/>
  <c r="ED1759"/>
  <c r="DA1725"/>
  <c r="DA1729"/>
  <c r="DA1733"/>
  <c r="DA1737"/>
  <c r="DA1741"/>
  <c r="DA1745"/>
  <c r="DA1749"/>
  <c r="DA1753"/>
  <c r="DA1757"/>
  <c r="DA1761"/>
  <c r="DF1727"/>
  <c r="DF1731"/>
  <c r="DF1735"/>
  <c r="DF1739"/>
  <c r="DF1743"/>
  <c r="DF1747"/>
  <c r="DF1751"/>
  <c r="DF1755"/>
  <c r="DF1759"/>
  <c r="DK1725"/>
  <c r="DK1729"/>
  <c r="DK1733"/>
  <c r="DK1737"/>
  <c r="DK1741"/>
  <c r="DK1745"/>
  <c r="DK1749"/>
  <c r="DK1753"/>
  <c r="DK1757"/>
  <c r="DK1761"/>
  <c r="DB1727"/>
  <c r="DB1731"/>
  <c r="DB1735"/>
  <c r="DB1739"/>
  <c r="DB1743"/>
  <c r="DB1747"/>
  <c r="DB1751"/>
  <c r="DB1755"/>
  <c r="DB1759"/>
  <c r="DG1725"/>
  <c r="DG1729"/>
  <c r="DG1733"/>
  <c r="DG1737"/>
  <c r="DG1741"/>
  <c r="DG1745"/>
  <c r="DG1749"/>
  <c r="DG1753"/>
  <c r="DG1757"/>
  <c r="DG1761"/>
  <c r="DL1727"/>
  <c r="DL1731"/>
  <c r="DL1735"/>
  <c r="DL1739"/>
  <c r="DL1743"/>
  <c r="DL1747"/>
  <c r="DL1751"/>
  <c r="DL1755"/>
  <c r="DL1759"/>
  <c r="DC1725"/>
  <c r="DC1729"/>
  <c r="DC1733"/>
  <c r="DC1737"/>
  <c r="DC1741"/>
  <c r="DC1745"/>
  <c r="DC1749"/>
  <c r="DC1753"/>
  <c r="DC1757"/>
  <c r="DC1761"/>
  <c r="DH1727"/>
  <c r="DH1731"/>
  <c r="DH1735"/>
  <c r="DH1739"/>
  <c r="DH1743"/>
  <c r="DH1747"/>
  <c r="DH1751"/>
  <c r="DH1755"/>
  <c r="DH1759"/>
  <c r="DM1725"/>
  <c r="DM1729"/>
  <c r="DM1733"/>
  <c r="DM1737"/>
  <c r="DM1741"/>
  <c r="DM1745"/>
  <c r="DM1749"/>
  <c r="DM1753"/>
  <c r="DM1757"/>
  <c r="DM1761"/>
  <c r="DD1727"/>
  <c r="DD1731"/>
  <c r="DD1735"/>
  <c r="DD1739"/>
  <c r="DD1743"/>
  <c r="DD1747"/>
  <c r="DD1751"/>
  <c r="DD1755"/>
  <c r="DD1759"/>
  <c r="DI1725"/>
  <c r="DI1729"/>
  <c r="DI1733"/>
  <c r="DI1737"/>
  <c r="DI1741"/>
  <c r="DI1745"/>
  <c r="DI1749"/>
  <c r="DI1753"/>
  <c r="DI1757"/>
  <c r="DI1761"/>
  <c r="DN1727"/>
  <c r="DN1731"/>
  <c r="DN1735"/>
  <c r="DN1739"/>
  <c r="DN1743"/>
  <c r="DN1747"/>
  <c r="DN1751"/>
  <c r="DN1755"/>
  <c r="DN1759"/>
  <c r="DE1725"/>
  <c r="DE1729"/>
  <c r="DE1733"/>
  <c r="DE1737"/>
  <c r="DE1741"/>
  <c r="DE1745"/>
  <c r="DE1749"/>
  <c r="DE1753"/>
  <c r="DE1757"/>
  <c r="DE1761"/>
  <c r="DJ1727"/>
  <c r="DJ1731"/>
  <c r="DJ1735"/>
  <c r="DJ1739"/>
  <c r="DJ1743"/>
  <c r="DJ1747"/>
  <c r="DJ1751"/>
  <c r="DJ1755"/>
  <c r="DJ1759"/>
  <c r="DO1725"/>
  <c r="DO1729"/>
  <c r="DO1733"/>
  <c r="DO1737"/>
  <c r="DO1741"/>
  <c r="DO1745"/>
  <c r="DO1749"/>
  <c r="DO1753"/>
  <c r="DO1757"/>
  <c r="DO1761"/>
  <c r="BM1727"/>
  <c r="BM1731"/>
  <c r="BM1735"/>
  <c r="BM1739"/>
  <c r="BM1743"/>
  <c r="BM1747"/>
  <c r="BM1751"/>
  <c r="BM1755"/>
  <c r="BM1759"/>
  <c r="BH1725"/>
  <c r="BH1729"/>
  <c r="BH1733"/>
  <c r="BH1737"/>
  <c r="BH1741"/>
  <c r="BH1745"/>
  <c r="BH1749"/>
  <c r="BH1753"/>
  <c r="BH1757"/>
  <c r="BH1761"/>
  <c r="BN1727"/>
  <c r="BN1731"/>
  <c r="BN1735"/>
  <c r="BN1739"/>
  <c r="BN1743"/>
  <c r="BN1747"/>
  <c r="BN1751"/>
  <c r="BN1755"/>
  <c r="BN1759"/>
  <c r="BI1725"/>
  <c r="BI1729"/>
  <c r="BI1733"/>
  <c r="BI1737"/>
  <c r="BI1741"/>
  <c r="BI1745"/>
  <c r="BI1749"/>
  <c r="BI1753"/>
  <c r="BI1757"/>
  <c r="BI1761"/>
  <c r="BO1727"/>
  <c r="BO1731"/>
  <c r="BO1735"/>
  <c r="BO1739"/>
  <c r="BO1743"/>
  <c r="BO1747"/>
  <c r="BO1751"/>
  <c r="BO1755"/>
  <c r="BO1759"/>
  <c r="BJ1725"/>
  <c r="BJ1729"/>
  <c r="BJ1733"/>
  <c r="BJ1737"/>
  <c r="BJ1741"/>
  <c r="BJ1745"/>
  <c r="BJ1749"/>
  <c r="BJ1753"/>
  <c r="BJ1757"/>
  <c r="BJ1761"/>
  <c r="BP1727"/>
  <c r="BP1731"/>
  <c r="BP1735"/>
  <c r="BP1739"/>
  <c r="BP1743"/>
  <c r="BP1747"/>
  <c r="BP1751"/>
  <c r="BP1755"/>
  <c r="BP1759"/>
  <c r="BK1725"/>
  <c r="BK1729"/>
  <c r="BK1733"/>
  <c r="BK1737"/>
  <c r="BK1741"/>
  <c r="BK1745"/>
  <c r="BK1749"/>
  <c r="BK1753"/>
  <c r="BK1757"/>
  <c r="BK1761"/>
  <c r="BQ1727"/>
  <c r="BQ1731"/>
  <c r="BQ1735"/>
  <c r="BQ1739"/>
  <c r="BQ1743"/>
  <c r="BQ1747"/>
  <c r="BQ1751"/>
  <c r="BQ1755"/>
  <c r="BQ1759"/>
  <c r="BL1725"/>
  <c r="BL1729"/>
  <c r="BL1733"/>
  <c r="BL1737"/>
  <c r="BL1741"/>
  <c r="BL1745"/>
  <c r="BL1749"/>
  <c r="BL1753"/>
  <c r="BL1757"/>
  <c r="BL1761"/>
  <c r="AX1727"/>
  <c r="AX1731"/>
  <c r="AX1735"/>
  <c r="AX1739"/>
  <c r="AX1743"/>
  <c r="AX1747"/>
  <c r="AX1751"/>
  <c r="AX1755"/>
  <c r="AX1759"/>
  <c r="AS1725"/>
  <c r="AS1729"/>
  <c r="AS1733"/>
  <c r="AS1737"/>
  <c r="AS1741"/>
  <c r="AS1745"/>
  <c r="AS1749"/>
  <c r="AS1753"/>
  <c r="AS1757"/>
  <c r="AS1761"/>
  <c r="AY1727"/>
  <c r="AY1731"/>
  <c r="AY1735"/>
  <c r="AY1739"/>
  <c r="AY1743"/>
  <c r="AY1747"/>
  <c r="AY1751"/>
  <c r="AY1755"/>
  <c r="AY1759"/>
  <c r="AT1725"/>
  <c r="AT1729"/>
  <c r="AT1733"/>
  <c r="AT1737"/>
  <c r="AT1741"/>
  <c r="AT1745"/>
  <c r="AT1749"/>
  <c r="AT1753"/>
  <c r="AT1757"/>
  <c r="AT1761"/>
  <c r="AZ1727"/>
  <c r="AZ1731"/>
  <c r="AZ1735"/>
  <c r="AZ1739"/>
  <c r="AZ1743"/>
  <c r="AZ1747"/>
  <c r="AZ1751"/>
  <c r="AZ1755"/>
  <c r="AZ1759"/>
  <c r="AU1725"/>
  <c r="AU1729"/>
  <c r="AU1733"/>
  <c r="AU1737"/>
  <c r="AU1741"/>
  <c r="AU1745"/>
  <c r="AU1749"/>
  <c r="AU1753"/>
  <c r="AU1757"/>
  <c r="AU1761"/>
  <c r="BA1727"/>
  <c r="BA1731"/>
  <c r="BA1735"/>
  <c r="BA1739"/>
  <c r="BA1743"/>
  <c r="BA1747"/>
  <c r="BA1751"/>
  <c r="BA1755"/>
  <c r="BA1759"/>
  <c r="AV1725"/>
  <c r="AV1729"/>
  <c r="AV1733"/>
  <c r="AV1737"/>
  <c r="AV1741"/>
  <c r="AV1745"/>
  <c r="AV1749"/>
  <c r="AV1753"/>
  <c r="AV1757"/>
  <c r="AV1761"/>
  <c r="BB1727"/>
  <c r="BB1731"/>
  <c r="BB1735"/>
  <c r="BB1739"/>
  <c r="BB1743"/>
  <c r="BB1747"/>
  <c r="BB1751"/>
  <c r="BB1755"/>
  <c r="BB1759"/>
  <c r="AW1725"/>
  <c r="AW1729"/>
  <c r="AW1733"/>
  <c r="AW1737"/>
  <c r="AW1741"/>
  <c r="AW1745"/>
  <c r="AW1749"/>
  <c r="AW1753"/>
  <c r="AW1757"/>
  <c r="AW1761"/>
  <c r="HK1727"/>
  <c r="HK1731"/>
  <c r="HK1735"/>
  <c r="HK1739"/>
  <c r="HK1743"/>
  <c r="HK1747"/>
  <c r="HK1751"/>
  <c r="HK1755"/>
  <c r="HK1759"/>
  <c r="HJ1725"/>
  <c r="HJ1729"/>
  <c r="HJ1733"/>
  <c r="HJ1737"/>
  <c r="HJ1741"/>
  <c r="HJ1745"/>
  <c r="HJ1749"/>
  <c r="HJ1753"/>
  <c r="HJ1757"/>
  <c r="HJ1761"/>
  <c r="HI1727"/>
  <c r="HI1731"/>
  <c r="HI1735"/>
  <c r="HI1739"/>
  <c r="HI1743"/>
  <c r="HI1747"/>
  <c r="HI1751"/>
  <c r="HI1755"/>
  <c r="HI1759"/>
  <c r="HH1725"/>
  <c r="HH1729"/>
  <c r="HH1733"/>
  <c r="HH1737"/>
  <c r="HH1741"/>
  <c r="HH1745"/>
  <c r="HH1749"/>
  <c r="HH1753"/>
  <c r="HH1757"/>
  <c r="HH1761"/>
  <c r="HG1727"/>
  <c r="HG1731"/>
  <c r="HG1735"/>
  <c r="HG1739"/>
  <c r="HG1743"/>
  <c r="HG1747"/>
  <c r="HG1751"/>
  <c r="HG1755"/>
  <c r="HG1759"/>
  <c r="HF1725"/>
  <c r="HF1729"/>
  <c r="HF1733"/>
  <c r="HF1737"/>
  <c r="HF1741"/>
  <c r="HF1745"/>
  <c r="HF1749"/>
  <c r="HF1753"/>
  <c r="HF1757"/>
  <c r="HF1761"/>
  <c r="HE1727"/>
  <c r="HE1731"/>
  <c r="HE1735"/>
  <c r="HE1739"/>
  <c r="HE1743"/>
  <c r="HE1747"/>
  <c r="HE1751"/>
  <c r="HE1755"/>
  <c r="HE1759"/>
  <c r="HD1725"/>
  <c r="HD1729"/>
  <c r="HD1733"/>
  <c r="HD1737"/>
  <c r="HD1741"/>
  <c r="HD1745"/>
  <c r="HD1749"/>
  <c r="HD1753"/>
  <c r="HD1757"/>
  <c r="HD1761"/>
  <c r="HC1727"/>
  <c r="HC1731"/>
  <c r="HC1735"/>
  <c r="HC1739"/>
  <c r="HC1743"/>
  <c r="HC1747"/>
  <c r="HC1751"/>
  <c r="HC1755"/>
  <c r="HC1759"/>
  <c r="HB1725"/>
  <c r="HB1729"/>
  <c r="HB1733"/>
  <c r="HB1737"/>
  <c r="HB1741"/>
  <c r="HB1745"/>
  <c r="HB1749"/>
  <c r="HB1753"/>
  <c r="HB1757"/>
  <c r="HB1761"/>
  <c r="HA1727"/>
  <c r="HA1731"/>
  <c r="HA1735"/>
  <c r="HA1739"/>
  <c r="HA1743"/>
  <c r="HA1747"/>
  <c r="HA1751"/>
  <c r="HA1755"/>
  <c r="HA1759"/>
  <c r="GZ1725"/>
  <c r="GZ1729"/>
  <c r="GZ1733"/>
  <c r="GZ1737"/>
  <c r="GZ1741"/>
  <c r="GZ1745"/>
  <c r="GZ1749"/>
  <c r="GZ1753"/>
  <c r="GZ1757"/>
  <c r="GZ1761"/>
  <c r="GY1727"/>
  <c r="GY1731"/>
  <c r="GY1735"/>
  <c r="GY1739"/>
  <c r="GY1743"/>
  <c r="GY1747"/>
  <c r="GY1751"/>
  <c r="GY1755"/>
  <c r="GY1759"/>
  <c r="GX1725"/>
  <c r="GX1729"/>
  <c r="GX1733"/>
  <c r="GX1737"/>
  <c r="GX1741"/>
  <c r="GX1745"/>
  <c r="GX1749"/>
  <c r="GX1753"/>
  <c r="GX1757"/>
  <c r="GX1761"/>
  <c r="GW1727"/>
  <c r="GW1731"/>
  <c r="GW1735"/>
  <c r="GW1739"/>
  <c r="GW1743"/>
  <c r="GW1747"/>
  <c r="GW1751"/>
  <c r="GW1755"/>
  <c r="GW1759"/>
  <c r="GV1725"/>
  <c r="GV1729"/>
  <c r="GV1733"/>
  <c r="GV1737"/>
  <c r="GV1741"/>
  <c r="GV1745"/>
  <c r="GV1749"/>
  <c r="GV1753"/>
  <c r="GV1757"/>
  <c r="GV1761"/>
  <c r="GU1727"/>
  <c r="GU1731"/>
  <c r="GU1735"/>
  <c r="GU1739"/>
  <c r="GU1743"/>
  <c r="GU1747"/>
  <c r="GU1751"/>
  <c r="GU1755"/>
  <c r="GU1759"/>
  <c r="GT1725"/>
  <c r="GT1729"/>
  <c r="GT1733"/>
  <c r="GT1737"/>
  <c r="GT1741"/>
  <c r="GT1745"/>
  <c r="GT1749"/>
  <c r="GT1753"/>
  <c r="GT1757"/>
  <c r="GT1761"/>
  <c r="GS1727"/>
  <c r="GS1731"/>
  <c r="GS1735"/>
  <c r="GS1739"/>
  <c r="GS1743"/>
  <c r="GS1747"/>
  <c r="GS1751"/>
  <c r="GS1755"/>
  <c r="GS1759"/>
  <c r="GR1725"/>
  <c r="GR1729"/>
  <c r="GR1733"/>
  <c r="GR1737"/>
  <c r="GR1741"/>
  <c r="GR1745"/>
  <c r="GR1749"/>
  <c r="GR1753"/>
  <c r="GR1757"/>
  <c r="GR1761"/>
  <c r="GQ1727"/>
  <c r="GQ1731"/>
  <c r="GQ1735"/>
  <c r="GQ1739"/>
  <c r="GQ1743"/>
  <c r="GQ1747"/>
  <c r="GQ1751"/>
  <c r="GQ1755"/>
  <c r="GQ1759"/>
  <c r="GP1725"/>
  <c r="GP1729"/>
  <c r="GP1733"/>
  <c r="GP1737"/>
  <c r="GP1741"/>
  <c r="GP1745"/>
  <c r="GP1749"/>
  <c r="GP1753"/>
  <c r="GP1757"/>
  <c r="GP1761"/>
  <c r="GO1727"/>
  <c r="GO1731"/>
  <c r="GO1735"/>
  <c r="GO1739"/>
  <c r="GO1743"/>
  <c r="GO1747"/>
  <c r="GO1751"/>
  <c r="GO1755"/>
  <c r="GO1759"/>
  <c r="GN1725"/>
  <c r="GN1729"/>
  <c r="GN1733"/>
  <c r="GN1737"/>
  <c r="GN1741"/>
  <c r="GN1745"/>
  <c r="GN1749"/>
  <c r="GN1753"/>
  <c r="GN1757"/>
  <c r="GN1761"/>
  <c r="GM1727"/>
  <c r="GM1731"/>
  <c r="GM1735"/>
  <c r="GM1739"/>
  <c r="GM1743"/>
  <c r="GM1747"/>
  <c r="GM1751"/>
  <c r="GM1755"/>
  <c r="GM1759"/>
  <c r="GL1725"/>
  <c r="GL1730"/>
  <c r="GL1734"/>
  <c r="GL1738"/>
  <c r="GL1742"/>
  <c r="GL1746"/>
  <c r="GL1750"/>
  <c r="GL1754"/>
  <c r="GL1758"/>
  <c r="GL1762"/>
  <c r="GK1729"/>
  <c r="GK1733"/>
  <c r="GK1737"/>
  <c r="GK1741"/>
  <c r="GK1745"/>
  <c r="GK1749"/>
  <c r="GK1753"/>
  <c r="GK1757"/>
  <c r="GK1761"/>
  <c r="GJ1728"/>
  <c r="GJ1732"/>
  <c r="GJ1736"/>
  <c r="GJ1740"/>
  <c r="GJ1744"/>
  <c r="GJ1748"/>
  <c r="GJ1752"/>
  <c r="GJ1756"/>
  <c r="GJ1760"/>
  <c r="GI1726"/>
  <c r="GI1731"/>
  <c r="GI1735"/>
  <c r="GI1739"/>
  <c r="GI1743"/>
  <c r="GI1747"/>
  <c r="GI1751"/>
  <c r="GI1755"/>
  <c r="GI1759"/>
  <c r="GH1725"/>
  <c r="GH1730"/>
  <c r="GH1734"/>
  <c r="GH1738"/>
  <c r="GH1742"/>
  <c r="GH1746"/>
  <c r="GH1748"/>
  <c r="GH1750"/>
  <c r="GH1752"/>
  <c r="GH1754"/>
  <c r="GH1756"/>
  <c r="GH1758"/>
  <c r="GH1760"/>
  <c r="GH1762"/>
  <c r="GG1726"/>
  <c r="GG1729"/>
  <c r="GG1731"/>
  <c r="GG1733"/>
  <c r="GG1735"/>
  <c r="GG1737"/>
  <c r="GG1739"/>
  <c r="GG1741"/>
  <c r="GG1743"/>
  <c r="GG1745"/>
  <c r="GG1747"/>
  <c r="GG1749"/>
  <c r="GG1751"/>
  <c r="GG1753"/>
  <c r="GG1755"/>
  <c r="GG1757"/>
  <c r="GG1759"/>
  <c r="GG1761"/>
  <c r="GF1725"/>
  <c r="GF1728"/>
  <c r="GF1730"/>
  <c r="GF1732"/>
  <c r="GF1734"/>
  <c r="GF1736"/>
  <c r="GF1738"/>
  <c r="GF1740"/>
  <c r="GF1742"/>
  <c r="GF1744"/>
  <c r="GF1746"/>
  <c r="GF1748"/>
  <c r="GF1750"/>
  <c r="GF1752"/>
  <c r="GF1754"/>
  <c r="GF1756"/>
  <c r="GF1758"/>
  <c r="GF1760"/>
  <c r="GF1762"/>
  <c r="GE1726"/>
  <c r="GE1729"/>
  <c r="GE1731"/>
  <c r="GE1733"/>
  <c r="GE1735"/>
  <c r="GE1737"/>
  <c r="GE1739"/>
  <c r="GE1741"/>
  <c r="GE1743"/>
  <c r="GE1745"/>
  <c r="GE1747"/>
  <c r="GE1749"/>
  <c r="GE1751"/>
  <c r="GE1753"/>
  <c r="GE1755"/>
  <c r="GE1757"/>
  <c r="GE1759"/>
  <c r="GE1761"/>
  <c r="GD1725"/>
  <c r="GD1728"/>
  <c r="GD1730"/>
  <c r="GD1732"/>
  <c r="GD1734"/>
  <c r="GD1736"/>
  <c r="GD1738"/>
  <c r="GD1740"/>
  <c r="GD1742"/>
  <c r="GD1744"/>
  <c r="GD1746"/>
  <c r="GD1748"/>
  <c r="GD1750"/>
  <c r="GD1752"/>
  <c r="GD1754"/>
  <c r="GD1756"/>
  <c r="GD1758"/>
  <c r="GD1760"/>
  <c r="GD1762"/>
  <c r="GC1726"/>
  <c r="GC1729"/>
  <c r="GC1731"/>
  <c r="GC1733"/>
  <c r="GC1735"/>
  <c r="GC1737"/>
  <c r="GC1739"/>
  <c r="GC1741"/>
  <c r="GC1743"/>
  <c r="GC1745"/>
  <c r="GC1747"/>
  <c r="GC1749"/>
  <c r="GC1751"/>
  <c r="GC1753"/>
  <c r="GC1755"/>
  <c r="GC1757"/>
  <c r="GC1759"/>
  <c r="GC1761"/>
  <c r="GB1725"/>
  <c r="GB1728"/>
  <c r="GB1730"/>
  <c r="GB1732"/>
  <c r="GB1734"/>
  <c r="GB1736"/>
  <c r="GB1738"/>
  <c r="GB1740"/>
  <c r="GB1742"/>
  <c r="GB1744"/>
  <c r="GB1746"/>
  <c r="GB1748"/>
  <c r="GB1750"/>
  <c r="GB1752"/>
  <c r="GB1754"/>
  <c r="GB1756"/>
  <c r="GB1758"/>
  <c r="GB1760"/>
  <c r="GB1762"/>
  <c r="GA1726"/>
  <c r="GA1729"/>
  <c r="GA1731"/>
  <c r="GA1733"/>
  <c r="GA1735"/>
  <c r="GA1737"/>
  <c r="GA1739"/>
  <c r="GA1741"/>
  <c r="GA1743"/>
  <c r="GA1745"/>
  <c r="GA1747"/>
  <c r="GA1749"/>
  <c r="GA1751"/>
  <c r="GA1753"/>
  <c r="GA1755"/>
  <c r="GA1757"/>
  <c r="GA1759"/>
  <c r="GA1761"/>
  <c r="FZ1725"/>
  <c r="FZ1728"/>
  <c r="FZ1730"/>
  <c r="FZ1732"/>
  <c r="FZ1734"/>
  <c r="FZ1736"/>
  <c r="FZ1738"/>
  <c r="FZ1740"/>
  <c r="FZ1742"/>
  <c r="FZ1744"/>
  <c r="FZ1746"/>
  <c r="FZ1748"/>
  <c r="FZ1750"/>
  <c r="FZ1752"/>
  <c r="FZ1754"/>
  <c r="FZ1756"/>
  <c r="FZ1758"/>
  <c r="FZ1760"/>
  <c r="FZ1762"/>
  <c r="FY1726"/>
  <c r="FY1729"/>
  <c r="FY1731"/>
  <c r="FY1733"/>
  <c r="FY1735"/>
  <c r="FY1737"/>
  <c r="FY1739"/>
  <c r="FY1741"/>
  <c r="FY1743"/>
  <c r="FY1745"/>
  <c r="FY1747"/>
  <c r="FY1749"/>
  <c r="FY1751"/>
  <c r="FY1753"/>
  <c r="FY1755"/>
  <c r="FY1757"/>
  <c r="FY1759"/>
  <c r="FY1761"/>
  <c r="FX1725"/>
  <c r="FX1728"/>
  <c r="FX1730"/>
  <c r="FX1732"/>
  <c r="FX1734"/>
  <c r="FX1736"/>
  <c r="FX1738"/>
  <c r="FX1740"/>
  <c r="FX1742"/>
  <c r="FX1744"/>
  <c r="FX1746"/>
  <c r="FX1748"/>
  <c r="FX1750"/>
  <c r="FX1752"/>
  <c r="FX1754"/>
  <c r="FX1756"/>
  <c r="FX1758"/>
  <c r="FX1760"/>
  <c r="FX1762"/>
  <c r="FW1726"/>
  <c r="FW1729"/>
  <c r="FW1731"/>
  <c r="FW1733"/>
  <c r="FW1735"/>
  <c r="FW1737"/>
  <c r="FW1739"/>
  <c r="FW1741"/>
  <c r="FW1743"/>
  <c r="FW1745"/>
  <c r="FW1747"/>
  <c r="FW1749"/>
  <c r="FW1751"/>
  <c r="FW1753"/>
  <c r="FW1755"/>
  <c r="FW1757"/>
  <c r="FW1759"/>
  <c r="FW1761"/>
  <c r="FV1725"/>
  <c r="FV1728"/>
  <c r="FV1730"/>
  <c r="FV1732"/>
  <c r="FV1734"/>
  <c r="FV1736"/>
  <c r="FV1738"/>
  <c r="FV1740"/>
  <c r="FV1742"/>
  <c r="FV1744"/>
  <c r="FV1746"/>
  <c r="FV1748"/>
  <c r="FV1750"/>
  <c r="FV1752"/>
  <c r="FV1754"/>
  <c r="FV1756"/>
  <c r="FV1758"/>
  <c r="FV1760"/>
  <c r="FV1762"/>
  <c r="FU1726"/>
  <c r="FU1729"/>
  <c r="FU1731"/>
  <c r="FU1733"/>
  <c r="FU1735"/>
  <c r="FU1737"/>
  <c r="FU1739"/>
  <c r="FU1741"/>
  <c r="FU1743"/>
  <c r="FU1745"/>
  <c r="FU1747"/>
  <c r="FU1749"/>
  <c r="FU1751"/>
  <c r="FU1753"/>
  <c r="FU1755"/>
  <c r="FU1757"/>
  <c r="FU1759"/>
  <c r="FU1761"/>
  <c r="FT1725"/>
  <c r="FT1728"/>
  <c r="FT1730"/>
  <c r="FT1732"/>
  <c r="FT1734"/>
  <c r="FT1736"/>
  <c r="FT1738"/>
  <c r="FT1740"/>
  <c r="FT1742"/>
  <c r="FT1744"/>
  <c r="FT1746"/>
  <c r="FT1748"/>
  <c r="FT1750"/>
  <c r="FT1752"/>
  <c r="FT1754"/>
  <c r="FT1756"/>
  <c r="FT1758"/>
  <c r="FT1760"/>
  <c r="FT1762"/>
  <c r="FS1726"/>
  <c r="FS1729"/>
  <c r="FS1731"/>
  <c r="FS1733"/>
  <c r="FS1735"/>
  <c r="FS1737"/>
  <c r="FS1739"/>
  <c r="FS1741"/>
  <c r="FS1743"/>
  <c r="FS1745"/>
  <c r="FS1747"/>
  <c r="FS1749"/>
  <c r="FS1751"/>
  <c r="FS1753"/>
  <c r="FS1755"/>
  <c r="FS1757"/>
  <c r="FS1759"/>
  <c r="FS1761"/>
  <c r="CU1725"/>
  <c r="CU1727"/>
  <c r="CU1729"/>
  <c r="CU1731"/>
  <c r="CU1733"/>
  <c r="CU1735"/>
  <c r="CU1737"/>
  <c r="CU1739"/>
  <c r="CU1741"/>
  <c r="CU1743"/>
  <c r="CU1745"/>
  <c r="CU1747"/>
  <c r="CU1749"/>
  <c r="CU1751"/>
  <c r="CU1753"/>
  <c r="CU1755"/>
  <c r="CU1757"/>
  <c r="CU1759"/>
  <c r="CU1761"/>
  <c r="CT1725"/>
  <c r="CT1727"/>
  <c r="CT1729"/>
  <c r="CT1731"/>
  <c r="CT1733"/>
  <c r="CT1735"/>
  <c r="CT1737"/>
  <c r="CT1739"/>
  <c r="CT1741"/>
  <c r="CT1743"/>
  <c r="CT1745"/>
  <c r="CT1747"/>
  <c r="CT1749"/>
  <c r="CT1751"/>
  <c r="CT1753"/>
  <c r="CT1755"/>
  <c r="CT1757"/>
  <c r="CT1759"/>
  <c r="CT1761"/>
  <c r="CS1725"/>
  <c r="CS1727"/>
  <c r="CS1729"/>
  <c r="CS1731"/>
  <c r="CS1733"/>
  <c r="CS1735"/>
  <c r="CS1737"/>
  <c r="CS1739"/>
  <c r="CS1741"/>
  <c r="CS1743"/>
  <c r="CS1745"/>
  <c r="CS1747"/>
  <c r="CS1749"/>
  <c r="CS1751"/>
  <c r="CS1753"/>
  <c r="CS1755"/>
  <c r="CS1757"/>
  <c r="CS1759"/>
  <c r="CS1761"/>
  <c r="CR1725"/>
  <c r="CR1727"/>
  <c r="CR1729"/>
  <c r="CR1731"/>
  <c r="CR1733"/>
  <c r="CR1735"/>
  <c r="CR1737"/>
  <c r="CR1739"/>
  <c r="CR1741"/>
  <c r="CR1743"/>
  <c r="CR1745"/>
  <c r="CR1747"/>
  <c r="CR1749"/>
  <c r="CR1751"/>
  <c r="CR1753"/>
  <c r="CR1755"/>
  <c r="CR1757"/>
  <c r="CR1759"/>
  <c r="CR1761"/>
  <c r="CQ1725"/>
  <c r="CQ1727"/>
  <c r="CQ1729"/>
  <c r="CQ1731"/>
  <c r="CQ1733"/>
  <c r="CQ1735"/>
  <c r="CQ1737"/>
  <c r="CQ1739"/>
  <c r="CQ1741"/>
  <c r="CQ1743"/>
  <c r="CQ1745"/>
  <c r="CQ1747"/>
  <c r="CQ1749"/>
  <c r="CQ1751"/>
  <c r="CQ1753"/>
  <c r="CQ1755"/>
  <c r="CQ1757"/>
  <c r="CQ1759"/>
  <c r="CQ1761"/>
  <c r="CK1725"/>
  <c r="CK1727"/>
  <c r="CK1729"/>
  <c r="CK1731"/>
  <c r="CK1733"/>
  <c r="CK1735"/>
  <c r="CK1737"/>
  <c r="CK1739"/>
  <c r="CK1741"/>
  <c r="CK1743"/>
  <c r="CK1745"/>
  <c r="CK1747"/>
  <c r="CK1749"/>
  <c r="CK1751"/>
  <c r="CK1753"/>
  <c r="CK1755"/>
  <c r="CK1757"/>
  <c r="CK1759"/>
  <c r="CK1761"/>
  <c r="CJ1725"/>
  <c r="CJ1727"/>
  <c r="CJ1729"/>
  <c r="CJ1731"/>
  <c r="CJ1733"/>
  <c r="CJ1735"/>
  <c r="CJ1737"/>
  <c r="CJ1739"/>
  <c r="CJ1741"/>
  <c r="CJ1743"/>
  <c r="CJ1745"/>
  <c r="CJ1747"/>
  <c r="CJ1749"/>
  <c r="CJ1751"/>
  <c r="CJ1753"/>
  <c r="CJ1755"/>
  <c r="CJ1757"/>
  <c r="CJ1759"/>
  <c r="CJ1761"/>
  <c r="CI1725"/>
  <c r="CI1727"/>
  <c r="CI1729"/>
  <c r="CI1731"/>
  <c r="CI1733"/>
  <c r="CI1735"/>
  <c r="CI1737"/>
  <c r="CI1739"/>
  <c r="CI1741"/>
  <c r="CI1743"/>
  <c r="CI1745"/>
  <c r="CI1747"/>
  <c r="CI1749"/>
  <c r="CI1751"/>
  <c r="CI1753"/>
  <c r="CI1755"/>
  <c r="CI1757"/>
  <c r="CI1759"/>
  <c r="CI1761"/>
  <c r="CH1725"/>
  <c r="CH1727"/>
  <c r="CH1729"/>
  <c r="CH1731"/>
  <c r="CH1733"/>
  <c r="CH1735"/>
  <c r="CH1737"/>
  <c r="CH1739"/>
  <c r="CH1741"/>
  <c r="CH1743"/>
  <c r="CH1745"/>
  <c r="CH1747"/>
  <c r="CH1749"/>
  <c r="CH1751"/>
  <c r="CH1753"/>
  <c r="CH1755"/>
  <c r="CH1757"/>
  <c r="CH1759"/>
  <c r="CH1761"/>
  <c r="CG1725"/>
  <c r="CG1727"/>
  <c r="CG1729"/>
  <c r="CG1731"/>
  <c r="CG1733"/>
  <c r="CG1735"/>
  <c r="CG1737"/>
  <c r="CG1739"/>
  <c r="CG1741"/>
  <c r="CG1743"/>
  <c r="CG1745"/>
  <c r="CG1747"/>
  <c r="CG1749"/>
  <c r="CG1751"/>
  <c r="CG1753"/>
  <c r="CG1755"/>
  <c r="CG1757"/>
  <c r="CG1759"/>
  <c r="CG1761"/>
  <c r="BG1725"/>
  <c r="BG1727"/>
  <c r="BG1729"/>
  <c r="BG1731"/>
  <c r="BG1733"/>
  <c r="BG1735"/>
  <c r="BG1737"/>
  <c r="BG1739"/>
  <c r="BG1741"/>
  <c r="BG1743"/>
  <c r="BG1745"/>
  <c r="BG1747"/>
  <c r="BG1749"/>
  <c r="BG1751"/>
  <c r="BG1753"/>
  <c r="BG1755"/>
  <c r="BG1757"/>
  <c r="BG1759"/>
  <c r="BG1761"/>
  <c r="BF1725"/>
  <c r="BF1727"/>
  <c r="BF1729"/>
  <c r="BF1731"/>
  <c r="BF1733"/>
  <c r="BF1735"/>
  <c r="BF1737"/>
  <c r="BF1739"/>
  <c r="BF1741"/>
  <c r="BF1743"/>
  <c r="BF1745"/>
  <c r="BF1747"/>
  <c r="BF1749"/>
  <c r="BF1751"/>
  <c r="BF1753"/>
  <c r="BF1755"/>
  <c r="BF1757"/>
  <c r="BF1759"/>
  <c r="BF1761"/>
  <c r="BE1725"/>
  <c r="BE1727"/>
  <c r="BE1729"/>
  <c r="BE1731"/>
  <c r="BE1733"/>
  <c r="BE1735"/>
  <c r="BE1737"/>
  <c r="BE1739"/>
  <c r="BE1741"/>
  <c r="BE1743"/>
  <c r="BE1745"/>
  <c r="BE1747"/>
  <c r="BE1749"/>
  <c r="BE1751"/>
  <c r="BE1753"/>
  <c r="BE1755"/>
  <c r="BE1757"/>
  <c r="BE1759"/>
  <c r="BE1761"/>
  <c r="BD1725"/>
  <c r="BD1727"/>
  <c r="BD1729"/>
  <c r="BD1731"/>
  <c r="BD1733"/>
  <c r="BD1735"/>
  <c r="BD1737"/>
  <c r="BD1739"/>
  <c r="BD1741"/>
  <c r="BD1743"/>
  <c r="BD1745"/>
  <c r="BD1747"/>
  <c r="BD1749"/>
  <c r="BD1751"/>
  <c r="BD1753"/>
  <c r="BD1755"/>
  <c r="BD1757"/>
  <c r="BD1759"/>
  <c r="BD1761"/>
  <c r="BC1725"/>
  <c r="BC1727"/>
  <c r="BC1729"/>
  <c r="BC1731"/>
  <c r="BC1733"/>
  <c r="BC1735"/>
  <c r="BC1737"/>
  <c r="BC1739"/>
  <c r="BC1741"/>
  <c r="BC1743"/>
  <c r="BC1745"/>
  <c r="BC1747"/>
  <c r="BC1749"/>
  <c r="BC1751"/>
  <c r="BC1753"/>
  <c r="BC1755"/>
  <c r="BC1757"/>
  <c r="BC1759"/>
  <c r="BC1761"/>
  <c r="AR1725"/>
  <c r="AR1727"/>
  <c r="AR1729"/>
  <c r="AR1731"/>
  <c r="AR1733"/>
  <c r="AR1735"/>
  <c r="AR1737"/>
  <c r="AR1739"/>
  <c r="AR1741"/>
  <c r="AR1743"/>
  <c r="AR1745"/>
  <c r="AR1747"/>
  <c r="AR1749"/>
  <c r="AR1751"/>
  <c r="AR1753"/>
  <c r="AR1755"/>
  <c r="AR1757"/>
  <c r="AR1759"/>
  <c r="AR1761"/>
  <c r="AQ1725"/>
  <c r="AQ1727"/>
  <c r="AQ1729"/>
  <c r="AQ1731"/>
  <c r="AQ1733"/>
  <c r="AQ1735"/>
  <c r="AQ1737"/>
  <c r="AQ1739"/>
  <c r="AQ1741"/>
  <c r="AQ1743"/>
  <c r="AQ1745"/>
  <c r="AQ1747"/>
  <c r="AQ1749"/>
  <c r="AQ1751"/>
  <c r="AQ1753"/>
  <c r="AQ1755"/>
  <c r="AQ1757"/>
  <c r="AQ1759"/>
  <c r="AQ1761"/>
  <c r="AP1725"/>
  <c r="AP1727"/>
  <c r="AP1729"/>
  <c r="AP1731"/>
  <c r="AP1733"/>
  <c r="AP1735"/>
  <c r="AP1737"/>
  <c r="AP1739"/>
  <c r="AP1741"/>
  <c r="AP1743"/>
  <c r="AP1745"/>
  <c r="AP1747"/>
  <c r="AP1749"/>
  <c r="AP1751"/>
  <c r="AP1753"/>
  <c r="AP1755"/>
  <c r="AP1757"/>
  <c r="AP1759"/>
  <c r="AP1761"/>
  <c r="AO1725"/>
  <c r="AO1727"/>
  <c r="AO1729"/>
  <c r="AO1731"/>
  <c r="AO1733"/>
  <c r="AO1735"/>
  <c r="AO1737"/>
  <c r="AO1739"/>
  <c r="AO1741"/>
  <c r="AO1743"/>
  <c r="AO1745"/>
  <c r="AO1747"/>
  <c r="AO1749"/>
  <c r="AO1751"/>
  <c r="AO1753"/>
  <c r="AO1755"/>
  <c r="AO1757"/>
  <c r="AO1759"/>
  <c r="AO1761"/>
  <c r="AN1725"/>
  <c r="AN1727"/>
  <c r="AN1729"/>
  <c r="AN1731"/>
  <c r="AN1733"/>
  <c r="AN1735"/>
  <c r="AN1737"/>
  <c r="AN1739"/>
  <c r="AN1741"/>
  <c r="AN1743"/>
  <c r="AN1745"/>
  <c r="AN1747"/>
  <c r="AN1749"/>
  <c r="AN1751"/>
  <c r="AN1753"/>
  <c r="AN1755"/>
  <c r="AN1757"/>
  <c r="AN1759"/>
  <c r="AN1761"/>
  <c r="AH1725"/>
  <c r="AH1727"/>
  <c r="AH1729"/>
  <c r="AH1731"/>
  <c r="AH1733"/>
  <c r="AH1735"/>
  <c r="AH1737"/>
  <c r="AH1739"/>
  <c r="AH1741"/>
  <c r="AH1743"/>
  <c r="AH1745"/>
  <c r="AH1747"/>
  <c r="AH1749"/>
  <c r="AH1751"/>
  <c r="AH1753"/>
  <c r="AH1755"/>
  <c r="AH1757"/>
  <c r="AH1759"/>
  <c r="AH1761"/>
  <c r="AG1725"/>
  <c r="AG1727"/>
  <c r="AG1729"/>
  <c r="AG1731"/>
  <c r="AG1733"/>
  <c r="AG1735"/>
  <c r="AG1737"/>
  <c r="AG1739"/>
  <c r="AG1741"/>
  <c r="AG1743"/>
  <c r="AG1745"/>
  <c r="AG1747"/>
  <c r="AG1749"/>
  <c r="AG1751"/>
  <c r="AG1753"/>
  <c r="AG1755"/>
  <c r="AG1757"/>
  <c r="AG1759"/>
  <c r="AG1761"/>
  <c r="AF1725"/>
  <c r="AF1727"/>
  <c r="AF1729"/>
  <c r="AF1731"/>
  <c r="AF1733"/>
  <c r="AF1735"/>
  <c r="AF1737"/>
  <c r="AF1739"/>
  <c r="AF1741"/>
  <c r="AF1743"/>
  <c r="AF1745"/>
  <c r="AF1747"/>
  <c r="AF1749"/>
  <c r="AF1751"/>
  <c r="AF1753"/>
  <c r="AF1755"/>
  <c r="AF1757"/>
  <c r="AF1759"/>
  <c r="AF1761"/>
  <c r="AE1725"/>
  <c r="AE1727"/>
  <c r="AE1729"/>
  <c r="AE1731"/>
  <c r="AE1733"/>
  <c r="AE1735"/>
  <c r="AE1737"/>
  <c r="AE1739"/>
  <c r="AE1741"/>
  <c r="AE1743"/>
  <c r="AE1745"/>
  <c r="AE1747"/>
  <c r="AE1749"/>
  <c r="AE1751"/>
  <c r="AE1753"/>
  <c r="AE1755"/>
  <c r="AE1757"/>
  <c r="AE1759"/>
  <c r="AE1761"/>
  <c r="AD1725"/>
  <c r="AD1727"/>
  <c r="AD1729"/>
  <c r="AD1731"/>
  <c r="AD1733"/>
  <c r="AD1735"/>
  <c r="AD1737"/>
  <c r="AD1739"/>
  <c r="AD1741"/>
  <c r="AD1743"/>
  <c r="AD1745"/>
  <c r="AD1747"/>
  <c r="AD1749"/>
  <c r="AD1751"/>
  <c r="AD1753"/>
  <c r="AD1755"/>
  <c r="AD1757"/>
  <c r="AD1759"/>
  <c r="AD1761"/>
  <c r="F1763"/>
  <c r="A1725"/>
  <c r="A1728"/>
  <c r="A1730"/>
  <c r="A1732"/>
  <c r="A1734"/>
  <c r="A1736"/>
  <c r="A1738"/>
  <c r="A1740"/>
  <c r="A1742"/>
  <c r="A1744"/>
  <c r="A1746"/>
  <c r="A1748"/>
  <c r="A1750"/>
  <c r="A1752"/>
  <c r="A1754"/>
  <c r="A1761"/>
  <c r="A1759"/>
  <c r="A1757"/>
  <c r="A1755"/>
  <c r="A1716"/>
  <c r="M1703"/>
  <c r="K1703"/>
  <c r="I1703"/>
  <c r="L1689"/>
  <c r="J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D468"/>
  <c r="B468"/>
  <c r="D467"/>
  <c r="C467"/>
  <c r="D466"/>
  <c r="B466"/>
  <c r="D465"/>
  <c r="C465"/>
  <c r="D464"/>
  <c r="B464"/>
  <c r="D463"/>
  <c r="C463"/>
  <c r="D462"/>
  <c r="B462"/>
  <c r="D461"/>
  <c r="C461"/>
  <c r="D460"/>
  <c r="B460"/>
  <c r="D459"/>
  <c r="C459"/>
  <c r="D458"/>
  <c r="B458"/>
  <c r="D457"/>
  <c r="C457"/>
  <c r="D456"/>
  <c r="B456"/>
  <c r="D455"/>
  <c r="C455"/>
  <c r="D454"/>
  <c r="B454"/>
  <c r="D453"/>
  <c r="C453"/>
  <c r="D452"/>
  <c r="B452"/>
  <c r="D451"/>
  <c r="C451"/>
  <c r="D450"/>
  <c r="B450"/>
  <c r="D449"/>
  <c r="C449"/>
  <c r="D448"/>
  <c r="B448"/>
  <c r="D447"/>
  <c r="C447"/>
  <c r="D446"/>
  <c r="B446"/>
  <c r="D445"/>
  <c r="C445"/>
  <c r="D444"/>
  <c r="B444"/>
  <c r="D443"/>
  <c r="C443"/>
  <c r="D442"/>
  <c r="B442"/>
  <c r="D441"/>
  <c r="C441"/>
  <c r="D440"/>
  <c r="B440"/>
  <c r="D439"/>
  <c r="C439"/>
  <c r="D438"/>
  <c r="B438"/>
  <c r="D437"/>
  <c r="C437"/>
  <c r="D436"/>
  <c r="B436"/>
  <c r="D435"/>
  <c r="C435"/>
  <c r="D434"/>
  <c r="B434"/>
  <c r="D433"/>
  <c r="C433"/>
  <c r="D432"/>
  <c r="B432"/>
  <c r="D431"/>
  <c r="C431"/>
  <c r="D430"/>
  <c r="B430"/>
  <c r="D418"/>
  <c r="D424" s="1"/>
  <c r="D425" s="1"/>
  <c r="M17" i="15"/>
  <c r="B387" i="35"/>
  <c r="B386"/>
  <c r="B385"/>
  <c r="L378"/>
  <c r="A205"/>
  <c r="I183"/>
  <c r="L53"/>
  <c r="J36"/>
  <c r="J35"/>
  <c r="A30"/>
  <c r="A2"/>
  <c r="M85" i="11"/>
  <c r="M84"/>
  <c r="A105"/>
  <c r="A2597" i="35" s="1"/>
  <c r="O93" i="11"/>
  <c r="O2585" i="35" s="1"/>
  <c r="A179" i="11"/>
  <c r="A178"/>
  <c r="P40"/>
  <c r="O40"/>
  <c r="O82"/>
  <c r="O2574" i="35" s="1"/>
  <c r="R2574" s="1"/>
  <c r="O8" i="11"/>
  <c r="O55"/>
  <c r="O139"/>
  <c r="O132" s="1"/>
  <c r="O294" s="1"/>
  <c r="O6" s="1"/>
  <c r="O166"/>
  <c r="O180"/>
  <c r="O2672" i="35"/>
  <c r="O2667" s="1"/>
  <c r="O175" i="11"/>
  <c r="O191"/>
  <c r="O199"/>
  <c r="O235"/>
  <c r="O227"/>
  <c r="O270"/>
  <c r="O279"/>
  <c r="G109" i="15"/>
  <c r="D37" i="3" s="1"/>
  <c r="D390" i="35" s="1"/>
  <c r="J25" i="7"/>
  <c r="A1" i="34" s="1"/>
  <c r="I17" i="29"/>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P48" s="1"/>
  <c r="AO10"/>
  <c r="AN10"/>
  <c r="F107" i="15"/>
  <c r="F106"/>
  <c r="B39"/>
  <c r="F42" s="1"/>
  <c r="J158"/>
  <c r="E34"/>
  <c r="F34" s="1"/>
  <c r="E35"/>
  <c r="F35" s="1"/>
  <c r="S36"/>
  <c r="S17"/>
  <c r="S23"/>
  <c r="S27"/>
  <c r="S32"/>
  <c r="S56"/>
  <c r="S68"/>
  <c r="S74"/>
  <c r="S83"/>
  <c r="S98"/>
  <c r="S104"/>
  <c r="S109"/>
  <c r="S117"/>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294" s="1"/>
  <c r="P6" s="1"/>
  <c r="P166"/>
  <c r="P191"/>
  <c r="P199"/>
  <c r="P235"/>
  <c r="P227"/>
  <c r="P270"/>
  <c r="P279"/>
  <c r="L279"/>
  <c r="A2" i="38"/>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s="1"/>
  <c r="P12" i="36"/>
  <c r="P13"/>
  <c r="P1728" i="35" s="1"/>
  <c r="P14" i="36"/>
  <c r="P1729" i="35"/>
  <c r="P10" i="36"/>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C32" i="8"/>
  <c r="C1920" i="35" s="1"/>
  <c r="D32" i="8"/>
  <c r="D1920" i="35" s="1"/>
  <c r="E32" i="8"/>
  <c r="E1920" i="35" s="1"/>
  <c r="F32" i="8"/>
  <c r="F1920" i="35" s="1"/>
  <c r="G32" i="8"/>
  <c r="G1920" i="35" s="1"/>
  <c r="H32" i="8"/>
  <c r="H1920" i="35" s="1"/>
  <c r="I32" i="8"/>
  <c r="I1920" i="35" s="1"/>
  <c r="J32" i="8"/>
  <c r="J1920" i="35" s="1"/>
  <c r="K32" i="8"/>
  <c r="K1920" i="35" s="1"/>
  <c r="B67" i="8"/>
  <c r="B1955" i="35" s="1"/>
  <c r="C67" i="8"/>
  <c r="C1955" i="35" s="1"/>
  <c r="D67" i="8"/>
  <c r="D1955" i="35" s="1"/>
  <c r="E67" i="8"/>
  <c r="E1955" i="35" s="1"/>
  <c r="F67" i="8"/>
  <c r="F1955" i="35" s="1"/>
  <c r="G67" i="8"/>
  <c r="G1955" i="35" s="1"/>
  <c r="H67" i="8"/>
  <c r="H1955" i="35" s="1"/>
  <c r="I67" i="8"/>
  <c r="I1955" i="35" s="1"/>
  <c r="J67" i="8"/>
  <c r="J1955" i="35" s="1"/>
  <c r="K67" i="8"/>
  <c r="K1955" i="35" s="1"/>
  <c r="B102" i="8"/>
  <c r="B1990" i="35" s="1"/>
  <c r="C102" i="8"/>
  <c r="C1990" i="35" s="1"/>
  <c r="D102" i="8"/>
  <c r="D1990" i="35" s="1"/>
  <c r="E102" i="8"/>
  <c r="E1990" i="35" s="1"/>
  <c r="F102" i="8"/>
  <c r="F1990" i="35" s="1"/>
  <c r="G102" i="8"/>
  <c r="G1990" i="35" s="1"/>
  <c r="H102" i="8"/>
  <c r="H1990" i="35" s="1"/>
  <c r="I102" i="8"/>
  <c r="I1990" i="35" s="1"/>
  <c r="J102" i="8"/>
  <c r="J1990" i="35" s="1"/>
  <c r="K102" i="8"/>
  <c r="K1990" i="35" s="1"/>
  <c r="B137" i="8"/>
  <c r="B2025" i="35" s="1"/>
  <c r="C137" i="8"/>
  <c r="C2025" i="35" s="1"/>
  <c r="D137" i="8"/>
  <c r="D2025" i="35" s="1"/>
  <c r="E137" i="8"/>
  <c r="E2025" i="35" s="1"/>
  <c r="F137" i="8"/>
  <c r="F2025" i="35" s="1"/>
  <c r="M37" i="3"/>
  <c r="M390" i="35" s="1"/>
  <c r="C136" i="8"/>
  <c r="C2024" i="35" s="1"/>
  <c r="B30" i="8"/>
  <c r="B1918" i="35" s="1"/>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M387" i="35" s="1"/>
  <c r="M386"/>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J66" i="8"/>
  <c r="J1954" i="35" s="1"/>
  <c r="I66" i="8"/>
  <c r="I1954" i="35" s="1"/>
  <c r="H66" i="8"/>
  <c r="H1954" i="35" s="1"/>
  <c r="G66" i="8"/>
  <c r="G1954" i="35" s="1"/>
  <c r="F66" i="8"/>
  <c r="F1954" i="35" s="1"/>
  <c r="E66" i="8"/>
  <c r="E1954" i="35" s="1"/>
  <c r="D66" i="8"/>
  <c r="D1954" i="35" s="1"/>
  <c r="C66" i="8"/>
  <c r="C1954" i="35" s="1"/>
  <c r="B66" i="8"/>
  <c r="B1954" i="35" s="1"/>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J60" i="8"/>
  <c r="C27"/>
  <c r="C1915" i="35" s="1"/>
  <c r="D27" i="8"/>
  <c r="D1915" i="35" s="1"/>
  <c r="E27" i="8"/>
  <c r="E1915" i="35" s="1"/>
  <c r="F27" i="8"/>
  <c r="F1915" i="35" s="1"/>
  <c r="G27" i="8"/>
  <c r="G1915" i="35" s="1"/>
  <c r="H27" i="8"/>
  <c r="H1915" i="35" s="1"/>
  <c r="I27" i="8"/>
  <c r="I1915" i="35" s="1"/>
  <c r="J27" i="8"/>
  <c r="J1915" i="35" s="1"/>
  <c r="K27" i="8"/>
  <c r="K1915" i="35" s="1"/>
  <c r="C28" i="8"/>
  <c r="C1916" i="35" s="1"/>
  <c r="D28" i="8"/>
  <c r="D1916" i="35" s="1"/>
  <c r="E28" i="8"/>
  <c r="E1916" i="35" s="1"/>
  <c r="F28" i="8"/>
  <c r="F1916" i="35" s="1"/>
  <c r="G28" i="8"/>
  <c r="G1916" i="35" s="1"/>
  <c r="H28" i="8"/>
  <c r="H1916" i="35" s="1"/>
  <c r="I28" i="8"/>
  <c r="I1916" i="35" s="1"/>
  <c r="J28" i="8"/>
  <c r="J1916" i="35" s="1"/>
  <c r="K28" i="8"/>
  <c r="K1916" i="35" s="1"/>
  <c r="C31" i="8"/>
  <c r="C1919" i="35" s="1"/>
  <c r="D31" i="8"/>
  <c r="D1919" i="35" s="1"/>
  <c r="E31" i="8"/>
  <c r="E1919" i="35" s="1"/>
  <c r="F31" i="8"/>
  <c r="F1919" i="35" s="1"/>
  <c r="G31" i="8"/>
  <c r="G1919" i="35" s="1"/>
  <c r="H31" i="8"/>
  <c r="H1919" i="35" s="1"/>
  <c r="I31" i="8"/>
  <c r="I1919" i="35" s="1"/>
  <c r="J31" i="8"/>
  <c r="J1919" i="35" s="1"/>
  <c r="K31" i="8"/>
  <c r="K1919" i="35" s="1"/>
  <c r="B27" i="8"/>
  <c r="B1915" i="35" s="1"/>
  <c r="B28" i="8"/>
  <c r="B1916" i="35" s="1"/>
  <c r="B1919"/>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B129"/>
  <c r="C129"/>
  <c r="D129"/>
  <c r="E129"/>
  <c r="F129"/>
  <c r="F140" s="1"/>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L25" i="3"/>
  <c r="I154" i="7"/>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G48"/>
  <c r="GF48"/>
  <c r="GE48"/>
  <c r="GD48"/>
  <c r="GB10"/>
  <c r="GA10"/>
  <c r="FZ10"/>
  <c r="FY10"/>
  <c r="FW10"/>
  <c r="FV10"/>
  <c r="FU10"/>
  <c r="FT10"/>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AC60" s="1"/>
  <c r="AK48"/>
  <c r="AA60" s="1"/>
  <c r="AI48"/>
  <c r="Y60" s="1"/>
  <c r="X48"/>
  <c r="AC57" s="1"/>
  <c r="W48"/>
  <c r="AB57" s="1"/>
  <c r="V48"/>
  <c r="AA57" s="1"/>
  <c r="U48"/>
  <c r="Z57" s="1"/>
  <c r="T48"/>
  <c r="Y57" s="1"/>
  <c r="M123" i="15"/>
  <c r="M140"/>
  <c r="M142"/>
  <c r="M144"/>
  <c r="O38" i="11"/>
  <c r="O2532" i="35"/>
  <c r="P38" i="11"/>
  <c r="P2532" i="35"/>
  <c r="P2530"/>
  <c r="O2530"/>
  <c r="J1528" l="1"/>
  <c r="U1593"/>
  <c r="C30" i="8"/>
  <c r="C1918" i="35" s="1"/>
  <c r="H88"/>
  <c r="M385"/>
  <c r="E1529"/>
  <c r="A1551"/>
  <c r="U1512"/>
  <c r="P1513"/>
  <c r="S1513"/>
  <c r="S1523"/>
  <c r="G1528"/>
  <c r="M1528"/>
  <c r="P1528"/>
  <c r="S1532"/>
  <c r="G1570"/>
  <c r="M1552"/>
  <c r="P1552"/>
  <c r="J1564"/>
  <c r="S1564"/>
  <c r="M1570"/>
  <c r="P1570"/>
  <c r="U1578"/>
  <c r="S1579"/>
  <c r="S1600"/>
  <c r="M1605"/>
  <c r="P1605"/>
  <c r="A1612"/>
  <c r="S1613"/>
  <c r="M1617"/>
  <c r="P1617"/>
  <c r="U1511"/>
  <c r="U1592"/>
  <c r="U1616"/>
  <c r="M1689"/>
  <c r="K1689"/>
  <c r="I1689"/>
  <c r="J1703"/>
  <c r="L1703"/>
  <c r="E1763"/>
  <c r="K1725"/>
  <c r="K1762"/>
  <c r="L1762" s="1"/>
  <c r="A1762"/>
  <c r="BM1761"/>
  <c r="K1761"/>
  <c r="L1761" s="1"/>
  <c r="K1760"/>
  <c r="L1760" s="1"/>
  <c r="A1760"/>
  <c r="BH1759"/>
  <c r="K1759"/>
  <c r="L1759" s="1"/>
  <c r="K1758"/>
  <c r="L1758" s="1"/>
  <c r="A1758"/>
  <c r="BM1757"/>
  <c r="K1757"/>
  <c r="L1757" s="1"/>
  <c r="K1756"/>
  <c r="L1756" s="1"/>
  <c r="A1756"/>
  <c r="BH1755"/>
  <c r="K1755"/>
  <c r="L1755" s="1"/>
  <c r="K1754"/>
  <c r="L1754" s="1"/>
  <c r="BM1753"/>
  <c r="K1752"/>
  <c r="L1752" s="1"/>
  <c r="BH1751"/>
  <c r="K1751"/>
  <c r="L1751" s="1"/>
  <c r="K1750"/>
  <c r="L1750" s="1"/>
  <c r="BM1749"/>
  <c r="K1749"/>
  <c r="L1749" s="1"/>
  <c r="K1748"/>
  <c r="L1748" s="1"/>
  <c r="BH1747"/>
  <c r="K1747"/>
  <c r="L1747" s="1"/>
  <c r="K1746"/>
  <c r="L1746" s="1"/>
  <c r="BM1745"/>
  <c r="K1745"/>
  <c r="L1745" s="1"/>
  <c r="K1744"/>
  <c r="L1744" s="1"/>
  <c r="BH1743"/>
  <c r="K1743"/>
  <c r="L1743" s="1"/>
  <c r="K1742"/>
  <c r="L1742" s="1"/>
  <c r="BM1741"/>
  <c r="K1741"/>
  <c r="L1741" s="1"/>
  <c r="K1740"/>
  <c r="L1740" s="1"/>
  <c r="BH1739"/>
  <c r="K1739"/>
  <c r="L1739" s="1"/>
  <c r="K1738"/>
  <c r="L1738" s="1"/>
  <c r="BM1737"/>
  <c r="K1736"/>
  <c r="L1736" s="1"/>
  <c r="BH1735"/>
  <c r="K1735"/>
  <c r="L1735" s="1"/>
  <c r="K1734"/>
  <c r="L1734" s="1"/>
  <c r="BM1733"/>
  <c r="K1733"/>
  <c r="L1733" s="1"/>
  <c r="K1732"/>
  <c r="L1732" s="1"/>
  <c r="BH1731"/>
  <c r="K1731"/>
  <c r="L1731" s="1"/>
  <c r="K1730"/>
  <c r="L1730" s="1"/>
  <c r="BM1729"/>
  <c r="K1729"/>
  <c r="L1729" s="1"/>
  <c r="K1728"/>
  <c r="L1728" s="1"/>
  <c r="BH1727"/>
  <c r="K1727"/>
  <c r="L1727" s="1"/>
  <c r="K1726"/>
  <c r="L1726" s="1"/>
  <c r="A1726"/>
  <c r="M1798"/>
  <c r="G1824"/>
  <c r="O1824"/>
  <c r="M1824"/>
  <c r="K1824"/>
  <c r="I1824"/>
  <c r="P1824"/>
  <c r="N1824"/>
  <c r="L1824"/>
  <c r="H1824"/>
  <c r="F1881"/>
  <c r="K1868"/>
  <c r="P1860"/>
  <c r="B23" i="8"/>
  <c r="B34" s="1"/>
  <c r="A2051" i="35"/>
  <c r="H2051" s="1"/>
  <c r="F2509"/>
  <c r="G2502" s="1"/>
  <c r="K2509"/>
  <c r="G2503" s="1"/>
  <c r="P2509"/>
  <c r="G2504" s="1"/>
  <c r="P2547"/>
  <c r="L2699"/>
  <c r="A1510"/>
  <c r="U1510"/>
  <c r="U1563"/>
  <c r="A1563"/>
  <c r="F1604"/>
  <c r="G1605"/>
  <c r="C1605" s="1"/>
  <c r="BR1725"/>
  <c r="FE1725"/>
  <c r="FG1725"/>
  <c r="FI1725"/>
  <c r="FK1725"/>
  <c r="FM1725"/>
  <c r="FO1725"/>
  <c r="FQ1725"/>
  <c r="EY1725"/>
  <c r="FA1725"/>
  <c r="FC1725"/>
  <c r="EU1725"/>
  <c r="EW1725"/>
  <c r="EE1725"/>
  <c r="EJ1725"/>
  <c r="EO1725"/>
  <c r="EF1725"/>
  <c r="EK1725"/>
  <c r="EP1725"/>
  <c r="EG1725"/>
  <c r="EL1725"/>
  <c r="EQ1725"/>
  <c r="EH1725"/>
  <c r="EM1725"/>
  <c r="ER1725"/>
  <c r="FF1725"/>
  <c r="FJ1725"/>
  <c r="FN1725"/>
  <c r="FR1725"/>
  <c r="FB1725"/>
  <c r="EV1725"/>
  <c r="GK1725"/>
  <c r="GI1725"/>
  <c r="Y1762"/>
  <c r="U1762"/>
  <c r="AJ1762"/>
  <c r="V1762"/>
  <c r="AA1762"/>
  <c r="W1762"/>
  <c r="AB1762"/>
  <c r="AI1762"/>
  <c r="BR1762"/>
  <c r="BS1762"/>
  <c r="AK1762"/>
  <c r="AL1762"/>
  <c r="BU1762"/>
  <c r="AM1762"/>
  <c r="BV1762"/>
  <c r="CL1762"/>
  <c r="CV1762"/>
  <c r="CM1762"/>
  <c r="CW1762"/>
  <c r="CN1762"/>
  <c r="CX1762"/>
  <c r="CO1762"/>
  <c r="BT1762"/>
  <c r="X1762"/>
  <c r="AC1762"/>
  <c r="BW1762"/>
  <c r="CB1762"/>
  <c r="BY1762"/>
  <c r="CD1762"/>
  <c r="CY1762"/>
  <c r="CP1762"/>
  <c r="CZ1762"/>
  <c r="FE1762"/>
  <c r="FG1762"/>
  <c r="FI1762"/>
  <c r="FK1762"/>
  <c r="FM1762"/>
  <c r="FO1762"/>
  <c r="FQ1762"/>
  <c r="EY1762"/>
  <c r="FA1762"/>
  <c r="FC1762"/>
  <c r="EU1762"/>
  <c r="EW1762"/>
  <c r="T1762"/>
  <c r="Z1762"/>
  <c r="BX1762"/>
  <c r="BZ1762"/>
  <c r="CA1762"/>
  <c r="CF1762"/>
  <c r="FF1762"/>
  <c r="FJ1762"/>
  <c r="FN1762"/>
  <c r="FR1762"/>
  <c r="FB1762"/>
  <c r="EV1762"/>
  <c r="EJ1762"/>
  <c r="EF1762"/>
  <c r="EP1762"/>
  <c r="EL1762"/>
  <c r="EH1762"/>
  <c r="ER1762"/>
  <c r="EI1762"/>
  <c r="EN1762"/>
  <c r="ES1762"/>
  <c r="DP1762"/>
  <c r="DU1762"/>
  <c r="DZ1762"/>
  <c r="DQ1762"/>
  <c r="DV1762"/>
  <c r="EA1762"/>
  <c r="DR1762"/>
  <c r="DW1762"/>
  <c r="EB1762"/>
  <c r="DS1762"/>
  <c r="DX1762"/>
  <c r="EC1762"/>
  <c r="DT1762"/>
  <c r="DY1762"/>
  <c r="ED1762"/>
  <c r="DA1762"/>
  <c r="DF1762"/>
  <c r="DK1762"/>
  <c r="DB1762"/>
  <c r="DG1762"/>
  <c r="DL1762"/>
  <c r="DC1762"/>
  <c r="DH1762"/>
  <c r="DM1762"/>
  <c r="DD1762"/>
  <c r="DI1762"/>
  <c r="DN1762"/>
  <c r="DE1762"/>
  <c r="DJ1762"/>
  <c r="DO1762"/>
  <c r="BM1762"/>
  <c r="BH1762"/>
  <c r="BN1762"/>
  <c r="BI1762"/>
  <c r="BO1762"/>
  <c r="BJ1762"/>
  <c r="BP1762"/>
  <c r="BK1762"/>
  <c r="BQ1762"/>
  <c r="BL1762"/>
  <c r="AX1762"/>
  <c r="AS1762"/>
  <c r="AY1762"/>
  <c r="AT1762"/>
  <c r="AZ1762"/>
  <c r="AU1762"/>
  <c r="BA1762"/>
  <c r="AV1762"/>
  <c r="BB1762"/>
  <c r="AW1762"/>
  <c r="HK1762"/>
  <c r="HJ1762"/>
  <c r="HI1762"/>
  <c r="HH1762"/>
  <c r="HG1762"/>
  <c r="HF1762"/>
  <c r="HE1762"/>
  <c r="HD1762"/>
  <c r="HC1762"/>
  <c r="HB1762"/>
  <c r="HA1762"/>
  <c r="GZ1762"/>
  <c r="GY1762"/>
  <c r="GX1762"/>
  <c r="GW1762"/>
  <c r="GV1762"/>
  <c r="GU1762"/>
  <c r="GT1762"/>
  <c r="GS1762"/>
  <c r="GR1762"/>
  <c r="GQ1762"/>
  <c r="GP1762"/>
  <c r="GO1762"/>
  <c r="GN1762"/>
  <c r="GM1762"/>
  <c r="GK1762"/>
  <c r="GI1762"/>
  <c r="AK1761"/>
  <c r="X1761"/>
  <c r="AC1761"/>
  <c r="BW1761"/>
  <c r="CB1761"/>
  <c r="BX1761"/>
  <c r="CC1761"/>
  <c r="BY1761"/>
  <c r="CD1761"/>
  <c r="BZ1761"/>
  <c r="CE1761"/>
  <c r="AA1761"/>
  <c r="AB1761"/>
  <c r="AM1761"/>
  <c r="CL1761"/>
  <c r="CN1761"/>
  <c r="CA1761"/>
  <c r="CF1761"/>
  <c r="EE1761"/>
  <c r="EJ1761"/>
  <c r="EO1761"/>
  <c r="EF1761"/>
  <c r="EK1761"/>
  <c r="EP1761"/>
  <c r="EG1761"/>
  <c r="EL1761"/>
  <c r="EQ1761"/>
  <c r="EH1761"/>
  <c r="EM1761"/>
  <c r="W1761"/>
  <c r="AL1761"/>
  <c r="CM1761"/>
  <c r="CO1761"/>
  <c r="CP1761"/>
  <c r="T1760"/>
  <c r="AI1760"/>
  <c r="BR1760"/>
  <c r="Z1760"/>
  <c r="BS1760"/>
  <c r="AA1760"/>
  <c r="W1760"/>
  <c r="AB1760"/>
  <c r="Y1760"/>
  <c r="AJ1760"/>
  <c r="AL1760"/>
  <c r="BU1760"/>
  <c r="AM1760"/>
  <c r="BV1760"/>
  <c r="CL1760"/>
  <c r="CV1760"/>
  <c r="CM1760"/>
  <c r="CW1760"/>
  <c r="CN1760"/>
  <c r="CX1760"/>
  <c r="CO1760"/>
  <c r="U1760"/>
  <c r="BT1760"/>
  <c r="BX1760"/>
  <c r="CC1760"/>
  <c r="BZ1760"/>
  <c r="CE1760"/>
  <c r="CY1760"/>
  <c r="CP1760"/>
  <c r="CZ1760"/>
  <c r="FE1760"/>
  <c r="FG1760"/>
  <c r="FI1760"/>
  <c r="FK1760"/>
  <c r="FM1760"/>
  <c r="FO1760"/>
  <c r="FQ1760"/>
  <c r="EY1760"/>
  <c r="FA1760"/>
  <c r="FC1760"/>
  <c r="EU1760"/>
  <c r="EW1760"/>
  <c r="AK1760"/>
  <c r="X1760"/>
  <c r="BW1760"/>
  <c r="BY1760"/>
  <c r="FD1760"/>
  <c r="FH1760"/>
  <c r="FL1760"/>
  <c r="FP1760"/>
  <c r="EZ1760"/>
  <c r="ET1760"/>
  <c r="EX1760"/>
  <c r="EE1760"/>
  <c r="EO1760"/>
  <c r="EK1760"/>
  <c r="EG1760"/>
  <c r="EQ1760"/>
  <c r="EM1760"/>
  <c r="ER1760"/>
  <c r="EI1760"/>
  <c r="EN1760"/>
  <c r="ES1760"/>
  <c r="DP1760"/>
  <c r="DU1760"/>
  <c r="DZ1760"/>
  <c r="DQ1760"/>
  <c r="DV1760"/>
  <c r="EA1760"/>
  <c r="DR1760"/>
  <c r="DW1760"/>
  <c r="EB1760"/>
  <c r="DS1760"/>
  <c r="DX1760"/>
  <c r="EC1760"/>
  <c r="DT1760"/>
  <c r="DY1760"/>
  <c r="ED1760"/>
  <c r="DA1760"/>
  <c r="DF1760"/>
  <c r="DK1760"/>
  <c r="DB1760"/>
  <c r="DG1760"/>
  <c r="DL1760"/>
  <c r="DC1760"/>
  <c r="DH1760"/>
  <c r="DM1760"/>
  <c r="DD1760"/>
  <c r="DI1760"/>
  <c r="DN1760"/>
  <c r="DE1760"/>
  <c r="DJ1760"/>
  <c r="DO1760"/>
  <c r="BM1760"/>
  <c r="BH1760"/>
  <c r="BN1760"/>
  <c r="BI1760"/>
  <c r="BO1760"/>
  <c r="BJ1760"/>
  <c r="BP1760"/>
  <c r="BK1760"/>
  <c r="BQ1760"/>
  <c r="BL1760"/>
  <c r="AX1760"/>
  <c r="AS1760"/>
  <c r="AY1760"/>
  <c r="AT1760"/>
  <c r="AZ1760"/>
  <c r="AU1760"/>
  <c r="BA1760"/>
  <c r="AV1760"/>
  <c r="BB1760"/>
  <c r="AW1760"/>
  <c r="HK1760"/>
  <c r="HJ1760"/>
  <c r="HI1760"/>
  <c r="HH1760"/>
  <c r="HG1760"/>
  <c r="HF1760"/>
  <c r="HE1760"/>
  <c r="HD1760"/>
  <c r="HC1760"/>
  <c r="HB1760"/>
  <c r="HA1760"/>
  <c r="GZ1760"/>
  <c r="GY1760"/>
  <c r="GX1760"/>
  <c r="GW1760"/>
  <c r="GV1760"/>
  <c r="GU1760"/>
  <c r="GT1760"/>
  <c r="GS1760"/>
  <c r="GR1760"/>
  <c r="GQ1760"/>
  <c r="GP1760"/>
  <c r="GO1760"/>
  <c r="GN1760"/>
  <c r="GM1760"/>
  <c r="GK1760"/>
  <c r="GI1760"/>
  <c r="AK1759"/>
  <c r="AA1759"/>
  <c r="W1759"/>
  <c r="AB1759"/>
  <c r="X1759"/>
  <c r="AC1759"/>
  <c r="BW1759"/>
  <c r="CB1759"/>
  <c r="BX1759"/>
  <c r="CC1759"/>
  <c r="BY1759"/>
  <c r="CD1759"/>
  <c r="BZ1759"/>
  <c r="CE1759"/>
  <c r="AL1759"/>
  <c r="CM1759"/>
  <c r="CO1759"/>
  <c r="CA1759"/>
  <c r="CF1759"/>
  <c r="EE1759"/>
  <c r="EJ1759"/>
  <c r="EO1759"/>
  <c r="EF1759"/>
  <c r="EK1759"/>
  <c r="EP1759"/>
  <c r="EG1759"/>
  <c r="EL1759"/>
  <c r="EQ1759"/>
  <c r="EH1759"/>
  <c r="EM1759"/>
  <c r="AM1759"/>
  <c r="CL1759"/>
  <c r="CN1759"/>
  <c r="Y1758"/>
  <c r="U1758"/>
  <c r="AJ1758"/>
  <c r="V1758"/>
  <c r="AA1758"/>
  <c r="W1758"/>
  <c r="AB1758"/>
  <c r="T1758"/>
  <c r="Z1758"/>
  <c r="AK1758"/>
  <c r="AL1758"/>
  <c r="BU1758"/>
  <c r="AM1758"/>
  <c r="BV1758"/>
  <c r="CL1758"/>
  <c r="CV1758"/>
  <c r="CM1758"/>
  <c r="CW1758"/>
  <c r="CN1758"/>
  <c r="CX1758"/>
  <c r="CO1758"/>
  <c r="AI1758"/>
  <c r="BS1758"/>
  <c r="BT1758"/>
  <c r="X1758"/>
  <c r="AC1758"/>
  <c r="BW1758"/>
  <c r="CB1758"/>
  <c r="BY1758"/>
  <c r="CD1758"/>
  <c r="CY1758"/>
  <c r="CP1758"/>
  <c r="CZ1758"/>
  <c r="FE1758"/>
  <c r="FG1758"/>
  <c r="FI1758"/>
  <c r="FK1758"/>
  <c r="FM1758"/>
  <c r="FO1758"/>
  <c r="FQ1758"/>
  <c r="EY1758"/>
  <c r="FA1758"/>
  <c r="FC1758"/>
  <c r="EU1758"/>
  <c r="EW1758"/>
  <c r="CC1758"/>
  <c r="CE1758"/>
  <c r="CA1758"/>
  <c r="CF1758"/>
  <c r="FF1758"/>
  <c r="FJ1758"/>
  <c r="FN1758"/>
  <c r="FR1758"/>
  <c r="FB1758"/>
  <c r="EV1758"/>
  <c r="EJ1758"/>
  <c r="EF1758"/>
  <c r="EP1758"/>
  <c r="EL1758"/>
  <c r="EH1758"/>
  <c r="ER1758"/>
  <c r="EI1758"/>
  <c r="EN1758"/>
  <c r="ES1758"/>
  <c r="DP1758"/>
  <c r="DU1758"/>
  <c r="DZ1758"/>
  <c r="DQ1758"/>
  <c r="DV1758"/>
  <c r="EA1758"/>
  <c r="DR1758"/>
  <c r="DW1758"/>
  <c r="EB1758"/>
  <c r="DS1758"/>
  <c r="DX1758"/>
  <c r="EC1758"/>
  <c r="DT1758"/>
  <c r="DY1758"/>
  <c r="ED1758"/>
  <c r="DA1758"/>
  <c r="DF1758"/>
  <c r="DK1758"/>
  <c r="DB1758"/>
  <c r="DG1758"/>
  <c r="DL1758"/>
  <c r="DC1758"/>
  <c r="DH1758"/>
  <c r="DM1758"/>
  <c r="DD1758"/>
  <c r="DI1758"/>
  <c r="DN1758"/>
  <c r="DE1758"/>
  <c r="DJ1758"/>
  <c r="DO1758"/>
  <c r="BM1758"/>
  <c r="BH1758"/>
  <c r="BN1758"/>
  <c r="BI1758"/>
  <c r="BO1758"/>
  <c r="BJ1758"/>
  <c r="BP1758"/>
  <c r="BK1758"/>
  <c r="BQ1758"/>
  <c r="BL1758"/>
  <c r="AX1758"/>
  <c r="AS1758"/>
  <c r="AY1758"/>
  <c r="AT1758"/>
  <c r="AZ1758"/>
  <c r="AU1758"/>
  <c r="BA1758"/>
  <c r="AV1758"/>
  <c r="BB1758"/>
  <c r="AW1758"/>
  <c r="HK1758"/>
  <c r="HJ1758"/>
  <c r="HI1758"/>
  <c r="HH1758"/>
  <c r="HG1758"/>
  <c r="HF1758"/>
  <c r="HE1758"/>
  <c r="HD1758"/>
  <c r="HC1758"/>
  <c r="HB1758"/>
  <c r="HA1758"/>
  <c r="GZ1758"/>
  <c r="GY1758"/>
  <c r="GX1758"/>
  <c r="GW1758"/>
  <c r="GV1758"/>
  <c r="GU1758"/>
  <c r="GT1758"/>
  <c r="GS1758"/>
  <c r="GR1758"/>
  <c r="GQ1758"/>
  <c r="GP1758"/>
  <c r="GO1758"/>
  <c r="GN1758"/>
  <c r="GM1758"/>
  <c r="GK1758"/>
  <c r="GI1758"/>
  <c r="AK1757"/>
  <c r="X1757"/>
  <c r="AC1757"/>
  <c r="BW1757"/>
  <c r="CB1757"/>
  <c r="BX1757"/>
  <c r="CC1757"/>
  <c r="BY1757"/>
  <c r="CD1757"/>
  <c r="BZ1757"/>
  <c r="CE1757"/>
  <c r="W1757"/>
  <c r="AM1757"/>
  <c r="CL1757"/>
  <c r="CN1757"/>
  <c r="CA1757"/>
  <c r="CF1757"/>
  <c r="EE1757"/>
  <c r="EJ1757"/>
  <c r="EO1757"/>
  <c r="EF1757"/>
  <c r="EK1757"/>
  <c r="EP1757"/>
  <c r="EG1757"/>
  <c r="EL1757"/>
  <c r="EQ1757"/>
  <c r="EH1757"/>
  <c r="EM1757"/>
  <c r="ER1757"/>
  <c r="AB1757"/>
  <c r="CP1757"/>
  <c r="T1756"/>
  <c r="AI1756"/>
  <c r="BR1756"/>
  <c r="Z1756"/>
  <c r="BS1756"/>
  <c r="AA1756"/>
  <c r="W1756"/>
  <c r="AB1756"/>
  <c r="U1756"/>
  <c r="V1756"/>
  <c r="AL1756"/>
  <c r="BU1756"/>
  <c r="AM1756"/>
  <c r="BV1756"/>
  <c r="CL1756"/>
  <c r="CV1756"/>
  <c r="CM1756"/>
  <c r="CW1756"/>
  <c r="CN1756"/>
  <c r="CX1756"/>
  <c r="CO1756"/>
  <c r="AK1756"/>
  <c r="BT1756"/>
  <c r="BX1756"/>
  <c r="CC1756"/>
  <c r="BZ1756"/>
  <c r="CE1756"/>
  <c r="CY1756"/>
  <c r="CP1756"/>
  <c r="CZ1756"/>
  <c r="FE1756"/>
  <c r="FG1756"/>
  <c r="FI1756"/>
  <c r="FK1756"/>
  <c r="FM1756"/>
  <c r="FO1756"/>
  <c r="FQ1756"/>
  <c r="EY1756"/>
  <c r="FA1756"/>
  <c r="FC1756"/>
  <c r="EU1756"/>
  <c r="EW1756"/>
  <c r="Y1756"/>
  <c r="AJ1756"/>
  <c r="AC1756"/>
  <c r="CB1756"/>
  <c r="CD1756"/>
  <c r="FD1756"/>
  <c r="FH1756"/>
  <c r="FL1756"/>
  <c r="FP1756"/>
  <c r="EZ1756"/>
  <c r="ET1756"/>
  <c r="EX1756"/>
  <c r="EE1756"/>
  <c r="EO1756"/>
  <c r="EK1756"/>
  <c r="EG1756"/>
  <c r="EQ1756"/>
  <c r="EM1756"/>
  <c r="EI1756"/>
  <c r="EN1756"/>
  <c r="ES1756"/>
  <c r="DP1756"/>
  <c r="DU1756"/>
  <c r="DZ1756"/>
  <c r="DQ1756"/>
  <c r="DV1756"/>
  <c r="EA1756"/>
  <c r="DR1756"/>
  <c r="DW1756"/>
  <c r="EB1756"/>
  <c r="DS1756"/>
  <c r="DX1756"/>
  <c r="EC1756"/>
  <c r="DT1756"/>
  <c r="DY1756"/>
  <c r="ED1756"/>
  <c r="DA1756"/>
  <c r="DF1756"/>
  <c r="DK1756"/>
  <c r="DB1756"/>
  <c r="DG1756"/>
  <c r="DL1756"/>
  <c r="DC1756"/>
  <c r="DH1756"/>
  <c r="DM1756"/>
  <c r="DD1756"/>
  <c r="DI1756"/>
  <c r="DN1756"/>
  <c r="DE1756"/>
  <c r="DJ1756"/>
  <c r="DO1756"/>
  <c r="BM1756"/>
  <c r="BH1756"/>
  <c r="BN1756"/>
  <c r="BI1756"/>
  <c r="BO1756"/>
  <c r="BJ1756"/>
  <c r="BP1756"/>
  <c r="BK1756"/>
  <c r="BQ1756"/>
  <c r="BL1756"/>
  <c r="AX1756"/>
  <c r="AS1756"/>
  <c r="AY1756"/>
  <c r="AT1756"/>
  <c r="AZ1756"/>
  <c r="AU1756"/>
  <c r="BA1756"/>
  <c r="AV1756"/>
  <c r="BB1756"/>
  <c r="AW1756"/>
  <c r="HK1756"/>
  <c r="HJ1756"/>
  <c r="HI1756"/>
  <c r="HH1756"/>
  <c r="HG1756"/>
  <c r="HF1756"/>
  <c r="HE1756"/>
  <c r="HD1756"/>
  <c r="HC1756"/>
  <c r="HB1756"/>
  <c r="HA1756"/>
  <c r="GZ1756"/>
  <c r="GY1756"/>
  <c r="GX1756"/>
  <c r="GW1756"/>
  <c r="GV1756"/>
  <c r="GU1756"/>
  <c r="GT1756"/>
  <c r="GS1756"/>
  <c r="GR1756"/>
  <c r="GQ1756"/>
  <c r="GP1756"/>
  <c r="GO1756"/>
  <c r="GN1756"/>
  <c r="GM1756"/>
  <c r="GK1756"/>
  <c r="GI1756"/>
  <c r="AK1755"/>
  <c r="AA1755"/>
  <c r="W1755"/>
  <c r="AB1755"/>
  <c r="X1755"/>
  <c r="AC1755"/>
  <c r="BW1755"/>
  <c r="CB1755"/>
  <c r="BX1755"/>
  <c r="CC1755"/>
  <c r="BY1755"/>
  <c r="CD1755"/>
  <c r="BZ1755"/>
  <c r="CE1755"/>
  <c r="AL1755"/>
  <c r="CM1755"/>
  <c r="CO1755"/>
  <c r="CA1755"/>
  <c r="CF1755"/>
  <c r="EE1755"/>
  <c r="EJ1755"/>
  <c r="EO1755"/>
  <c r="EF1755"/>
  <c r="EK1755"/>
  <c r="EP1755"/>
  <c r="EG1755"/>
  <c r="EL1755"/>
  <c r="EQ1755"/>
  <c r="EH1755"/>
  <c r="EM1755"/>
  <c r="ER1755"/>
  <c r="Y1754"/>
  <c r="U1754"/>
  <c r="AJ1754"/>
  <c r="V1754"/>
  <c r="AA1754"/>
  <c r="W1754"/>
  <c r="AB1754"/>
  <c r="AI1754"/>
  <c r="BR1754"/>
  <c r="BS1754"/>
  <c r="AK1754"/>
  <c r="AL1754"/>
  <c r="BU1754"/>
  <c r="AM1754"/>
  <c r="BV1754"/>
  <c r="CL1754"/>
  <c r="CV1754"/>
  <c r="CM1754"/>
  <c r="CW1754"/>
  <c r="CN1754"/>
  <c r="CX1754"/>
  <c r="CO1754"/>
  <c r="T1754"/>
  <c r="Z1754"/>
  <c r="BT1754"/>
  <c r="X1754"/>
  <c r="AC1754"/>
  <c r="BW1754"/>
  <c r="CB1754"/>
  <c r="BY1754"/>
  <c r="CD1754"/>
  <c r="CY1754"/>
  <c r="CP1754"/>
  <c r="CZ1754"/>
  <c r="FE1754"/>
  <c r="FG1754"/>
  <c r="FI1754"/>
  <c r="FK1754"/>
  <c r="FM1754"/>
  <c r="FO1754"/>
  <c r="FQ1754"/>
  <c r="EY1754"/>
  <c r="FA1754"/>
  <c r="FC1754"/>
  <c r="EU1754"/>
  <c r="EW1754"/>
  <c r="BX1754"/>
  <c r="BZ1754"/>
  <c r="CA1754"/>
  <c r="CF1754"/>
  <c r="FF1754"/>
  <c r="FJ1754"/>
  <c r="FN1754"/>
  <c r="FR1754"/>
  <c r="FB1754"/>
  <c r="EV1754"/>
  <c r="EJ1754"/>
  <c r="EF1754"/>
  <c r="EP1754"/>
  <c r="EL1754"/>
  <c r="EH1754"/>
  <c r="ER1754"/>
  <c r="EI1754"/>
  <c r="EN1754"/>
  <c r="ES1754"/>
  <c r="DP1754"/>
  <c r="DU1754"/>
  <c r="DZ1754"/>
  <c r="DQ1754"/>
  <c r="DV1754"/>
  <c r="EA1754"/>
  <c r="DR1754"/>
  <c r="DW1754"/>
  <c r="EB1754"/>
  <c r="DS1754"/>
  <c r="DX1754"/>
  <c r="EC1754"/>
  <c r="DT1754"/>
  <c r="DY1754"/>
  <c r="ED1754"/>
  <c r="DA1754"/>
  <c r="DF1754"/>
  <c r="DK1754"/>
  <c r="DB1754"/>
  <c r="DG1754"/>
  <c r="DL1754"/>
  <c r="DC1754"/>
  <c r="DH1754"/>
  <c r="DM1754"/>
  <c r="DD1754"/>
  <c r="DI1754"/>
  <c r="DN1754"/>
  <c r="DE1754"/>
  <c r="DJ1754"/>
  <c r="DO1754"/>
  <c r="BM1754"/>
  <c r="BH1754"/>
  <c r="BN1754"/>
  <c r="BI1754"/>
  <c r="BO1754"/>
  <c r="BJ1754"/>
  <c r="BP1754"/>
  <c r="BK1754"/>
  <c r="BQ1754"/>
  <c r="BL1754"/>
  <c r="AX1754"/>
  <c r="AS1754"/>
  <c r="AY1754"/>
  <c r="AT1754"/>
  <c r="AZ1754"/>
  <c r="AU1754"/>
  <c r="BA1754"/>
  <c r="AV1754"/>
  <c r="BB1754"/>
  <c r="AW1754"/>
  <c r="HK1754"/>
  <c r="HJ1754"/>
  <c r="HI1754"/>
  <c r="HH1754"/>
  <c r="HG1754"/>
  <c r="HF1754"/>
  <c r="HE1754"/>
  <c r="HD1754"/>
  <c r="HC1754"/>
  <c r="HB1754"/>
  <c r="HA1754"/>
  <c r="GZ1754"/>
  <c r="GY1754"/>
  <c r="GX1754"/>
  <c r="GW1754"/>
  <c r="GV1754"/>
  <c r="GU1754"/>
  <c r="GT1754"/>
  <c r="GS1754"/>
  <c r="GR1754"/>
  <c r="GQ1754"/>
  <c r="GP1754"/>
  <c r="GO1754"/>
  <c r="GN1754"/>
  <c r="GM1754"/>
  <c r="GK1754"/>
  <c r="GI1754"/>
  <c r="AK1753"/>
  <c r="AL1753"/>
  <c r="X1753"/>
  <c r="AC1753"/>
  <c r="BW1753"/>
  <c r="CB1753"/>
  <c r="BX1753"/>
  <c r="CC1753"/>
  <c r="BY1753"/>
  <c r="CD1753"/>
  <c r="BZ1753"/>
  <c r="CE1753"/>
  <c r="AA1753"/>
  <c r="AB1753"/>
  <c r="AM1753"/>
  <c r="CL1753"/>
  <c r="CN1753"/>
  <c r="CA1753"/>
  <c r="CF1753"/>
  <c r="EE1753"/>
  <c r="EJ1753"/>
  <c r="EO1753"/>
  <c r="EF1753"/>
  <c r="EK1753"/>
  <c r="EP1753"/>
  <c r="EG1753"/>
  <c r="EL1753"/>
  <c r="EQ1753"/>
  <c r="EH1753"/>
  <c r="EM1753"/>
  <c r="ER1753"/>
  <c r="CM1753"/>
  <c r="CO1753"/>
  <c r="CP1753"/>
  <c r="T1752"/>
  <c r="AI1752"/>
  <c r="BR1752"/>
  <c r="Z1752"/>
  <c r="BS1752"/>
  <c r="AA1752"/>
  <c r="W1752"/>
  <c r="AB1752"/>
  <c r="Y1752"/>
  <c r="AJ1752"/>
  <c r="BU1752"/>
  <c r="AM1752"/>
  <c r="BV1752"/>
  <c r="CL1752"/>
  <c r="CV1752"/>
  <c r="CM1752"/>
  <c r="CW1752"/>
  <c r="CN1752"/>
  <c r="CX1752"/>
  <c r="CO1752"/>
  <c r="V1752"/>
  <c r="BT1752"/>
  <c r="BX1752"/>
  <c r="CC1752"/>
  <c r="BZ1752"/>
  <c r="CE1752"/>
  <c r="CY1752"/>
  <c r="CP1752"/>
  <c r="CZ1752"/>
  <c r="FE1752"/>
  <c r="FG1752"/>
  <c r="FI1752"/>
  <c r="FK1752"/>
  <c r="FM1752"/>
  <c r="FO1752"/>
  <c r="FQ1752"/>
  <c r="EY1752"/>
  <c r="FA1752"/>
  <c r="FC1752"/>
  <c r="EU1752"/>
  <c r="EW1752"/>
  <c r="AL1752"/>
  <c r="X1752"/>
  <c r="BW1752"/>
  <c r="BY1752"/>
  <c r="FD1752"/>
  <c r="FH1752"/>
  <c r="FL1752"/>
  <c r="FP1752"/>
  <c r="EZ1752"/>
  <c r="ET1752"/>
  <c r="EX1752"/>
  <c r="EE1752"/>
  <c r="EO1752"/>
  <c r="EK1752"/>
  <c r="EG1752"/>
  <c r="EQ1752"/>
  <c r="EM1752"/>
  <c r="EI1752"/>
  <c r="EN1752"/>
  <c r="ES1752"/>
  <c r="DP1752"/>
  <c r="DU1752"/>
  <c r="DZ1752"/>
  <c r="DQ1752"/>
  <c r="DV1752"/>
  <c r="EA1752"/>
  <c r="DR1752"/>
  <c r="DW1752"/>
  <c r="EB1752"/>
  <c r="DS1752"/>
  <c r="DX1752"/>
  <c r="EC1752"/>
  <c r="DT1752"/>
  <c r="DY1752"/>
  <c r="ED1752"/>
  <c r="DA1752"/>
  <c r="DF1752"/>
  <c r="DK1752"/>
  <c r="DB1752"/>
  <c r="DG1752"/>
  <c r="DL1752"/>
  <c r="DC1752"/>
  <c r="DH1752"/>
  <c r="DM1752"/>
  <c r="DD1752"/>
  <c r="DI1752"/>
  <c r="DN1752"/>
  <c r="DE1752"/>
  <c r="DJ1752"/>
  <c r="DO1752"/>
  <c r="BM1752"/>
  <c r="BH1752"/>
  <c r="BN1752"/>
  <c r="BI1752"/>
  <c r="BO1752"/>
  <c r="BJ1752"/>
  <c r="BP1752"/>
  <c r="BK1752"/>
  <c r="BQ1752"/>
  <c r="BL1752"/>
  <c r="AX1752"/>
  <c r="AS1752"/>
  <c r="AY1752"/>
  <c r="AT1752"/>
  <c r="AZ1752"/>
  <c r="AU1752"/>
  <c r="BA1752"/>
  <c r="AV1752"/>
  <c r="BB1752"/>
  <c r="AW1752"/>
  <c r="HK1752"/>
  <c r="HJ1752"/>
  <c r="HI1752"/>
  <c r="HH1752"/>
  <c r="HG1752"/>
  <c r="HF1752"/>
  <c r="HE1752"/>
  <c r="HD1752"/>
  <c r="HC1752"/>
  <c r="HB1752"/>
  <c r="HA1752"/>
  <c r="GZ1752"/>
  <c r="GY1752"/>
  <c r="GX1752"/>
  <c r="GW1752"/>
  <c r="GV1752"/>
  <c r="GU1752"/>
  <c r="GT1752"/>
  <c r="GS1752"/>
  <c r="GR1752"/>
  <c r="GQ1752"/>
  <c r="GP1752"/>
  <c r="GO1752"/>
  <c r="GN1752"/>
  <c r="GM1752"/>
  <c r="GK1752"/>
  <c r="GI1752"/>
  <c r="AK1751"/>
  <c r="AL1751"/>
  <c r="AA1751"/>
  <c r="W1751"/>
  <c r="AB1751"/>
  <c r="X1751"/>
  <c r="AC1751"/>
  <c r="BW1751"/>
  <c r="CB1751"/>
  <c r="BX1751"/>
  <c r="CC1751"/>
  <c r="BY1751"/>
  <c r="CD1751"/>
  <c r="BZ1751"/>
  <c r="CE1751"/>
  <c r="CM1751"/>
  <c r="CO1751"/>
  <c r="CA1751"/>
  <c r="CF1751"/>
  <c r="EE1751"/>
  <c r="EJ1751"/>
  <c r="EO1751"/>
  <c r="EF1751"/>
  <c r="EK1751"/>
  <c r="EP1751"/>
  <c r="EG1751"/>
  <c r="EL1751"/>
  <c r="EQ1751"/>
  <c r="EH1751"/>
  <c r="EM1751"/>
  <c r="ER1751"/>
  <c r="AM1751"/>
  <c r="CL1751"/>
  <c r="CN1751"/>
  <c r="Y1750"/>
  <c r="U1750"/>
  <c r="AJ1750"/>
  <c r="V1750"/>
  <c r="AA1750"/>
  <c r="W1750"/>
  <c r="AB1750"/>
  <c r="T1750"/>
  <c r="Z1750"/>
  <c r="AK1750"/>
  <c r="AL1750"/>
  <c r="BU1750"/>
  <c r="AM1750"/>
  <c r="BV1750"/>
  <c r="CL1750"/>
  <c r="CV1750"/>
  <c r="CM1750"/>
  <c r="CW1750"/>
  <c r="CN1750"/>
  <c r="CX1750"/>
  <c r="CO1750"/>
  <c r="BR1750"/>
  <c r="BT1750"/>
  <c r="X1750"/>
  <c r="AC1750"/>
  <c r="BW1750"/>
  <c r="CB1750"/>
  <c r="BY1750"/>
  <c r="CD1750"/>
  <c r="CY1750"/>
  <c r="CP1750"/>
  <c r="CZ1750"/>
  <c r="FE1750"/>
  <c r="FG1750"/>
  <c r="FI1750"/>
  <c r="FK1750"/>
  <c r="FM1750"/>
  <c r="FO1750"/>
  <c r="FQ1750"/>
  <c r="EY1750"/>
  <c r="FA1750"/>
  <c r="FC1750"/>
  <c r="EU1750"/>
  <c r="EW1750"/>
  <c r="AI1750"/>
  <c r="BS1750"/>
  <c r="CC1750"/>
  <c r="CE1750"/>
  <c r="CA1750"/>
  <c r="CF1750"/>
  <c r="FF1750"/>
  <c r="FJ1750"/>
  <c r="FN1750"/>
  <c r="FR1750"/>
  <c r="FB1750"/>
  <c r="EV1750"/>
  <c r="EJ1750"/>
  <c r="EF1750"/>
  <c r="EP1750"/>
  <c r="EL1750"/>
  <c r="EH1750"/>
  <c r="ER1750"/>
  <c r="EI1750"/>
  <c r="EN1750"/>
  <c r="ES1750"/>
  <c r="DP1750"/>
  <c r="DU1750"/>
  <c r="DZ1750"/>
  <c r="DQ1750"/>
  <c r="DV1750"/>
  <c r="EA1750"/>
  <c r="DR1750"/>
  <c r="DW1750"/>
  <c r="EB1750"/>
  <c r="DS1750"/>
  <c r="DX1750"/>
  <c r="EC1750"/>
  <c r="DT1750"/>
  <c r="DY1750"/>
  <c r="ED1750"/>
  <c r="DA1750"/>
  <c r="DF1750"/>
  <c r="DK1750"/>
  <c r="DB1750"/>
  <c r="DG1750"/>
  <c r="DL1750"/>
  <c r="DC1750"/>
  <c r="DH1750"/>
  <c r="DM1750"/>
  <c r="DD1750"/>
  <c r="DI1750"/>
  <c r="DN1750"/>
  <c r="DE1750"/>
  <c r="DJ1750"/>
  <c r="DO1750"/>
  <c r="BM1750"/>
  <c r="BH1750"/>
  <c r="BN1750"/>
  <c r="BI1750"/>
  <c r="BO1750"/>
  <c r="BJ1750"/>
  <c r="BP1750"/>
  <c r="BK1750"/>
  <c r="BQ1750"/>
  <c r="BL1750"/>
  <c r="AX1750"/>
  <c r="AS1750"/>
  <c r="AY1750"/>
  <c r="AT1750"/>
  <c r="AZ1750"/>
  <c r="AU1750"/>
  <c r="BA1750"/>
  <c r="AV1750"/>
  <c r="BB1750"/>
  <c r="AW1750"/>
  <c r="HK1750"/>
  <c r="HJ1750"/>
  <c r="HI1750"/>
  <c r="HH1750"/>
  <c r="HG1750"/>
  <c r="HF1750"/>
  <c r="HE1750"/>
  <c r="HD1750"/>
  <c r="HC1750"/>
  <c r="HB1750"/>
  <c r="HA1750"/>
  <c r="GZ1750"/>
  <c r="GY1750"/>
  <c r="GX1750"/>
  <c r="GW1750"/>
  <c r="GV1750"/>
  <c r="GU1750"/>
  <c r="GT1750"/>
  <c r="GS1750"/>
  <c r="GR1750"/>
  <c r="GQ1750"/>
  <c r="GP1750"/>
  <c r="GO1750"/>
  <c r="GN1750"/>
  <c r="GM1750"/>
  <c r="GK1750"/>
  <c r="GI1750"/>
  <c r="AK1749"/>
  <c r="AL1749"/>
  <c r="X1749"/>
  <c r="AC1749"/>
  <c r="BW1749"/>
  <c r="CB1749"/>
  <c r="BX1749"/>
  <c r="CC1749"/>
  <c r="BY1749"/>
  <c r="CD1749"/>
  <c r="BZ1749"/>
  <c r="CE1749"/>
  <c r="W1749"/>
  <c r="AM1749"/>
  <c r="CL1749"/>
  <c r="CN1749"/>
  <c r="CA1749"/>
  <c r="CF1749"/>
  <c r="EE1749"/>
  <c r="EJ1749"/>
  <c r="EO1749"/>
  <c r="EF1749"/>
  <c r="EK1749"/>
  <c r="EP1749"/>
  <c r="EG1749"/>
  <c r="EL1749"/>
  <c r="EQ1749"/>
  <c r="EH1749"/>
  <c r="EM1749"/>
  <c r="ER1749"/>
  <c r="AA1749"/>
  <c r="CP1749"/>
  <c r="T1748"/>
  <c r="AI1748"/>
  <c r="BR1748"/>
  <c r="Z1748"/>
  <c r="BS1748"/>
  <c r="AA1748"/>
  <c r="W1748"/>
  <c r="AB1748"/>
  <c r="U1748"/>
  <c r="V1748"/>
  <c r="BU1748"/>
  <c r="AM1748"/>
  <c r="BV1748"/>
  <c r="CL1748"/>
  <c r="CV1748"/>
  <c r="CM1748"/>
  <c r="CW1748"/>
  <c r="CN1748"/>
  <c r="CX1748"/>
  <c r="CO1748"/>
  <c r="Y1748"/>
  <c r="AJ1748"/>
  <c r="AK1748"/>
  <c r="BT1748"/>
  <c r="AL1748"/>
  <c r="BX1748"/>
  <c r="CC1748"/>
  <c r="BZ1748"/>
  <c r="CE1748"/>
  <c r="CY1748"/>
  <c r="CP1748"/>
  <c r="CZ1748"/>
  <c r="FE1748"/>
  <c r="FG1748"/>
  <c r="FI1748"/>
  <c r="FK1748"/>
  <c r="FM1748"/>
  <c r="FO1748"/>
  <c r="FQ1748"/>
  <c r="EY1748"/>
  <c r="FA1748"/>
  <c r="FC1748"/>
  <c r="EU1748"/>
  <c r="EW1748"/>
  <c r="AC1748"/>
  <c r="CB1748"/>
  <c r="CD1748"/>
  <c r="FD1748"/>
  <c r="FH1748"/>
  <c r="FL1748"/>
  <c r="FP1748"/>
  <c r="EZ1748"/>
  <c r="ET1748"/>
  <c r="EX1748"/>
  <c r="EE1748"/>
  <c r="EO1748"/>
  <c r="EK1748"/>
  <c r="EG1748"/>
  <c r="EQ1748"/>
  <c r="EM1748"/>
  <c r="EI1748"/>
  <c r="EN1748"/>
  <c r="ES1748"/>
  <c r="DP1748"/>
  <c r="DU1748"/>
  <c r="DZ1748"/>
  <c r="DQ1748"/>
  <c r="DV1748"/>
  <c r="EA1748"/>
  <c r="DR1748"/>
  <c r="DW1748"/>
  <c r="EB1748"/>
  <c r="DS1748"/>
  <c r="DX1748"/>
  <c r="EC1748"/>
  <c r="DT1748"/>
  <c r="DY1748"/>
  <c r="ED1748"/>
  <c r="DA1748"/>
  <c r="DF1748"/>
  <c r="DK1748"/>
  <c r="DB1748"/>
  <c r="DG1748"/>
  <c r="DL1748"/>
  <c r="DC1748"/>
  <c r="DH1748"/>
  <c r="DM1748"/>
  <c r="DD1748"/>
  <c r="DI1748"/>
  <c r="DN1748"/>
  <c r="DE1748"/>
  <c r="DJ1748"/>
  <c r="DO1748"/>
  <c r="BM1748"/>
  <c r="BH1748"/>
  <c r="BN1748"/>
  <c r="BI1748"/>
  <c r="BO1748"/>
  <c r="BJ1748"/>
  <c r="BP1748"/>
  <c r="BK1748"/>
  <c r="BQ1748"/>
  <c r="BL1748"/>
  <c r="AX1748"/>
  <c r="AS1748"/>
  <c r="AY1748"/>
  <c r="AT1748"/>
  <c r="AZ1748"/>
  <c r="AU1748"/>
  <c r="BA1748"/>
  <c r="AV1748"/>
  <c r="BB1748"/>
  <c r="AW1748"/>
  <c r="HK1748"/>
  <c r="HJ1748"/>
  <c r="HI1748"/>
  <c r="HH1748"/>
  <c r="HG1748"/>
  <c r="HF1748"/>
  <c r="HE1748"/>
  <c r="HD1748"/>
  <c r="HC1748"/>
  <c r="HB1748"/>
  <c r="HA1748"/>
  <c r="GZ1748"/>
  <c r="GY1748"/>
  <c r="GX1748"/>
  <c r="GW1748"/>
  <c r="GV1748"/>
  <c r="GU1748"/>
  <c r="GT1748"/>
  <c r="GS1748"/>
  <c r="GR1748"/>
  <c r="GQ1748"/>
  <c r="GP1748"/>
  <c r="GO1748"/>
  <c r="GN1748"/>
  <c r="GM1748"/>
  <c r="GK1748"/>
  <c r="GI1748"/>
  <c r="AK1747"/>
  <c r="AL1747"/>
  <c r="AA1747"/>
  <c r="W1747"/>
  <c r="AB1747"/>
  <c r="X1747"/>
  <c r="AC1747"/>
  <c r="BW1747"/>
  <c r="CB1747"/>
  <c r="BX1747"/>
  <c r="CC1747"/>
  <c r="BY1747"/>
  <c r="CD1747"/>
  <c r="BZ1747"/>
  <c r="CE1747"/>
  <c r="CM1747"/>
  <c r="CO1747"/>
  <c r="CA1747"/>
  <c r="CF1747"/>
  <c r="EE1747"/>
  <c r="EJ1747"/>
  <c r="EO1747"/>
  <c r="EF1747"/>
  <c r="EK1747"/>
  <c r="EP1747"/>
  <c r="EG1747"/>
  <c r="EL1747"/>
  <c r="EQ1747"/>
  <c r="EH1747"/>
  <c r="EM1747"/>
  <c r="ER1747"/>
  <c r="Y1746"/>
  <c r="U1746"/>
  <c r="AJ1746"/>
  <c r="V1746"/>
  <c r="AA1746"/>
  <c r="W1746"/>
  <c r="AB1746"/>
  <c r="AI1746"/>
  <c r="BR1746"/>
  <c r="BS1746"/>
  <c r="AK1746"/>
  <c r="AL1746"/>
  <c r="BU1746"/>
  <c r="AM1746"/>
  <c r="BV1746"/>
  <c r="CL1746"/>
  <c r="CV1746"/>
  <c r="CM1746"/>
  <c r="CW1746"/>
  <c r="CN1746"/>
  <c r="CX1746"/>
  <c r="CO1746"/>
  <c r="BT1746"/>
  <c r="X1746"/>
  <c r="AC1746"/>
  <c r="BW1746"/>
  <c r="CB1746"/>
  <c r="BY1746"/>
  <c r="CD1746"/>
  <c r="CY1746"/>
  <c r="CP1746"/>
  <c r="CZ1746"/>
  <c r="FE1746"/>
  <c r="FG1746"/>
  <c r="FI1746"/>
  <c r="FK1746"/>
  <c r="FM1746"/>
  <c r="FO1746"/>
  <c r="FQ1746"/>
  <c r="EY1746"/>
  <c r="FA1746"/>
  <c r="FC1746"/>
  <c r="EU1746"/>
  <c r="EW1746"/>
  <c r="BX1746"/>
  <c r="BZ1746"/>
  <c r="CA1746"/>
  <c r="CF1746"/>
  <c r="FF1746"/>
  <c r="FJ1746"/>
  <c r="FN1746"/>
  <c r="FR1746"/>
  <c r="FB1746"/>
  <c r="EV1746"/>
  <c r="EJ1746"/>
  <c r="EF1746"/>
  <c r="EP1746"/>
  <c r="EL1746"/>
  <c r="EH1746"/>
  <c r="ER1746"/>
  <c r="EI1746"/>
  <c r="EN1746"/>
  <c r="ES1746"/>
  <c r="DP1746"/>
  <c r="DU1746"/>
  <c r="DZ1746"/>
  <c r="DQ1746"/>
  <c r="DV1746"/>
  <c r="EA1746"/>
  <c r="DR1746"/>
  <c r="DW1746"/>
  <c r="EB1746"/>
  <c r="DS1746"/>
  <c r="DX1746"/>
  <c r="EC1746"/>
  <c r="DT1746"/>
  <c r="DY1746"/>
  <c r="ED1746"/>
  <c r="DA1746"/>
  <c r="DF1746"/>
  <c r="DK1746"/>
  <c r="DB1746"/>
  <c r="DG1746"/>
  <c r="DL1746"/>
  <c r="DC1746"/>
  <c r="DH1746"/>
  <c r="DM1746"/>
  <c r="DD1746"/>
  <c r="DI1746"/>
  <c r="DN1746"/>
  <c r="DE1746"/>
  <c r="DJ1746"/>
  <c r="DO1746"/>
  <c r="BM1746"/>
  <c r="BH1746"/>
  <c r="BN1746"/>
  <c r="BI1746"/>
  <c r="BO1746"/>
  <c r="BJ1746"/>
  <c r="BP1746"/>
  <c r="BK1746"/>
  <c r="BQ1746"/>
  <c r="BL1746"/>
  <c r="AX1746"/>
  <c r="AS1746"/>
  <c r="AY1746"/>
  <c r="AT1746"/>
  <c r="AZ1746"/>
  <c r="AU1746"/>
  <c r="BA1746"/>
  <c r="AV1746"/>
  <c r="BB1746"/>
  <c r="AW1746"/>
  <c r="HK1746"/>
  <c r="HJ1746"/>
  <c r="HI1746"/>
  <c r="HH1746"/>
  <c r="HG1746"/>
  <c r="HF1746"/>
  <c r="HE1746"/>
  <c r="HD1746"/>
  <c r="HC1746"/>
  <c r="HB1746"/>
  <c r="HA1746"/>
  <c r="GZ1746"/>
  <c r="GY1746"/>
  <c r="GX1746"/>
  <c r="GW1746"/>
  <c r="GV1746"/>
  <c r="GU1746"/>
  <c r="GT1746"/>
  <c r="GS1746"/>
  <c r="GR1746"/>
  <c r="GQ1746"/>
  <c r="GP1746"/>
  <c r="GO1746"/>
  <c r="GN1746"/>
  <c r="GM1746"/>
  <c r="GK1746"/>
  <c r="GI1746"/>
  <c r="AK1745"/>
  <c r="AL1745"/>
  <c r="X1745"/>
  <c r="AC1745"/>
  <c r="BW1745"/>
  <c r="CB1745"/>
  <c r="BX1745"/>
  <c r="CC1745"/>
  <c r="BY1745"/>
  <c r="CD1745"/>
  <c r="BZ1745"/>
  <c r="CE1745"/>
  <c r="AA1745"/>
  <c r="AB1745"/>
  <c r="AM1745"/>
  <c r="CL1745"/>
  <c r="CN1745"/>
  <c r="CA1745"/>
  <c r="CF1745"/>
  <c r="EE1745"/>
  <c r="EJ1745"/>
  <c r="EO1745"/>
  <c r="EF1745"/>
  <c r="EK1745"/>
  <c r="EP1745"/>
  <c r="EG1745"/>
  <c r="EL1745"/>
  <c r="EQ1745"/>
  <c r="EH1745"/>
  <c r="EM1745"/>
  <c r="ER1745"/>
  <c r="W1745"/>
  <c r="CM1745"/>
  <c r="CO1745"/>
  <c r="CP1745"/>
  <c r="T1744"/>
  <c r="AI1744"/>
  <c r="BR1744"/>
  <c r="Z1744"/>
  <c r="BS1744"/>
  <c r="AA1744"/>
  <c r="W1744"/>
  <c r="AB1744"/>
  <c r="Y1744"/>
  <c r="AJ1744"/>
  <c r="BU1744"/>
  <c r="AM1744"/>
  <c r="BV1744"/>
  <c r="CL1744"/>
  <c r="CV1744"/>
  <c r="CM1744"/>
  <c r="CW1744"/>
  <c r="CN1744"/>
  <c r="CX1744"/>
  <c r="CO1744"/>
  <c r="U1744"/>
  <c r="BT1744"/>
  <c r="BX1744"/>
  <c r="CC1744"/>
  <c r="BZ1744"/>
  <c r="CE1744"/>
  <c r="CY1744"/>
  <c r="CP1744"/>
  <c r="CZ1744"/>
  <c r="FE1744"/>
  <c r="FG1744"/>
  <c r="FI1744"/>
  <c r="FK1744"/>
  <c r="FM1744"/>
  <c r="FO1744"/>
  <c r="FQ1744"/>
  <c r="EY1744"/>
  <c r="FA1744"/>
  <c r="FC1744"/>
  <c r="EU1744"/>
  <c r="EW1744"/>
  <c r="V1744"/>
  <c r="AK1744"/>
  <c r="X1744"/>
  <c r="BW1744"/>
  <c r="BY1744"/>
  <c r="FD1744"/>
  <c r="FH1744"/>
  <c r="FL1744"/>
  <c r="FP1744"/>
  <c r="EZ1744"/>
  <c r="ET1744"/>
  <c r="EX1744"/>
  <c r="EE1744"/>
  <c r="EO1744"/>
  <c r="EK1744"/>
  <c r="EG1744"/>
  <c r="EQ1744"/>
  <c r="EM1744"/>
  <c r="EI1744"/>
  <c r="EN1744"/>
  <c r="ES1744"/>
  <c r="DP1744"/>
  <c r="DU1744"/>
  <c r="DZ1744"/>
  <c r="DQ1744"/>
  <c r="DV1744"/>
  <c r="EA1744"/>
  <c r="DR1744"/>
  <c r="DW1744"/>
  <c r="EB1744"/>
  <c r="DS1744"/>
  <c r="DX1744"/>
  <c r="EC1744"/>
  <c r="DT1744"/>
  <c r="DY1744"/>
  <c r="ED1744"/>
  <c r="DA1744"/>
  <c r="DF1744"/>
  <c r="DK1744"/>
  <c r="DB1744"/>
  <c r="DG1744"/>
  <c r="DL1744"/>
  <c r="DC1744"/>
  <c r="DH1744"/>
  <c r="DM1744"/>
  <c r="DD1744"/>
  <c r="DI1744"/>
  <c r="DN1744"/>
  <c r="DE1744"/>
  <c r="DJ1744"/>
  <c r="DO1744"/>
  <c r="BM1744"/>
  <c r="BH1744"/>
  <c r="BN1744"/>
  <c r="BI1744"/>
  <c r="BO1744"/>
  <c r="BJ1744"/>
  <c r="BP1744"/>
  <c r="BK1744"/>
  <c r="BQ1744"/>
  <c r="BL1744"/>
  <c r="AX1744"/>
  <c r="AS1744"/>
  <c r="AY1744"/>
  <c r="AT1744"/>
  <c r="AZ1744"/>
  <c r="AU1744"/>
  <c r="BA1744"/>
  <c r="AV1744"/>
  <c r="BB1744"/>
  <c r="AW1744"/>
  <c r="HK1744"/>
  <c r="HJ1744"/>
  <c r="HI1744"/>
  <c r="HH1744"/>
  <c r="HG1744"/>
  <c r="HF1744"/>
  <c r="HE1744"/>
  <c r="HD1744"/>
  <c r="HC1744"/>
  <c r="HB1744"/>
  <c r="HA1744"/>
  <c r="GZ1744"/>
  <c r="GY1744"/>
  <c r="GX1744"/>
  <c r="GW1744"/>
  <c r="GV1744"/>
  <c r="GU1744"/>
  <c r="GT1744"/>
  <c r="GS1744"/>
  <c r="GR1744"/>
  <c r="GQ1744"/>
  <c r="GP1744"/>
  <c r="GO1744"/>
  <c r="GN1744"/>
  <c r="GM1744"/>
  <c r="GK1744"/>
  <c r="GI1744"/>
  <c r="AK1743"/>
  <c r="AL1743"/>
  <c r="AA1743"/>
  <c r="W1743"/>
  <c r="AB1743"/>
  <c r="X1743"/>
  <c r="AC1743"/>
  <c r="BW1743"/>
  <c r="CB1743"/>
  <c r="BX1743"/>
  <c r="CC1743"/>
  <c r="BY1743"/>
  <c r="CD1743"/>
  <c r="BZ1743"/>
  <c r="CE1743"/>
  <c r="CM1743"/>
  <c r="CO1743"/>
  <c r="CA1743"/>
  <c r="CF1743"/>
  <c r="EE1743"/>
  <c r="EJ1743"/>
  <c r="EO1743"/>
  <c r="EF1743"/>
  <c r="EK1743"/>
  <c r="EP1743"/>
  <c r="EG1743"/>
  <c r="EL1743"/>
  <c r="EQ1743"/>
  <c r="EH1743"/>
  <c r="EM1743"/>
  <c r="ER1743"/>
  <c r="AM1743"/>
  <c r="CL1743"/>
  <c r="CN1743"/>
  <c r="Y1742"/>
  <c r="U1742"/>
  <c r="AJ1742"/>
  <c r="V1742"/>
  <c r="AA1742"/>
  <c r="W1742"/>
  <c r="AB1742"/>
  <c r="T1742"/>
  <c r="Z1742"/>
  <c r="AK1742"/>
  <c r="AL1742"/>
  <c r="BU1742"/>
  <c r="AM1742"/>
  <c r="BV1742"/>
  <c r="CL1742"/>
  <c r="CV1742"/>
  <c r="CM1742"/>
  <c r="CW1742"/>
  <c r="CN1742"/>
  <c r="CX1742"/>
  <c r="CO1742"/>
  <c r="AI1742"/>
  <c r="BS1742"/>
  <c r="BT1742"/>
  <c r="X1742"/>
  <c r="AC1742"/>
  <c r="BW1742"/>
  <c r="CB1742"/>
  <c r="BY1742"/>
  <c r="CD1742"/>
  <c r="CY1742"/>
  <c r="CP1742"/>
  <c r="CZ1742"/>
  <c r="FE1742"/>
  <c r="FG1742"/>
  <c r="FI1742"/>
  <c r="FK1742"/>
  <c r="FM1742"/>
  <c r="FO1742"/>
  <c r="FQ1742"/>
  <c r="EY1742"/>
  <c r="FA1742"/>
  <c r="FC1742"/>
  <c r="EU1742"/>
  <c r="EW1742"/>
  <c r="BR1742"/>
  <c r="CC1742"/>
  <c r="CE1742"/>
  <c r="CA1742"/>
  <c r="CF1742"/>
  <c r="FF1742"/>
  <c r="FJ1742"/>
  <c r="FN1742"/>
  <c r="FR1742"/>
  <c r="FB1742"/>
  <c r="EV1742"/>
  <c r="EJ1742"/>
  <c r="EF1742"/>
  <c r="EP1742"/>
  <c r="EL1742"/>
  <c r="EH1742"/>
  <c r="ER1742"/>
  <c r="EI1742"/>
  <c r="EN1742"/>
  <c r="ES1742"/>
  <c r="DP1742"/>
  <c r="DU1742"/>
  <c r="DZ1742"/>
  <c r="DQ1742"/>
  <c r="DV1742"/>
  <c r="EA1742"/>
  <c r="DR1742"/>
  <c r="DW1742"/>
  <c r="EB1742"/>
  <c r="DS1742"/>
  <c r="DX1742"/>
  <c r="EC1742"/>
  <c r="DT1742"/>
  <c r="DY1742"/>
  <c r="ED1742"/>
  <c r="DA1742"/>
  <c r="DF1742"/>
  <c r="DK1742"/>
  <c r="DB1742"/>
  <c r="DG1742"/>
  <c r="DL1742"/>
  <c r="DC1742"/>
  <c r="DH1742"/>
  <c r="DM1742"/>
  <c r="DD1742"/>
  <c r="DI1742"/>
  <c r="DN1742"/>
  <c r="DE1742"/>
  <c r="DJ1742"/>
  <c r="DO1742"/>
  <c r="BM1742"/>
  <c r="BH1742"/>
  <c r="BN1742"/>
  <c r="BI1742"/>
  <c r="BO1742"/>
  <c r="BJ1742"/>
  <c r="BP1742"/>
  <c r="BK1742"/>
  <c r="BQ1742"/>
  <c r="BL1742"/>
  <c r="AX1742"/>
  <c r="AS1742"/>
  <c r="AY1742"/>
  <c r="AT1742"/>
  <c r="AZ1742"/>
  <c r="AU1742"/>
  <c r="BA1742"/>
  <c r="AV1742"/>
  <c r="BB1742"/>
  <c r="AW1742"/>
  <c r="HK1742"/>
  <c r="HJ1742"/>
  <c r="HI1742"/>
  <c r="HH1742"/>
  <c r="HG1742"/>
  <c r="HF1742"/>
  <c r="HE1742"/>
  <c r="HD1742"/>
  <c r="HC1742"/>
  <c r="HB1742"/>
  <c r="HA1742"/>
  <c r="GZ1742"/>
  <c r="GY1742"/>
  <c r="GX1742"/>
  <c r="GW1742"/>
  <c r="GV1742"/>
  <c r="GU1742"/>
  <c r="GT1742"/>
  <c r="GS1742"/>
  <c r="GR1742"/>
  <c r="GQ1742"/>
  <c r="GP1742"/>
  <c r="GO1742"/>
  <c r="GN1742"/>
  <c r="GM1742"/>
  <c r="GK1742"/>
  <c r="GI1742"/>
  <c r="AK1741"/>
  <c r="AL1741"/>
  <c r="X1741"/>
  <c r="AC1741"/>
  <c r="BW1741"/>
  <c r="CB1741"/>
  <c r="BX1741"/>
  <c r="CC1741"/>
  <c r="BY1741"/>
  <c r="CD1741"/>
  <c r="BZ1741"/>
  <c r="CE1741"/>
  <c r="W1741"/>
  <c r="AM1741"/>
  <c r="CL1741"/>
  <c r="CN1741"/>
  <c r="CA1741"/>
  <c r="CF1741"/>
  <c r="EE1741"/>
  <c r="EJ1741"/>
  <c r="EO1741"/>
  <c r="EF1741"/>
  <c r="EK1741"/>
  <c r="EP1741"/>
  <c r="EG1741"/>
  <c r="EL1741"/>
  <c r="EQ1741"/>
  <c r="EH1741"/>
  <c r="EM1741"/>
  <c r="ER1741"/>
  <c r="AB1741"/>
  <c r="CP1741"/>
  <c r="T1740"/>
  <c r="AI1740"/>
  <c r="BR1740"/>
  <c r="Z1740"/>
  <c r="BS1740"/>
  <c r="AA1740"/>
  <c r="W1740"/>
  <c r="AB1740"/>
  <c r="U1740"/>
  <c r="V1740"/>
  <c r="BU1740"/>
  <c r="AM1740"/>
  <c r="BV1740"/>
  <c r="CL1740"/>
  <c r="CV1740"/>
  <c r="CM1740"/>
  <c r="CW1740"/>
  <c r="CN1740"/>
  <c r="CX1740"/>
  <c r="CO1740"/>
  <c r="CY1740"/>
  <c r="AK1740"/>
  <c r="BT1740"/>
  <c r="AL1740"/>
  <c r="BX1740"/>
  <c r="CC1740"/>
  <c r="BZ1740"/>
  <c r="CE1740"/>
  <c r="CP1740"/>
  <c r="CZ1740"/>
  <c r="FE1740"/>
  <c r="FG1740"/>
  <c r="FI1740"/>
  <c r="FK1740"/>
  <c r="FM1740"/>
  <c r="FO1740"/>
  <c r="FQ1740"/>
  <c r="EY1740"/>
  <c r="FA1740"/>
  <c r="FC1740"/>
  <c r="EU1740"/>
  <c r="EW1740"/>
  <c r="AC1740"/>
  <c r="CB1740"/>
  <c r="CD1740"/>
  <c r="FD1740"/>
  <c r="FH1740"/>
  <c r="FL1740"/>
  <c r="FP1740"/>
  <c r="EZ1740"/>
  <c r="ET1740"/>
  <c r="EX1740"/>
  <c r="EE1740"/>
  <c r="EO1740"/>
  <c r="EK1740"/>
  <c r="EG1740"/>
  <c r="EQ1740"/>
  <c r="EM1740"/>
  <c r="EI1740"/>
  <c r="EN1740"/>
  <c r="ES1740"/>
  <c r="DP1740"/>
  <c r="DU1740"/>
  <c r="DZ1740"/>
  <c r="DQ1740"/>
  <c r="DV1740"/>
  <c r="EA1740"/>
  <c r="DR1740"/>
  <c r="DW1740"/>
  <c r="EB1740"/>
  <c r="DS1740"/>
  <c r="DX1740"/>
  <c r="EC1740"/>
  <c r="DT1740"/>
  <c r="DY1740"/>
  <c r="ED1740"/>
  <c r="DA1740"/>
  <c r="DF1740"/>
  <c r="DK1740"/>
  <c r="DB1740"/>
  <c r="DG1740"/>
  <c r="DL1740"/>
  <c r="DC1740"/>
  <c r="DH1740"/>
  <c r="DM1740"/>
  <c r="DD1740"/>
  <c r="DI1740"/>
  <c r="DN1740"/>
  <c r="DE1740"/>
  <c r="DJ1740"/>
  <c r="DO1740"/>
  <c r="BM1740"/>
  <c r="BH1740"/>
  <c r="BN1740"/>
  <c r="BI1740"/>
  <c r="BO1740"/>
  <c r="BJ1740"/>
  <c r="BP1740"/>
  <c r="BK1740"/>
  <c r="BQ1740"/>
  <c r="BL1740"/>
  <c r="AX1740"/>
  <c r="AS1740"/>
  <c r="AY1740"/>
  <c r="AT1740"/>
  <c r="AZ1740"/>
  <c r="AU1740"/>
  <c r="BA1740"/>
  <c r="AV1740"/>
  <c r="BB1740"/>
  <c r="AW1740"/>
  <c r="HK1740"/>
  <c r="HJ1740"/>
  <c r="HI1740"/>
  <c r="HH1740"/>
  <c r="HG1740"/>
  <c r="HF1740"/>
  <c r="HE1740"/>
  <c r="HD1740"/>
  <c r="HC1740"/>
  <c r="HB1740"/>
  <c r="HA1740"/>
  <c r="GZ1740"/>
  <c r="GY1740"/>
  <c r="GX1740"/>
  <c r="GW1740"/>
  <c r="GV1740"/>
  <c r="GU1740"/>
  <c r="GT1740"/>
  <c r="GS1740"/>
  <c r="GR1740"/>
  <c r="GQ1740"/>
  <c r="GP1740"/>
  <c r="GO1740"/>
  <c r="GN1740"/>
  <c r="GM1740"/>
  <c r="GK1740"/>
  <c r="GI1740"/>
  <c r="AK1739"/>
  <c r="AL1739"/>
  <c r="AA1739"/>
  <c r="W1739"/>
  <c r="AB1739"/>
  <c r="X1739"/>
  <c r="AC1739"/>
  <c r="BW1739"/>
  <c r="CB1739"/>
  <c r="BX1739"/>
  <c r="CC1739"/>
  <c r="BY1739"/>
  <c r="CD1739"/>
  <c r="BZ1739"/>
  <c r="CE1739"/>
  <c r="CM1739"/>
  <c r="CO1739"/>
  <c r="CA1739"/>
  <c r="CF1739"/>
  <c r="EE1739"/>
  <c r="EJ1739"/>
  <c r="EO1739"/>
  <c r="EF1739"/>
  <c r="EK1739"/>
  <c r="EP1739"/>
  <c r="EG1739"/>
  <c r="EL1739"/>
  <c r="EQ1739"/>
  <c r="EH1739"/>
  <c r="EM1739"/>
  <c r="ER1739"/>
  <c r="Y1738"/>
  <c r="U1738"/>
  <c r="AJ1738"/>
  <c r="V1738"/>
  <c r="AA1738"/>
  <c r="W1738"/>
  <c r="AB1738"/>
  <c r="AI1738"/>
  <c r="BR1738"/>
  <c r="BS1738"/>
  <c r="AK1738"/>
  <c r="AL1738"/>
  <c r="BU1738"/>
  <c r="AM1738"/>
  <c r="BV1738"/>
  <c r="CL1738"/>
  <c r="CV1738"/>
  <c r="CM1738"/>
  <c r="CW1738"/>
  <c r="CN1738"/>
  <c r="CX1738"/>
  <c r="CO1738"/>
  <c r="CY1738"/>
  <c r="T1738"/>
  <c r="Z1738"/>
  <c r="BT1738"/>
  <c r="X1738"/>
  <c r="AC1738"/>
  <c r="BW1738"/>
  <c r="CB1738"/>
  <c r="BY1738"/>
  <c r="CD1738"/>
  <c r="CP1738"/>
  <c r="CZ1738"/>
  <c r="FE1738"/>
  <c r="FG1738"/>
  <c r="FI1738"/>
  <c r="FK1738"/>
  <c r="FM1738"/>
  <c r="FO1738"/>
  <c r="FQ1738"/>
  <c r="EY1738"/>
  <c r="FA1738"/>
  <c r="FC1738"/>
  <c r="EU1738"/>
  <c r="EW1738"/>
  <c r="BX1738"/>
  <c r="BZ1738"/>
  <c r="CA1738"/>
  <c r="CF1738"/>
  <c r="FF1738"/>
  <c r="FJ1738"/>
  <c r="FN1738"/>
  <c r="FR1738"/>
  <c r="FB1738"/>
  <c r="EV1738"/>
  <c r="EJ1738"/>
  <c r="EF1738"/>
  <c r="EP1738"/>
  <c r="EL1738"/>
  <c r="EH1738"/>
  <c r="ER1738"/>
  <c r="EI1738"/>
  <c r="EN1738"/>
  <c r="ES1738"/>
  <c r="DP1738"/>
  <c r="DU1738"/>
  <c r="DZ1738"/>
  <c r="DQ1738"/>
  <c r="DV1738"/>
  <c r="EA1738"/>
  <c r="DR1738"/>
  <c r="DW1738"/>
  <c r="EB1738"/>
  <c r="DS1738"/>
  <c r="DX1738"/>
  <c r="EC1738"/>
  <c r="DT1738"/>
  <c r="DY1738"/>
  <c r="ED1738"/>
  <c r="DA1738"/>
  <c r="DF1738"/>
  <c r="DK1738"/>
  <c r="DB1738"/>
  <c r="DG1738"/>
  <c r="DL1738"/>
  <c r="DC1738"/>
  <c r="DH1738"/>
  <c r="DM1738"/>
  <c r="DD1738"/>
  <c r="DI1738"/>
  <c r="DN1738"/>
  <c r="DE1738"/>
  <c r="DJ1738"/>
  <c r="DO1738"/>
  <c r="BM1738"/>
  <c r="BH1738"/>
  <c r="BN1738"/>
  <c r="BI1738"/>
  <c r="BO1738"/>
  <c r="BJ1738"/>
  <c r="BP1738"/>
  <c r="BK1738"/>
  <c r="BQ1738"/>
  <c r="BL1738"/>
  <c r="AX1738"/>
  <c r="AS1738"/>
  <c r="AY1738"/>
  <c r="AT1738"/>
  <c r="AZ1738"/>
  <c r="AU1738"/>
  <c r="BA1738"/>
  <c r="AV1738"/>
  <c r="BB1738"/>
  <c r="AW1738"/>
  <c r="HK1738"/>
  <c r="HJ1738"/>
  <c r="HI1738"/>
  <c r="HH1738"/>
  <c r="HG1738"/>
  <c r="HF1738"/>
  <c r="HE1738"/>
  <c r="HD1738"/>
  <c r="HC1738"/>
  <c r="HB1738"/>
  <c r="HA1738"/>
  <c r="GZ1738"/>
  <c r="GY1738"/>
  <c r="GX1738"/>
  <c r="GW1738"/>
  <c r="GV1738"/>
  <c r="GU1738"/>
  <c r="GT1738"/>
  <c r="GS1738"/>
  <c r="GR1738"/>
  <c r="GQ1738"/>
  <c r="GP1738"/>
  <c r="GO1738"/>
  <c r="GN1738"/>
  <c r="GM1738"/>
  <c r="GK1738"/>
  <c r="GI1738"/>
  <c r="AK1737"/>
  <c r="AL1737"/>
  <c r="X1737"/>
  <c r="AC1737"/>
  <c r="BW1737"/>
  <c r="CB1737"/>
  <c r="BX1737"/>
  <c r="CC1737"/>
  <c r="BY1737"/>
  <c r="CD1737"/>
  <c r="BZ1737"/>
  <c r="CE1737"/>
  <c r="AA1737"/>
  <c r="AB1737"/>
  <c r="AM1737"/>
  <c r="CL1737"/>
  <c r="CN1737"/>
  <c r="CA1737"/>
  <c r="CF1737"/>
  <c r="EE1737"/>
  <c r="EJ1737"/>
  <c r="EO1737"/>
  <c r="EF1737"/>
  <c r="EK1737"/>
  <c r="EP1737"/>
  <c r="EG1737"/>
  <c r="EL1737"/>
  <c r="EQ1737"/>
  <c r="EH1737"/>
  <c r="EM1737"/>
  <c r="ER1737"/>
  <c r="CM1737"/>
  <c r="CO1737"/>
  <c r="CP1737"/>
  <c r="T1736"/>
  <c r="AI1736"/>
  <c r="BR1736"/>
  <c r="Z1736"/>
  <c r="BS1736"/>
  <c r="AA1736"/>
  <c r="W1736"/>
  <c r="AB1736"/>
  <c r="Y1736"/>
  <c r="AJ1736"/>
  <c r="BU1736"/>
  <c r="AM1736"/>
  <c r="BV1736"/>
  <c r="CL1736"/>
  <c r="CV1736"/>
  <c r="CM1736"/>
  <c r="CW1736"/>
  <c r="CN1736"/>
  <c r="CX1736"/>
  <c r="CO1736"/>
  <c r="CY1736"/>
  <c r="V1736"/>
  <c r="BT1736"/>
  <c r="BX1736"/>
  <c r="CC1736"/>
  <c r="BZ1736"/>
  <c r="CE1736"/>
  <c r="CP1736"/>
  <c r="CZ1736"/>
  <c r="FE1736"/>
  <c r="FG1736"/>
  <c r="FI1736"/>
  <c r="FK1736"/>
  <c r="FM1736"/>
  <c r="FO1736"/>
  <c r="FQ1736"/>
  <c r="EY1736"/>
  <c r="FA1736"/>
  <c r="FC1736"/>
  <c r="EU1736"/>
  <c r="EW1736"/>
  <c r="U1736"/>
  <c r="AL1736"/>
  <c r="X1736"/>
  <c r="BW1736"/>
  <c r="BY1736"/>
  <c r="FD1736"/>
  <c r="FH1736"/>
  <c r="FL1736"/>
  <c r="FP1736"/>
  <c r="EZ1736"/>
  <c r="ET1736"/>
  <c r="EX1736"/>
  <c r="EE1736"/>
  <c r="EO1736"/>
  <c r="EK1736"/>
  <c r="EG1736"/>
  <c r="EQ1736"/>
  <c r="EM1736"/>
  <c r="EI1736"/>
  <c r="EN1736"/>
  <c r="ES1736"/>
  <c r="DP1736"/>
  <c r="DU1736"/>
  <c r="DZ1736"/>
  <c r="DQ1736"/>
  <c r="DV1736"/>
  <c r="EA1736"/>
  <c r="DR1736"/>
  <c r="DW1736"/>
  <c r="EB1736"/>
  <c r="DS1736"/>
  <c r="DX1736"/>
  <c r="EC1736"/>
  <c r="DT1736"/>
  <c r="DY1736"/>
  <c r="ED1736"/>
  <c r="DA1736"/>
  <c r="DF1736"/>
  <c r="DK1736"/>
  <c r="DB1736"/>
  <c r="DG1736"/>
  <c r="DL1736"/>
  <c r="DC1736"/>
  <c r="DH1736"/>
  <c r="DM1736"/>
  <c r="DD1736"/>
  <c r="DI1736"/>
  <c r="DN1736"/>
  <c r="DE1736"/>
  <c r="DJ1736"/>
  <c r="DO1736"/>
  <c r="BM1736"/>
  <c r="BH1736"/>
  <c r="BN1736"/>
  <c r="BI1736"/>
  <c r="BO1736"/>
  <c r="BJ1736"/>
  <c r="BP1736"/>
  <c r="BK1736"/>
  <c r="BQ1736"/>
  <c r="BL1736"/>
  <c r="AX1736"/>
  <c r="AS1736"/>
  <c r="AY1736"/>
  <c r="AT1736"/>
  <c r="AZ1736"/>
  <c r="AU1736"/>
  <c r="BA1736"/>
  <c r="AV1736"/>
  <c r="BB1736"/>
  <c r="AW1736"/>
  <c r="HK1736"/>
  <c r="HJ1736"/>
  <c r="HI1736"/>
  <c r="HH1736"/>
  <c r="HG1736"/>
  <c r="HF1736"/>
  <c r="HE1736"/>
  <c r="HD1736"/>
  <c r="HC1736"/>
  <c r="HB1736"/>
  <c r="HA1736"/>
  <c r="GZ1736"/>
  <c r="GY1736"/>
  <c r="GX1736"/>
  <c r="GW1736"/>
  <c r="GV1736"/>
  <c r="GU1736"/>
  <c r="GT1736"/>
  <c r="GS1736"/>
  <c r="GR1736"/>
  <c r="GQ1736"/>
  <c r="GP1736"/>
  <c r="GO1736"/>
  <c r="GN1736"/>
  <c r="GM1736"/>
  <c r="GK1736"/>
  <c r="GI1736"/>
  <c r="AK1735"/>
  <c r="AL1735"/>
  <c r="AA1735"/>
  <c r="W1735"/>
  <c r="AB1735"/>
  <c r="X1735"/>
  <c r="AC1735"/>
  <c r="BW1735"/>
  <c r="CB1735"/>
  <c r="BX1735"/>
  <c r="CC1735"/>
  <c r="BY1735"/>
  <c r="CD1735"/>
  <c r="BZ1735"/>
  <c r="CE1735"/>
  <c r="CM1735"/>
  <c r="CO1735"/>
  <c r="CA1735"/>
  <c r="CF1735"/>
  <c r="EE1735"/>
  <c r="EJ1735"/>
  <c r="EO1735"/>
  <c r="EF1735"/>
  <c r="EK1735"/>
  <c r="EP1735"/>
  <c r="EG1735"/>
  <c r="EL1735"/>
  <c r="EQ1735"/>
  <c r="EH1735"/>
  <c r="EM1735"/>
  <c r="ER1735"/>
  <c r="AM1735"/>
  <c r="CL1735"/>
  <c r="CN1735"/>
  <c r="Y1734"/>
  <c r="U1734"/>
  <c r="AJ1734"/>
  <c r="V1734"/>
  <c r="AA1734"/>
  <c r="W1734"/>
  <c r="AB1734"/>
  <c r="T1734"/>
  <c r="Z1734"/>
  <c r="AK1734"/>
  <c r="AL1734"/>
  <c r="BU1734"/>
  <c r="AM1734"/>
  <c r="BV1734"/>
  <c r="CL1734"/>
  <c r="CV1734"/>
  <c r="CM1734"/>
  <c r="CW1734"/>
  <c r="CN1734"/>
  <c r="CX1734"/>
  <c r="CO1734"/>
  <c r="CY1734"/>
  <c r="BR1734"/>
  <c r="BT1734"/>
  <c r="X1734"/>
  <c r="AC1734"/>
  <c r="BW1734"/>
  <c r="CB1734"/>
  <c r="BY1734"/>
  <c r="CD1734"/>
  <c r="CP1734"/>
  <c r="CZ1734"/>
  <c r="FE1734"/>
  <c r="FG1734"/>
  <c r="FI1734"/>
  <c r="FK1734"/>
  <c r="FM1734"/>
  <c r="FO1734"/>
  <c r="FQ1734"/>
  <c r="EY1734"/>
  <c r="FA1734"/>
  <c r="FC1734"/>
  <c r="EU1734"/>
  <c r="EW1734"/>
  <c r="CC1734"/>
  <c r="CE1734"/>
  <c r="CA1734"/>
  <c r="CF1734"/>
  <c r="FF1734"/>
  <c r="FJ1734"/>
  <c r="FN1734"/>
  <c r="FR1734"/>
  <c r="FB1734"/>
  <c r="EV1734"/>
  <c r="EJ1734"/>
  <c r="EF1734"/>
  <c r="EP1734"/>
  <c r="EL1734"/>
  <c r="EH1734"/>
  <c r="ER1734"/>
  <c r="EI1734"/>
  <c r="EN1734"/>
  <c r="ES1734"/>
  <c r="DP1734"/>
  <c r="DU1734"/>
  <c r="DZ1734"/>
  <c r="DQ1734"/>
  <c r="DV1734"/>
  <c r="EA1734"/>
  <c r="DR1734"/>
  <c r="DW1734"/>
  <c r="EB1734"/>
  <c r="DS1734"/>
  <c r="DX1734"/>
  <c r="EC1734"/>
  <c r="DT1734"/>
  <c r="DY1734"/>
  <c r="ED1734"/>
  <c r="DA1734"/>
  <c r="DF1734"/>
  <c r="DK1734"/>
  <c r="DB1734"/>
  <c r="DG1734"/>
  <c r="DL1734"/>
  <c r="DC1734"/>
  <c r="DH1734"/>
  <c r="DM1734"/>
  <c r="DD1734"/>
  <c r="DI1734"/>
  <c r="DN1734"/>
  <c r="DE1734"/>
  <c r="DJ1734"/>
  <c r="DO1734"/>
  <c r="BM1734"/>
  <c r="BH1734"/>
  <c r="BN1734"/>
  <c r="BI1734"/>
  <c r="BO1734"/>
  <c r="BJ1734"/>
  <c r="BP1734"/>
  <c r="BK1734"/>
  <c r="BQ1734"/>
  <c r="BL1734"/>
  <c r="AX1734"/>
  <c r="AS1734"/>
  <c r="AY1734"/>
  <c r="AT1734"/>
  <c r="AZ1734"/>
  <c r="AU1734"/>
  <c r="BA1734"/>
  <c r="AV1734"/>
  <c r="BB1734"/>
  <c r="AW1734"/>
  <c r="HK1734"/>
  <c r="HJ1734"/>
  <c r="HI1734"/>
  <c r="HH1734"/>
  <c r="HG1734"/>
  <c r="HF1734"/>
  <c r="HE1734"/>
  <c r="HD1734"/>
  <c r="HC1734"/>
  <c r="HB1734"/>
  <c r="HA1734"/>
  <c r="GZ1734"/>
  <c r="GY1734"/>
  <c r="GX1734"/>
  <c r="GW1734"/>
  <c r="GV1734"/>
  <c r="GU1734"/>
  <c r="GT1734"/>
  <c r="GS1734"/>
  <c r="GR1734"/>
  <c r="GQ1734"/>
  <c r="GP1734"/>
  <c r="GO1734"/>
  <c r="GN1734"/>
  <c r="GM1734"/>
  <c r="GK1734"/>
  <c r="GI1734"/>
  <c r="AK1733"/>
  <c r="AL1733"/>
  <c r="X1733"/>
  <c r="AC1733"/>
  <c r="BW1733"/>
  <c r="CB1733"/>
  <c r="BX1733"/>
  <c r="CC1733"/>
  <c r="BY1733"/>
  <c r="CD1733"/>
  <c r="BZ1733"/>
  <c r="CE1733"/>
  <c r="W1733"/>
  <c r="AM1733"/>
  <c r="CL1733"/>
  <c r="CN1733"/>
  <c r="CA1733"/>
  <c r="CF1733"/>
  <c r="EE1733"/>
  <c r="EJ1733"/>
  <c r="EO1733"/>
  <c r="EF1733"/>
  <c r="EK1733"/>
  <c r="EP1733"/>
  <c r="EG1733"/>
  <c r="EL1733"/>
  <c r="EQ1733"/>
  <c r="EH1733"/>
  <c r="EM1733"/>
  <c r="ER1733"/>
  <c r="AA1733"/>
  <c r="CP1733"/>
  <c r="T1732"/>
  <c r="AI1732"/>
  <c r="BR1732"/>
  <c r="Z1732"/>
  <c r="BS1732"/>
  <c r="AA1732"/>
  <c r="W1732"/>
  <c r="AB1732"/>
  <c r="U1732"/>
  <c r="V1732"/>
  <c r="BU1732"/>
  <c r="AM1732"/>
  <c r="BV1732"/>
  <c r="CL1732"/>
  <c r="CV1732"/>
  <c r="CM1732"/>
  <c r="CW1732"/>
  <c r="CN1732"/>
  <c r="CX1732"/>
  <c r="CO1732"/>
  <c r="CY1732"/>
  <c r="Y1732"/>
  <c r="AJ1732"/>
  <c r="AK1732"/>
  <c r="BT1732"/>
  <c r="AL1732"/>
  <c r="BX1732"/>
  <c r="CC1732"/>
  <c r="BZ1732"/>
  <c r="CE1732"/>
  <c r="CP1732"/>
  <c r="CZ1732"/>
  <c r="FE1732"/>
  <c r="FG1732"/>
  <c r="FI1732"/>
  <c r="FK1732"/>
  <c r="FM1732"/>
  <c r="FO1732"/>
  <c r="FQ1732"/>
  <c r="EY1732"/>
  <c r="FA1732"/>
  <c r="FC1732"/>
  <c r="EU1732"/>
  <c r="EW1732"/>
  <c r="AC1732"/>
  <c r="CB1732"/>
  <c r="CD1732"/>
  <c r="FD1732"/>
  <c r="FH1732"/>
  <c r="FL1732"/>
  <c r="FP1732"/>
  <c r="EZ1732"/>
  <c r="ET1732"/>
  <c r="EX1732"/>
  <c r="EE1732"/>
  <c r="EO1732"/>
  <c r="EK1732"/>
  <c r="EG1732"/>
  <c r="EQ1732"/>
  <c r="EM1732"/>
  <c r="EI1732"/>
  <c r="EN1732"/>
  <c r="ES1732"/>
  <c r="DP1732"/>
  <c r="DU1732"/>
  <c r="DZ1732"/>
  <c r="DQ1732"/>
  <c r="DV1732"/>
  <c r="EA1732"/>
  <c r="DR1732"/>
  <c r="DW1732"/>
  <c r="EB1732"/>
  <c r="DS1732"/>
  <c r="DX1732"/>
  <c r="EC1732"/>
  <c r="DT1732"/>
  <c r="DY1732"/>
  <c r="ED1732"/>
  <c r="DA1732"/>
  <c r="DF1732"/>
  <c r="DK1732"/>
  <c r="DB1732"/>
  <c r="DG1732"/>
  <c r="DL1732"/>
  <c r="DC1732"/>
  <c r="DH1732"/>
  <c r="DM1732"/>
  <c r="DD1732"/>
  <c r="DI1732"/>
  <c r="DN1732"/>
  <c r="DE1732"/>
  <c r="DJ1732"/>
  <c r="DO1732"/>
  <c r="BM1732"/>
  <c r="BH1732"/>
  <c r="BN1732"/>
  <c r="BI1732"/>
  <c r="BO1732"/>
  <c r="BJ1732"/>
  <c r="BP1732"/>
  <c r="BK1732"/>
  <c r="BQ1732"/>
  <c r="BL1732"/>
  <c r="AX1732"/>
  <c r="AS1732"/>
  <c r="AY1732"/>
  <c r="AT1732"/>
  <c r="AZ1732"/>
  <c r="AU1732"/>
  <c r="BA1732"/>
  <c r="AV1732"/>
  <c r="BB1732"/>
  <c r="AW1732"/>
  <c r="HK1732"/>
  <c r="HJ1732"/>
  <c r="HI1732"/>
  <c r="HH1732"/>
  <c r="HG1732"/>
  <c r="HF1732"/>
  <c r="HE1732"/>
  <c r="HD1732"/>
  <c r="HC1732"/>
  <c r="HB1732"/>
  <c r="HA1732"/>
  <c r="GZ1732"/>
  <c r="GY1732"/>
  <c r="GX1732"/>
  <c r="GW1732"/>
  <c r="GV1732"/>
  <c r="GU1732"/>
  <c r="GT1732"/>
  <c r="GS1732"/>
  <c r="GR1732"/>
  <c r="GQ1732"/>
  <c r="GP1732"/>
  <c r="GO1732"/>
  <c r="GN1732"/>
  <c r="GM1732"/>
  <c r="GK1732"/>
  <c r="GI1732"/>
  <c r="AK1731"/>
  <c r="AL1731"/>
  <c r="AA1731"/>
  <c r="W1731"/>
  <c r="AB1731"/>
  <c r="X1731"/>
  <c r="AC1731"/>
  <c r="BW1731"/>
  <c r="CB1731"/>
  <c r="BX1731"/>
  <c r="CC1731"/>
  <c r="BY1731"/>
  <c r="CD1731"/>
  <c r="BZ1731"/>
  <c r="CE1731"/>
  <c r="CM1731"/>
  <c r="CO1731"/>
  <c r="CA1731"/>
  <c r="CF1731"/>
  <c r="EE1731"/>
  <c r="EJ1731"/>
  <c r="EO1731"/>
  <c r="EF1731"/>
  <c r="EK1731"/>
  <c r="EP1731"/>
  <c r="EG1731"/>
  <c r="EL1731"/>
  <c r="EQ1731"/>
  <c r="EH1731"/>
  <c r="EM1731"/>
  <c r="ER1731"/>
  <c r="Y1730"/>
  <c r="U1730"/>
  <c r="AJ1730"/>
  <c r="V1730"/>
  <c r="AA1730"/>
  <c r="W1730"/>
  <c r="AB1730"/>
  <c r="AI1730"/>
  <c r="BR1730"/>
  <c r="BS1730"/>
  <c r="AK1730"/>
  <c r="AL1730"/>
  <c r="BU1730"/>
  <c r="AM1730"/>
  <c r="BV1730"/>
  <c r="CL1730"/>
  <c r="CV1730"/>
  <c r="CM1730"/>
  <c r="CW1730"/>
  <c r="CN1730"/>
  <c r="CX1730"/>
  <c r="CO1730"/>
  <c r="CY1730"/>
  <c r="BT1730"/>
  <c r="X1730"/>
  <c r="AC1730"/>
  <c r="BW1730"/>
  <c r="CB1730"/>
  <c r="BY1730"/>
  <c r="CD1730"/>
  <c r="CP1730"/>
  <c r="CZ1730"/>
  <c r="FE1730"/>
  <c r="FG1730"/>
  <c r="FI1730"/>
  <c r="FK1730"/>
  <c r="FM1730"/>
  <c r="FO1730"/>
  <c r="FQ1730"/>
  <c r="EY1730"/>
  <c r="FA1730"/>
  <c r="FC1730"/>
  <c r="EU1730"/>
  <c r="EW1730"/>
  <c r="T1730"/>
  <c r="Z1730"/>
  <c r="BX1730"/>
  <c r="BZ1730"/>
  <c r="CA1730"/>
  <c r="CF1730"/>
  <c r="FF1730"/>
  <c r="FJ1730"/>
  <c r="FN1730"/>
  <c r="FR1730"/>
  <c r="FB1730"/>
  <c r="EV1730"/>
  <c r="EJ1730"/>
  <c r="EF1730"/>
  <c r="EP1730"/>
  <c r="EL1730"/>
  <c r="EH1730"/>
  <c r="ER1730"/>
  <c r="EI1730"/>
  <c r="EN1730"/>
  <c r="ES1730"/>
  <c r="DP1730"/>
  <c r="DU1730"/>
  <c r="DZ1730"/>
  <c r="DQ1730"/>
  <c r="DV1730"/>
  <c r="EA1730"/>
  <c r="DR1730"/>
  <c r="DW1730"/>
  <c r="EB1730"/>
  <c r="DS1730"/>
  <c r="DX1730"/>
  <c r="EC1730"/>
  <c r="DT1730"/>
  <c r="DY1730"/>
  <c r="ED1730"/>
  <c r="DA1730"/>
  <c r="DF1730"/>
  <c r="DK1730"/>
  <c r="DB1730"/>
  <c r="DG1730"/>
  <c r="DL1730"/>
  <c r="DC1730"/>
  <c r="DH1730"/>
  <c r="DM1730"/>
  <c r="DD1730"/>
  <c r="DI1730"/>
  <c r="DN1730"/>
  <c r="DE1730"/>
  <c r="DJ1730"/>
  <c r="DO1730"/>
  <c r="BM1730"/>
  <c r="BH1730"/>
  <c r="BN1730"/>
  <c r="BI1730"/>
  <c r="BO1730"/>
  <c r="BJ1730"/>
  <c r="BP1730"/>
  <c r="BK1730"/>
  <c r="BQ1730"/>
  <c r="BL1730"/>
  <c r="AX1730"/>
  <c r="AS1730"/>
  <c r="AY1730"/>
  <c r="AT1730"/>
  <c r="AZ1730"/>
  <c r="AU1730"/>
  <c r="BA1730"/>
  <c r="AV1730"/>
  <c r="BB1730"/>
  <c r="AW1730"/>
  <c r="HK1730"/>
  <c r="HJ1730"/>
  <c r="HI1730"/>
  <c r="HH1730"/>
  <c r="HG1730"/>
  <c r="HF1730"/>
  <c r="HE1730"/>
  <c r="HD1730"/>
  <c r="HC1730"/>
  <c r="HB1730"/>
  <c r="HA1730"/>
  <c r="GZ1730"/>
  <c r="GY1730"/>
  <c r="GX1730"/>
  <c r="GW1730"/>
  <c r="GV1730"/>
  <c r="GU1730"/>
  <c r="GT1730"/>
  <c r="GS1730"/>
  <c r="GR1730"/>
  <c r="GQ1730"/>
  <c r="GP1730"/>
  <c r="GO1730"/>
  <c r="GN1730"/>
  <c r="GM1730"/>
  <c r="GK1730"/>
  <c r="GI1730"/>
  <c r="AK1729"/>
  <c r="AL1729"/>
  <c r="X1729"/>
  <c r="AC1729"/>
  <c r="BW1729"/>
  <c r="CB1729"/>
  <c r="BX1729"/>
  <c r="CC1729"/>
  <c r="BY1729"/>
  <c r="CD1729"/>
  <c r="BZ1729"/>
  <c r="CE1729"/>
  <c r="AA1729"/>
  <c r="AB1729"/>
  <c r="AM1729"/>
  <c r="CL1729"/>
  <c r="CN1729"/>
  <c r="CA1729"/>
  <c r="CF1729"/>
  <c r="EE1729"/>
  <c r="EJ1729"/>
  <c r="EO1729"/>
  <c r="EF1729"/>
  <c r="EK1729"/>
  <c r="EP1729"/>
  <c r="EG1729"/>
  <c r="EL1729"/>
  <c r="EQ1729"/>
  <c r="EH1729"/>
  <c r="EM1729"/>
  <c r="ER1729"/>
  <c r="W1729"/>
  <c r="CM1729"/>
  <c r="CO1729"/>
  <c r="CP1729"/>
  <c r="T1728"/>
  <c r="AI1728"/>
  <c r="BR1728"/>
  <c r="Z1728"/>
  <c r="BS1728"/>
  <c r="AA1728"/>
  <c r="W1728"/>
  <c r="AB1728"/>
  <c r="Y1728"/>
  <c r="AJ1728"/>
  <c r="BU1728"/>
  <c r="AM1728"/>
  <c r="BV1728"/>
  <c r="CL1728"/>
  <c r="CV1728"/>
  <c r="CM1728"/>
  <c r="CW1728"/>
  <c r="CN1728"/>
  <c r="CX1728"/>
  <c r="CO1728"/>
  <c r="CY1728"/>
  <c r="U1728"/>
  <c r="BT1728"/>
  <c r="BX1728"/>
  <c r="CC1728"/>
  <c r="BZ1728"/>
  <c r="CE1728"/>
  <c r="CP1728"/>
  <c r="CZ1728"/>
  <c r="FE1728"/>
  <c r="FG1728"/>
  <c r="FI1728"/>
  <c r="FK1728"/>
  <c r="FM1728"/>
  <c r="FO1728"/>
  <c r="FQ1728"/>
  <c r="EY1728"/>
  <c r="FA1728"/>
  <c r="FC1728"/>
  <c r="EU1728"/>
  <c r="EW1728"/>
  <c r="AK1728"/>
  <c r="X1728"/>
  <c r="BW1728"/>
  <c r="BY1728"/>
  <c r="FD1728"/>
  <c r="FH1728"/>
  <c r="FL1728"/>
  <c r="FP1728"/>
  <c r="EZ1728"/>
  <c r="ET1728"/>
  <c r="EX1728"/>
  <c r="EE1728"/>
  <c r="EO1728"/>
  <c r="EK1728"/>
  <c r="EG1728"/>
  <c r="EQ1728"/>
  <c r="EM1728"/>
  <c r="EI1728"/>
  <c r="EN1728"/>
  <c r="ES1728"/>
  <c r="DP1728"/>
  <c r="DU1728"/>
  <c r="DZ1728"/>
  <c r="DQ1728"/>
  <c r="DV1728"/>
  <c r="EA1728"/>
  <c r="DR1728"/>
  <c r="DW1728"/>
  <c r="EB1728"/>
  <c r="DS1728"/>
  <c r="DX1728"/>
  <c r="EC1728"/>
  <c r="DT1728"/>
  <c r="DY1728"/>
  <c r="ED1728"/>
  <c r="DA1728"/>
  <c r="DF1728"/>
  <c r="DK1728"/>
  <c r="DB1728"/>
  <c r="DG1728"/>
  <c r="DL1728"/>
  <c r="DC1728"/>
  <c r="DH1728"/>
  <c r="DM1728"/>
  <c r="DD1728"/>
  <c r="DI1728"/>
  <c r="DN1728"/>
  <c r="DE1728"/>
  <c r="DJ1728"/>
  <c r="DO1728"/>
  <c r="BM1728"/>
  <c r="BH1728"/>
  <c r="BN1728"/>
  <c r="BI1728"/>
  <c r="BO1728"/>
  <c r="BJ1728"/>
  <c r="BP1728"/>
  <c r="BK1728"/>
  <c r="BQ1728"/>
  <c r="BL1728"/>
  <c r="AX1728"/>
  <c r="AS1728"/>
  <c r="AY1728"/>
  <c r="AT1728"/>
  <c r="AZ1728"/>
  <c r="AU1728"/>
  <c r="BA1728"/>
  <c r="AV1728"/>
  <c r="BB1728"/>
  <c r="AW1728"/>
  <c r="HK1728"/>
  <c r="HJ1728"/>
  <c r="HI1728"/>
  <c r="HH1728"/>
  <c r="HG1728"/>
  <c r="HF1728"/>
  <c r="HE1728"/>
  <c r="HD1728"/>
  <c r="HC1728"/>
  <c r="HB1728"/>
  <c r="HA1728"/>
  <c r="GZ1728"/>
  <c r="GY1728"/>
  <c r="GX1728"/>
  <c r="GW1728"/>
  <c r="GV1728"/>
  <c r="GU1728"/>
  <c r="GT1728"/>
  <c r="GS1728"/>
  <c r="GR1728"/>
  <c r="GQ1728"/>
  <c r="GP1728"/>
  <c r="GO1728"/>
  <c r="GN1728"/>
  <c r="GM1728"/>
  <c r="GK1728"/>
  <c r="GI1728"/>
  <c r="AK1727"/>
  <c r="AL1727"/>
  <c r="W1727"/>
  <c r="X1727"/>
  <c r="BW1727"/>
  <c r="BX1727"/>
  <c r="BY1727"/>
  <c r="BZ1727"/>
  <c r="CM1727"/>
  <c r="CO1727"/>
  <c r="CA1727"/>
  <c r="EE1727"/>
  <c r="EJ1727"/>
  <c r="EO1727"/>
  <c r="EF1727"/>
  <c r="EK1727"/>
  <c r="EP1727"/>
  <c r="EG1727"/>
  <c r="EL1727"/>
  <c r="EQ1727"/>
  <c r="EH1727"/>
  <c r="EM1727"/>
  <c r="ER1727"/>
  <c r="AM1727"/>
  <c r="CL1727"/>
  <c r="CN1727"/>
  <c r="Y1726"/>
  <c r="U1726"/>
  <c r="AJ1726"/>
  <c r="V1726"/>
  <c r="BT1726"/>
  <c r="W1726"/>
  <c r="T1726"/>
  <c r="Z1726"/>
  <c r="AA1726"/>
  <c r="AK1726"/>
  <c r="AB1726"/>
  <c r="AL1726"/>
  <c r="AC1726"/>
  <c r="AM1726"/>
  <c r="CB1726"/>
  <c r="CL1726"/>
  <c r="CC1726"/>
  <c r="CM1726"/>
  <c r="CD1726"/>
  <c r="CN1726"/>
  <c r="CE1726"/>
  <c r="CO1726"/>
  <c r="AI1726"/>
  <c r="BS1726"/>
  <c r="BU1726"/>
  <c r="X1726"/>
  <c r="BW1726"/>
  <c r="CW1726"/>
  <c r="BY1726"/>
  <c r="CY1726"/>
  <c r="CF1726"/>
  <c r="CP1726"/>
  <c r="FD1726"/>
  <c r="FF1726"/>
  <c r="FH1726"/>
  <c r="FJ1726"/>
  <c r="FL1726"/>
  <c r="FN1726"/>
  <c r="FP1726"/>
  <c r="FR1726"/>
  <c r="EZ1726"/>
  <c r="FB1726"/>
  <c r="ET1726"/>
  <c r="EV1726"/>
  <c r="EX1726"/>
  <c r="CA1726"/>
  <c r="FE1726"/>
  <c r="FI1726"/>
  <c r="FM1726"/>
  <c r="FQ1726"/>
  <c r="FA1726"/>
  <c r="EU1726"/>
  <c r="EJ1726"/>
  <c r="EF1726"/>
  <c r="EP1726"/>
  <c r="EL1726"/>
  <c r="EH1726"/>
  <c r="ER1726"/>
  <c r="EI1726"/>
  <c r="EN1726"/>
  <c r="ES1726"/>
  <c r="DP1726"/>
  <c r="DU1726"/>
  <c r="DZ1726"/>
  <c r="DQ1726"/>
  <c r="DV1726"/>
  <c r="EA1726"/>
  <c r="DR1726"/>
  <c r="DW1726"/>
  <c r="EB1726"/>
  <c r="DS1726"/>
  <c r="DX1726"/>
  <c r="EC1726"/>
  <c r="DT1726"/>
  <c r="DY1726"/>
  <c r="ED1726"/>
  <c r="DA1726"/>
  <c r="DF1726"/>
  <c r="DK1726"/>
  <c r="DB1726"/>
  <c r="DG1726"/>
  <c r="DL1726"/>
  <c r="DC1726"/>
  <c r="DH1726"/>
  <c r="DM1726"/>
  <c r="DD1726"/>
  <c r="DI1726"/>
  <c r="DN1726"/>
  <c r="DE1726"/>
  <c r="DJ1726"/>
  <c r="DO1726"/>
  <c r="BM1726"/>
  <c r="BH1726"/>
  <c r="BN1726"/>
  <c r="BI1726"/>
  <c r="BO1726"/>
  <c r="BJ1726"/>
  <c r="BP1726"/>
  <c r="BK1726"/>
  <c r="BQ1726"/>
  <c r="BL1726"/>
  <c r="AX1726"/>
  <c r="AS1726"/>
  <c r="AY1726"/>
  <c r="AT1726"/>
  <c r="AZ1726"/>
  <c r="AU1726"/>
  <c r="BA1726"/>
  <c r="AV1726"/>
  <c r="BB1726"/>
  <c r="AW1726"/>
  <c r="HK1726"/>
  <c r="HJ1726"/>
  <c r="HI1726"/>
  <c r="HH1726"/>
  <c r="HG1726"/>
  <c r="HF1726"/>
  <c r="HE1726"/>
  <c r="HD1726"/>
  <c r="HC1726"/>
  <c r="HB1726"/>
  <c r="HA1726"/>
  <c r="GZ1726"/>
  <c r="GY1726"/>
  <c r="GX1726"/>
  <c r="GW1726"/>
  <c r="GV1726"/>
  <c r="GU1726"/>
  <c r="GT1726"/>
  <c r="GS1726"/>
  <c r="GR1726"/>
  <c r="GQ1726"/>
  <c r="GP1726"/>
  <c r="GO1726"/>
  <c r="GN1726"/>
  <c r="GM1726"/>
  <c r="GL1726"/>
  <c r="GJ1726"/>
  <c r="GH1726"/>
  <c r="FD1761"/>
  <c r="FF1761"/>
  <c r="FH1761"/>
  <c r="FJ1761"/>
  <c r="FL1761"/>
  <c r="FN1761"/>
  <c r="FP1761"/>
  <c r="FR1761"/>
  <c r="EZ1761"/>
  <c r="FB1761"/>
  <c r="ET1761"/>
  <c r="EV1761"/>
  <c r="EX1761"/>
  <c r="FG1761"/>
  <c r="FK1761"/>
  <c r="FO1761"/>
  <c r="EY1761"/>
  <c r="FC1761"/>
  <c r="EW1761"/>
  <c r="GL1761"/>
  <c r="GJ1761"/>
  <c r="FD1759"/>
  <c r="FF1759"/>
  <c r="FH1759"/>
  <c r="FJ1759"/>
  <c r="FL1759"/>
  <c r="FN1759"/>
  <c r="FP1759"/>
  <c r="FR1759"/>
  <c r="EZ1759"/>
  <c r="FB1759"/>
  <c r="ET1759"/>
  <c r="EV1759"/>
  <c r="EX1759"/>
  <c r="FE1759"/>
  <c r="FI1759"/>
  <c r="FM1759"/>
  <c r="FQ1759"/>
  <c r="FA1759"/>
  <c r="EU1759"/>
  <c r="GL1759"/>
  <c r="GJ1759"/>
  <c r="FD1757"/>
  <c r="FF1757"/>
  <c r="FH1757"/>
  <c r="FJ1757"/>
  <c r="FL1757"/>
  <c r="FN1757"/>
  <c r="FP1757"/>
  <c r="FR1757"/>
  <c r="EZ1757"/>
  <c r="FB1757"/>
  <c r="ET1757"/>
  <c r="EV1757"/>
  <c r="EX1757"/>
  <c r="FG1757"/>
  <c r="FK1757"/>
  <c r="FO1757"/>
  <c r="EY1757"/>
  <c r="FC1757"/>
  <c r="EW1757"/>
  <c r="GL1757"/>
  <c r="GJ1757"/>
  <c r="FD1755"/>
  <c r="FF1755"/>
  <c r="FH1755"/>
  <c r="FJ1755"/>
  <c r="FL1755"/>
  <c r="FN1755"/>
  <c r="FP1755"/>
  <c r="FR1755"/>
  <c r="EZ1755"/>
  <c r="FB1755"/>
  <c r="ET1755"/>
  <c r="EV1755"/>
  <c r="EX1755"/>
  <c r="FE1755"/>
  <c r="FI1755"/>
  <c r="FM1755"/>
  <c r="FQ1755"/>
  <c r="FA1755"/>
  <c r="EU1755"/>
  <c r="GL1755"/>
  <c r="GJ1755"/>
  <c r="FD1753"/>
  <c r="FF1753"/>
  <c r="FH1753"/>
  <c r="FJ1753"/>
  <c r="FL1753"/>
  <c r="FN1753"/>
  <c r="FP1753"/>
  <c r="FR1753"/>
  <c r="EZ1753"/>
  <c r="FB1753"/>
  <c r="ET1753"/>
  <c r="EV1753"/>
  <c r="EX1753"/>
  <c r="FG1753"/>
  <c r="FK1753"/>
  <c r="FO1753"/>
  <c r="EY1753"/>
  <c r="FC1753"/>
  <c r="EW1753"/>
  <c r="GL1753"/>
  <c r="GJ1753"/>
  <c r="FD1751"/>
  <c r="FF1751"/>
  <c r="FH1751"/>
  <c r="FJ1751"/>
  <c r="FL1751"/>
  <c r="FN1751"/>
  <c r="FP1751"/>
  <c r="FR1751"/>
  <c r="EZ1751"/>
  <c r="FB1751"/>
  <c r="ET1751"/>
  <c r="EV1751"/>
  <c r="EX1751"/>
  <c r="FE1751"/>
  <c r="FI1751"/>
  <c r="FM1751"/>
  <c r="FQ1751"/>
  <c r="FA1751"/>
  <c r="EU1751"/>
  <c r="GL1751"/>
  <c r="GJ1751"/>
  <c r="FD1749"/>
  <c r="FF1749"/>
  <c r="FH1749"/>
  <c r="FJ1749"/>
  <c r="FL1749"/>
  <c r="FN1749"/>
  <c r="FP1749"/>
  <c r="FR1749"/>
  <c r="EZ1749"/>
  <c r="FB1749"/>
  <c r="ET1749"/>
  <c r="EV1749"/>
  <c r="EX1749"/>
  <c r="FG1749"/>
  <c r="FK1749"/>
  <c r="FO1749"/>
  <c r="EY1749"/>
  <c r="FC1749"/>
  <c r="EW1749"/>
  <c r="GL1749"/>
  <c r="GJ1749"/>
  <c r="FD1747"/>
  <c r="FF1747"/>
  <c r="FH1747"/>
  <c r="FJ1747"/>
  <c r="FL1747"/>
  <c r="FN1747"/>
  <c r="FP1747"/>
  <c r="FR1747"/>
  <c r="EZ1747"/>
  <c r="FB1747"/>
  <c r="ET1747"/>
  <c r="EV1747"/>
  <c r="EX1747"/>
  <c r="FE1747"/>
  <c r="FI1747"/>
  <c r="FM1747"/>
  <c r="FQ1747"/>
  <c r="FA1747"/>
  <c r="EU1747"/>
  <c r="GL1747"/>
  <c r="GJ1747"/>
  <c r="FD1745"/>
  <c r="FF1745"/>
  <c r="FH1745"/>
  <c r="FJ1745"/>
  <c r="FL1745"/>
  <c r="FN1745"/>
  <c r="FP1745"/>
  <c r="FR1745"/>
  <c r="EZ1745"/>
  <c r="FB1745"/>
  <c r="ET1745"/>
  <c r="EV1745"/>
  <c r="EX1745"/>
  <c r="FG1745"/>
  <c r="FK1745"/>
  <c r="FO1745"/>
  <c r="EY1745"/>
  <c r="FC1745"/>
  <c r="EW1745"/>
  <c r="GL1745"/>
  <c r="GJ1745"/>
  <c r="GH1745"/>
  <c r="FD1743"/>
  <c r="FF1743"/>
  <c r="FH1743"/>
  <c r="FJ1743"/>
  <c r="FL1743"/>
  <c r="FN1743"/>
  <c r="FP1743"/>
  <c r="FR1743"/>
  <c r="EZ1743"/>
  <c r="FB1743"/>
  <c r="ET1743"/>
  <c r="EV1743"/>
  <c r="EX1743"/>
  <c r="FE1743"/>
  <c r="FI1743"/>
  <c r="FM1743"/>
  <c r="FQ1743"/>
  <c r="FA1743"/>
  <c r="EU1743"/>
  <c r="GL1743"/>
  <c r="GJ1743"/>
  <c r="GH1743"/>
  <c r="FD1741"/>
  <c r="FF1741"/>
  <c r="FH1741"/>
  <c r="FJ1741"/>
  <c r="FL1741"/>
  <c r="FN1741"/>
  <c r="FP1741"/>
  <c r="FR1741"/>
  <c r="EZ1741"/>
  <c r="FB1741"/>
  <c r="ET1741"/>
  <c r="EV1741"/>
  <c r="EX1741"/>
  <c r="FG1741"/>
  <c r="FK1741"/>
  <c r="FO1741"/>
  <c r="EY1741"/>
  <c r="FC1741"/>
  <c r="EW1741"/>
  <c r="GL1741"/>
  <c r="GJ1741"/>
  <c r="GH1741"/>
  <c r="FD1739"/>
  <c r="FF1739"/>
  <c r="FH1739"/>
  <c r="FJ1739"/>
  <c r="FL1739"/>
  <c r="FN1739"/>
  <c r="FP1739"/>
  <c r="FR1739"/>
  <c r="EZ1739"/>
  <c r="FB1739"/>
  <c r="ET1739"/>
  <c r="EV1739"/>
  <c r="EX1739"/>
  <c r="FE1739"/>
  <c r="FI1739"/>
  <c r="FM1739"/>
  <c r="FQ1739"/>
  <c r="FA1739"/>
  <c r="EU1739"/>
  <c r="GL1739"/>
  <c r="GJ1739"/>
  <c r="GH1739"/>
  <c r="FD1737"/>
  <c r="FF1737"/>
  <c r="FH1737"/>
  <c r="FJ1737"/>
  <c r="FL1737"/>
  <c r="FN1737"/>
  <c r="FP1737"/>
  <c r="FR1737"/>
  <c r="EZ1737"/>
  <c r="FB1737"/>
  <c r="ET1737"/>
  <c r="EV1737"/>
  <c r="EX1737"/>
  <c r="FG1737"/>
  <c r="FK1737"/>
  <c r="FO1737"/>
  <c r="EY1737"/>
  <c r="FC1737"/>
  <c r="EW1737"/>
  <c r="GL1737"/>
  <c r="GJ1737"/>
  <c r="GH1737"/>
  <c r="FD1735"/>
  <c r="FF1735"/>
  <c r="FH1735"/>
  <c r="FJ1735"/>
  <c r="FL1735"/>
  <c r="FN1735"/>
  <c r="FP1735"/>
  <c r="FR1735"/>
  <c r="EZ1735"/>
  <c r="FB1735"/>
  <c r="ET1735"/>
  <c r="EV1735"/>
  <c r="EX1735"/>
  <c r="FE1735"/>
  <c r="FI1735"/>
  <c r="FM1735"/>
  <c r="FQ1735"/>
  <c r="FA1735"/>
  <c r="EU1735"/>
  <c r="GL1735"/>
  <c r="GJ1735"/>
  <c r="GH1735"/>
  <c r="FD1733"/>
  <c r="FF1733"/>
  <c r="FH1733"/>
  <c r="FJ1733"/>
  <c r="FL1733"/>
  <c r="FN1733"/>
  <c r="FP1733"/>
  <c r="FR1733"/>
  <c r="EZ1733"/>
  <c r="FB1733"/>
  <c r="ET1733"/>
  <c r="EV1733"/>
  <c r="EX1733"/>
  <c r="FG1733"/>
  <c r="FK1733"/>
  <c r="FO1733"/>
  <c r="EY1733"/>
  <c r="FC1733"/>
  <c r="EW1733"/>
  <c r="GL1733"/>
  <c r="GJ1733"/>
  <c r="GH1733"/>
  <c r="FD1731"/>
  <c r="FF1731"/>
  <c r="FH1731"/>
  <c r="FJ1731"/>
  <c r="FL1731"/>
  <c r="FN1731"/>
  <c r="FP1731"/>
  <c r="FR1731"/>
  <c r="EZ1731"/>
  <c r="FB1731"/>
  <c r="ET1731"/>
  <c r="EV1731"/>
  <c r="EX1731"/>
  <c r="FE1731"/>
  <c r="FI1731"/>
  <c r="FM1731"/>
  <c r="FQ1731"/>
  <c r="FA1731"/>
  <c r="EU1731"/>
  <c r="GL1731"/>
  <c r="GJ1731"/>
  <c r="GH1731"/>
  <c r="FD1729"/>
  <c r="FF1729"/>
  <c r="FH1729"/>
  <c r="FJ1729"/>
  <c r="FL1729"/>
  <c r="FN1729"/>
  <c r="FP1729"/>
  <c r="FR1729"/>
  <c r="EZ1729"/>
  <c r="FB1729"/>
  <c r="ET1729"/>
  <c r="EV1729"/>
  <c r="EX1729"/>
  <c r="FG1729"/>
  <c r="FK1729"/>
  <c r="FO1729"/>
  <c r="EY1729"/>
  <c r="FC1729"/>
  <c r="EW1729"/>
  <c r="GL1729"/>
  <c r="GJ1729"/>
  <c r="GH1729"/>
  <c r="L2549"/>
  <c r="O2547"/>
  <c r="G2625"/>
  <c r="L2625"/>
  <c r="P2631"/>
  <c r="O2631"/>
  <c r="O2624" s="1"/>
  <c r="R2728"/>
  <c r="L2728"/>
  <c r="O2727"/>
  <c r="O2719" s="1"/>
  <c r="R2729"/>
  <c r="L2729"/>
  <c r="R2730"/>
  <c r="L2730"/>
  <c r="R2731"/>
  <c r="L2731"/>
  <c r="R2732"/>
  <c r="L2732"/>
  <c r="R2734"/>
  <c r="L2734"/>
  <c r="R2735"/>
  <c r="L2735"/>
  <c r="R2739"/>
  <c r="L2739"/>
  <c r="G1519"/>
  <c r="G1594"/>
  <c r="J1633"/>
  <c r="J1637" s="1"/>
  <c r="L1725"/>
  <c r="BS1725"/>
  <c r="M1797"/>
  <c r="F1861"/>
  <c r="P2683"/>
  <c r="P2691"/>
  <c r="P2762"/>
  <c r="C424"/>
  <c r="C425" s="1"/>
  <c r="C430"/>
  <c r="B431"/>
  <c r="C432"/>
  <c r="B433"/>
  <c r="C434"/>
  <c r="B435"/>
  <c r="C436"/>
  <c r="B437"/>
  <c r="C438"/>
  <c r="B439"/>
  <c r="C440"/>
  <c r="B441"/>
  <c r="C442"/>
  <c r="B443"/>
  <c r="C444"/>
  <c r="B445"/>
  <c r="C446"/>
  <c r="B447"/>
  <c r="C448"/>
  <c r="B449"/>
  <c r="C450"/>
  <c r="B451"/>
  <c r="C452"/>
  <c r="B453"/>
  <c r="C454"/>
  <c r="B455"/>
  <c r="C456"/>
  <c r="B457"/>
  <c r="C458"/>
  <c r="B459"/>
  <c r="C460"/>
  <c r="B461"/>
  <c r="C462"/>
  <c r="B463"/>
  <c r="C464"/>
  <c r="B465"/>
  <c r="C466"/>
  <c r="B467"/>
  <c r="C468"/>
  <c r="A1753"/>
  <c r="A1751"/>
  <c r="A1749"/>
  <c r="A1747"/>
  <c r="A1745"/>
  <c r="A1743"/>
  <c r="A1741"/>
  <c r="A1739"/>
  <c r="A1737"/>
  <c r="A1735"/>
  <c r="A1733"/>
  <c r="A1731"/>
  <c r="A1729"/>
  <c r="AD1762"/>
  <c r="AD1760"/>
  <c r="AD1758"/>
  <c r="AD1756"/>
  <c r="AD1754"/>
  <c r="AD1752"/>
  <c r="AD1750"/>
  <c r="AD1748"/>
  <c r="AD1746"/>
  <c r="AD1744"/>
  <c r="AD1742"/>
  <c r="AD1740"/>
  <c r="AD1738"/>
  <c r="AD1736"/>
  <c r="AD1734"/>
  <c r="AD1732"/>
  <c r="AD1730"/>
  <c r="AD1728"/>
  <c r="AD1726"/>
  <c r="AE1762"/>
  <c r="AE1760"/>
  <c r="AE1758"/>
  <c r="AE1756"/>
  <c r="AE1754"/>
  <c r="AE1752"/>
  <c r="AE1750"/>
  <c r="AE1748"/>
  <c r="AE1746"/>
  <c r="AE1744"/>
  <c r="AE1742"/>
  <c r="AE1740"/>
  <c r="AE1738"/>
  <c r="AE1736"/>
  <c r="AE1734"/>
  <c r="AE1732"/>
  <c r="AE1730"/>
  <c r="AE1728"/>
  <c r="AE1726"/>
  <c r="AF1762"/>
  <c r="AF1760"/>
  <c r="AF1758"/>
  <c r="AF1756"/>
  <c r="AF1754"/>
  <c r="AF1752"/>
  <c r="AF1750"/>
  <c r="AF1748"/>
  <c r="AF1746"/>
  <c r="AF1744"/>
  <c r="AF1742"/>
  <c r="AF1740"/>
  <c r="AF1738"/>
  <c r="AF1736"/>
  <c r="AF1734"/>
  <c r="AF1732"/>
  <c r="AF1730"/>
  <c r="AF1728"/>
  <c r="AF1726"/>
  <c r="AG1762"/>
  <c r="AG1760"/>
  <c r="AG1758"/>
  <c r="AG1756"/>
  <c r="AG1754"/>
  <c r="AG1752"/>
  <c r="AG1750"/>
  <c r="AG1748"/>
  <c r="AG1746"/>
  <c r="AG1744"/>
  <c r="AG1742"/>
  <c r="AG1740"/>
  <c r="AG1738"/>
  <c r="AG1736"/>
  <c r="AG1734"/>
  <c r="AG1732"/>
  <c r="AG1730"/>
  <c r="AG1728"/>
  <c r="AG1726"/>
  <c r="AH1762"/>
  <c r="AH1760"/>
  <c r="AH1758"/>
  <c r="AH1756"/>
  <c r="AH1754"/>
  <c r="AH1752"/>
  <c r="AH1750"/>
  <c r="AH1748"/>
  <c r="AH1746"/>
  <c r="AH1744"/>
  <c r="AH1742"/>
  <c r="AH1740"/>
  <c r="AH1738"/>
  <c r="AH1736"/>
  <c r="AH1734"/>
  <c r="AH1732"/>
  <c r="AH1730"/>
  <c r="AH1728"/>
  <c r="AH1726"/>
  <c r="AN1762"/>
  <c r="AN1760"/>
  <c r="AN1758"/>
  <c r="AN1756"/>
  <c r="AN1754"/>
  <c r="AN1752"/>
  <c r="AN1750"/>
  <c r="AN1748"/>
  <c r="AN1746"/>
  <c r="AN1744"/>
  <c r="AN1742"/>
  <c r="AN1740"/>
  <c r="AN1738"/>
  <c r="AN1736"/>
  <c r="AN1734"/>
  <c r="AN1732"/>
  <c r="AN1730"/>
  <c r="AN1728"/>
  <c r="AN1726"/>
  <c r="AO1762"/>
  <c r="AO1760"/>
  <c r="AO1758"/>
  <c r="AO1756"/>
  <c r="AO1754"/>
  <c r="AO1752"/>
  <c r="AO1750"/>
  <c r="AO1748"/>
  <c r="AO1746"/>
  <c r="AO1744"/>
  <c r="AO1742"/>
  <c r="AO1740"/>
  <c r="AO1738"/>
  <c r="AO1736"/>
  <c r="AO1734"/>
  <c r="AO1732"/>
  <c r="AO1730"/>
  <c r="AO1728"/>
  <c r="AO1726"/>
  <c r="AP1762"/>
  <c r="AP1760"/>
  <c r="AP1758"/>
  <c r="AP1756"/>
  <c r="AP1754"/>
  <c r="AP1752"/>
  <c r="AP1750"/>
  <c r="AP1748"/>
  <c r="AP1746"/>
  <c r="AP1744"/>
  <c r="AP1742"/>
  <c r="AP1740"/>
  <c r="AP1738"/>
  <c r="AP1736"/>
  <c r="AP1734"/>
  <c r="AP1732"/>
  <c r="AP1730"/>
  <c r="AP1728"/>
  <c r="AP1726"/>
  <c r="AQ1762"/>
  <c r="AQ1760"/>
  <c r="AQ1758"/>
  <c r="AQ1756"/>
  <c r="AQ1754"/>
  <c r="AQ1752"/>
  <c r="AQ1750"/>
  <c r="AQ1748"/>
  <c r="AQ1746"/>
  <c r="AQ1744"/>
  <c r="AQ1742"/>
  <c r="AQ1740"/>
  <c r="AQ1738"/>
  <c r="AQ1736"/>
  <c r="AQ1734"/>
  <c r="AQ1732"/>
  <c r="AQ1730"/>
  <c r="AQ1728"/>
  <c r="AQ1726"/>
  <c r="AR1762"/>
  <c r="AR1760"/>
  <c r="AR1758"/>
  <c r="AR1756"/>
  <c r="AR1754"/>
  <c r="AR1752"/>
  <c r="AR1750"/>
  <c r="AR1748"/>
  <c r="AR1746"/>
  <c r="AR1744"/>
  <c r="AR1742"/>
  <c r="AR1740"/>
  <c r="AR1738"/>
  <c r="AR1736"/>
  <c r="AR1734"/>
  <c r="AR1732"/>
  <c r="AR1730"/>
  <c r="AR1728"/>
  <c r="AR1726"/>
  <c r="BC1762"/>
  <c r="BC1760"/>
  <c r="BC1758"/>
  <c r="BC1756"/>
  <c r="BC1754"/>
  <c r="BC1752"/>
  <c r="BC1750"/>
  <c r="BC1748"/>
  <c r="BC1746"/>
  <c r="BC1744"/>
  <c r="BC1742"/>
  <c r="BC1740"/>
  <c r="BC1738"/>
  <c r="BC1736"/>
  <c r="BC1734"/>
  <c r="BC1732"/>
  <c r="BC1730"/>
  <c r="BC1728"/>
  <c r="BC1726"/>
  <c r="BD1762"/>
  <c r="BD1760"/>
  <c r="BD1758"/>
  <c r="BD1756"/>
  <c r="BD1754"/>
  <c r="BD1752"/>
  <c r="BD1750"/>
  <c r="BD1748"/>
  <c r="BD1746"/>
  <c r="BD1744"/>
  <c r="BD1742"/>
  <c r="BD1740"/>
  <c r="BD1738"/>
  <c r="BD1736"/>
  <c r="BD1734"/>
  <c r="BD1732"/>
  <c r="BD1730"/>
  <c r="BD1728"/>
  <c r="BD1726"/>
  <c r="BE1762"/>
  <c r="BE1760"/>
  <c r="BE1758"/>
  <c r="BE1756"/>
  <c r="BE1754"/>
  <c r="BE1752"/>
  <c r="BE1750"/>
  <c r="BE1748"/>
  <c r="BE1746"/>
  <c r="BE1744"/>
  <c r="BE1742"/>
  <c r="BE1740"/>
  <c r="BE1738"/>
  <c r="BE1736"/>
  <c r="BE1734"/>
  <c r="BE1732"/>
  <c r="BE1730"/>
  <c r="BE1728"/>
  <c r="BE1726"/>
  <c r="BF1762"/>
  <c r="BF1760"/>
  <c r="BF1758"/>
  <c r="BF1756"/>
  <c r="BF1754"/>
  <c r="BF1752"/>
  <c r="BF1750"/>
  <c r="BF1748"/>
  <c r="BF1746"/>
  <c r="BF1744"/>
  <c r="BF1742"/>
  <c r="BF1740"/>
  <c r="BF1738"/>
  <c r="BF1736"/>
  <c r="BF1734"/>
  <c r="BF1732"/>
  <c r="BF1730"/>
  <c r="BF1728"/>
  <c r="BF1726"/>
  <c r="BG1762"/>
  <c r="BG1760"/>
  <c r="BG1758"/>
  <c r="BG1756"/>
  <c r="BG1754"/>
  <c r="BG1752"/>
  <c r="BG1750"/>
  <c r="BG1748"/>
  <c r="BG1746"/>
  <c r="BG1744"/>
  <c r="BG1742"/>
  <c r="BG1740"/>
  <c r="BG1738"/>
  <c r="BG1736"/>
  <c r="BG1734"/>
  <c r="BG1732"/>
  <c r="BG1730"/>
  <c r="BG1728"/>
  <c r="BG1726"/>
  <c r="CG1762"/>
  <c r="CG1760"/>
  <c r="CG1758"/>
  <c r="CG1756"/>
  <c r="CG1754"/>
  <c r="CG1752"/>
  <c r="CG1750"/>
  <c r="CG1748"/>
  <c r="CG1746"/>
  <c r="CG1744"/>
  <c r="CG1742"/>
  <c r="CG1740"/>
  <c r="CG1738"/>
  <c r="CG1736"/>
  <c r="CG1734"/>
  <c r="CG1732"/>
  <c r="CG1730"/>
  <c r="CG1728"/>
  <c r="CG1726"/>
  <c r="CH1762"/>
  <c r="CH1760"/>
  <c r="CH1758"/>
  <c r="CH1756"/>
  <c r="CH1754"/>
  <c r="CH1752"/>
  <c r="CH1750"/>
  <c r="CH1748"/>
  <c r="CH1746"/>
  <c r="CH1744"/>
  <c r="CH1742"/>
  <c r="CH1740"/>
  <c r="CH1738"/>
  <c r="CH1736"/>
  <c r="CH1734"/>
  <c r="CH1732"/>
  <c r="CH1730"/>
  <c r="CH1728"/>
  <c r="CH1726"/>
  <c r="CI1762"/>
  <c r="CI1760"/>
  <c r="CI1758"/>
  <c r="CI1756"/>
  <c r="CI1754"/>
  <c r="CI1752"/>
  <c r="CI1750"/>
  <c r="CI1748"/>
  <c r="CI1746"/>
  <c r="CI1744"/>
  <c r="CI1742"/>
  <c r="CI1740"/>
  <c r="CI1738"/>
  <c r="CI1736"/>
  <c r="CI1734"/>
  <c r="CI1732"/>
  <c r="CI1730"/>
  <c r="CI1728"/>
  <c r="CI1726"/>
  <c r="CJ1762"/>
  <c r="CJ1760"/>
  <c r="CJ1758"/>
  <c r="CJ1756"/>
  <c r="CJ1754"/>
  <c r="CJ1752"/>
  <c r="CJ1750"/>
  <c r="CJ1748"/>
  <c r="CJ1746"/>
  <c r="CJ1744"/>
  <c r="CJ1742"/>
  <c r="CJ1740"/>
  <c r="CJ1738"/>
  <c r="CJ1736"/>
  <c r="CJ1734"/>
  <c r="CJ1732"/>
  <c r="CJ1730"/>
  <c r="CJ1728"/>
  <c r="CJ1726"/>
  <c r="CK1762"/>
  <c r="CK1760"/>
  <c r="CK1758"/>
  <c r="CK1756"/>
  <c r="CK1754"/>
  <c r="CK1752"/>
  <c r="CK1750"/>
  <c r="CK1748"/>
  <c r="CK1746"/>
  <c r="CK1744"/>
  <c r="CK1742"/>
  <c r="CK1740"/>
  <c r="CK1738"/>
  <c r="CK1736"/>
  <c r="CK1734"/>
  <c r="CK1732"/>
  <c r="CK1730"/>
  <c r="CK1728"/>
  <c r="CK1726"/>
  <c r="CQ1762"/>
  <c r="CQ1760"/>
  <c r="CQ1758"/>
  <c r="CQ1756"/>
  <c r="CQ1754"/>
  <c r="CQ1752"/>
  <c r="CQ1750"/>
  <c r="CQ1748"/>
  <c r="CQ1746"/>
  <c r="CQ1744"/>
  <c r="CQ1742"/>
  <c r="CQ1740"/>
  <c r="CQ1738"/>
  <c r="CQ1736"/>
  <c r="CQ1734"/>
  <c r="CQ1732"/>
  <c r="CQ1730"/>
  <c r="CQ1728"/>
  <c r="CQ1726"/>
  <c r="CR1762"/>
  <c r="CR1760"/>
  <c r="CR1758"/>
  <c r="CR1756"/>
  <c r="CR1754"/>
  <c r="CR1752"/>
  <c r="CR1750"/>
  <c r="CR1748"/>
  <c r="CR1746"/>
  <c r="CR1744"/>
  <c r="CR1742"/>
  <c r="CR1740"/>
  <c r="CR1738"/>
  <c r="CR1736"/>
  <c r="CR1734"/>
  <c r="CR1732"/>
  <c r="CR1730"/>
  <c r="CR1728"/>
  <c r="CR1726"/>
  <c r="CS1762"/>
  <c r="CS1760"/>
  <c r="CS1758"/>
  <c r="CS1756"/>
  <c r="CS1754"/>
  <c r="CS1752"/>
  <c r="CS1750"/>
  <c r="CS1748"/>
  <c r="CS1746"/>
  <c r="CS1744"/>
  <c r="CS1742"/>
  <c r="CS1740"/>
  <c r="CS1738"/>
  <c r="CS1736"/>
  <c r="CS1734"/>
  <c r="CS1732"/>
  <c r="CS1730"/>
  <c r="CS1728"/>
  <c r="CS1726"/>
  <c r="CT1762"/>
  <c r="CT1760"/>
  <c r="CT1758"/>
  <c r="CT1756"/>
  <c r="CT1754"/>
  <c r="CT1752"/>
  <c r="CT1750"/>
  <c r="CT1748"/>
  <c r="CT1746"/>
  <c r="CT1744"/>
  <c r="CT1742"/>
  <c r="CT1740"/>
  <c r="CT1738"/>
  <c r="CT1736"/>
  <c r="CT1734"/>
  <c r="CT1732"/>
  <c r="CT1730"/>
  <c r="CT1728"/>
  <c r="CT1726"/>
  <c r="CU1762"/>
  <c r="CU1760"/>
  <c r="CU1758"/>
  <c r="CU1756"/>
  <c r="CU1754"/>
  <c r="CU1752"/>
  <c r="CU1750"/>
  <c r="CU1748"/>
  <c r="CU1746"/>
  <c r="CU1744"/>
  <c r="CU1742"/>
  <c r="CU1740"/>
  <c r="CU1738"/>
  <c r="CU1736"/>
  <c r="CU1734"/>
  <c r="CU1732"/>
  <c r="CU1730"/>
  <c r="CU1728"/>
  <c r="CU1726"/>
  <c r="FS1762"/>
  <c r="FS1760"/>
  <c r="FS1758"/>
  <c r="FS1756"/>
  <c r="FS1754"/>
  <c r="FS1752"/>
  <c r="FS1750"/>
  <c r="FS1748"/>
  <c r="FS1746"/>
  <c r="FS1744"/>
  <c r="FS1742"/>
  <c r="FS1740"/>
  <c r="FS1738"/>
  <c r="FS1736"/>
  <c r="FS1734"/>
  <c r="FS1732"/>
  <c r="FS1730"/>
  <c r="FS1728"/>
  <c r="FS1725"/>
  <c r="FT1761"/>
  <c r="FT1759"/>
  <c r="FT1757"/>
  <c r="FT1755"/>
  <c r="FT1753"/>
  <c r="FT1751"/>
  <c r="FT1749"/>
  <c r="FT1747"/>
  <c r="FT1745"/>
  <c r="FT1743"/>
  <c r="FT1741"/>
  <c r="FT1739"/>
  <c r="FT1737"/>
  <c r="FT1735"/>
  <c r="FT1733"/>
  <c r="FT1731"/>
  <c r="FT1729"/>
  <c r="FT1726"/>
  <c r="FU1762"/>
  <c r="FU1760"/>
  <c r="FU1758"/>
  <c r="FU1756"/>
  <c r="FU1754"/>
  <c r="FU1752"/>
  <c r="FU1750"/>
  <c r="FU1748"/>
  <c r="FU1746"/>
  <c r="FU1744"/>
  <c r="FU1742"/>
  <c r="FU1740"/>
  <c r="FU1738"/>
  <c r="FU1736"/>
  <c r="FU1734"/>
  <c r="FU1732"/>
  <c r="FU1730"/>
  <c r="FU1728"/>
  <c r="FU1725"/>
  <c r="FV1761"/>
  <c r="FV1759"/>
  <c r="FV1757"/>
  <c r="FV1755"/>
  <c r="FV1753"/>
  <c r="FV1751"/>
  <c r="FV1749"/>
  <c r="FV1747"/>
  <c r="FV1745"/>
  <c r="FV1743"/>
  <c r="FV1741"/>
  <c r="FV1739"/>
  <c r="FV1737"/>
  <c r="FV1735"/>
  <c r="FV1733"/>
  <c r="FV1731"/>
  <c r="FV1729"/>
  <c r="FV1726"/>
  <c r="FW1762"/>
  <c r="FW1760"/>
  <c r="FW1758"/>
  <c r="FW1756"/>
  <c r="FW1754"/>
  <c r="FW1752"/>
  <c r="FW1750"/>
  <c r="FW1748"/>
  <c r="FW1746"/>
  <c r="FW1744"/>
  <c r="FW1742"/>
  <c r="FW1740"/>
  <c r="FW1738"/>
  <c r="FW1736"/>
  <c r="FW1734"/>
  <c r="FW1732"/>
  <c r="FW1730"/>
  <c r="FW1728"/>
  <c r="FW1725"/>
  <c r="FX1761"/>
  <c r="FX1759"/>
  <c r="FX1757"/>
  <c r="FX1755"/>
  <c r="FX1753"/>
  <c r="FX1751"/>
  <c r="FX1749"/>
  <c r="FX1747"/>
  <c r="FX1745"/>
  <c r="FX1743"/>
  <c r="FX1741"/>
  <c r="FX1739"/>
  <c r="FX1737"/>
  <c r="FX1735"/>
  <c r="FX1733"/>
  <c r="FX1731"/>
  <c r="FX1729"/>
  <c r="FX1726"/>
  <c r="FY1762"/>
  <c r="FY1760"/>
  <c r="FY1758"/>
  <c r="FY1756"/>
  <c r="FY1754"/>
  <c r="FY1752"/>
  <c r="FY1750"/>
  <c r="FY1748"/>
  <c r="FY1746"/>
  <c r="FY1744"/>
  <c r="FY1742"/>
  <c r="FY1740"/>
  <c r="FY1738"/>
  <c r="FY1736"/>
  <c r="FY1734"/>
  <c r="FY1732"/>
  <c r="FY1730"/>
  <c r="FY1728"/>
  <c r="FY1725"/>
  <c r="FZ1761"/>
  <c r="FZ1759"/>
  <c r="FZ1757"/>
  <c r="FZ1755"/>
  <c r="FZ1753"/>
  <c r="FZ1751"/>
  <c r="FZ1749"/>
  <c r="FZ1747"/>
  <c r="FZ1745"/>
  <c r="FZ1743"/>
  <c r="FZ1741"/>
  <c r="FZ1739"/>
  <c r="FZ1737"/>
  <c r="FZ1735"/>
  <c r="FZ1733"/>
  <c r="FZ1731"/>
  <c r="FZ1729"/>
  <c r="FZ1726"/>
  <c r="GA1762"/>
  <c r="GA1760"/>
  <c r="GA1758"/>
  <c r="GA1756"/>
  <c r="GA1754"/>
  <c r="GA1752"/>
  <c r="GA1750"/>
  <c r="GA1748"/>
  <c r="GA1746"/>
  <c r="GA1744"/>
  <c r="GA1742"/>
  <c r="GA1740"/>
  <c r="GA1738"/>
  <c r="GA1736"/>
  <c r="GA1734"/>
  <c r="GA1732"/>
  <c r="GA1730"/>
  <c r="GA1728"/>
  <c r="GA1725"/>
  <c r="GB1761"/>
  <c r="GB1759"/>
  <c r="GB1757"/>
  <c r="GB1755"/>
  <c r="GB1753"/>
  <c r="GB1751"/>
  <c r="GB1749"/>
  <c r="GB1747"/>
  <c r="GB1745"/>
  <c r="GB1743"/>
  <c r="GB1741"/>
  <c r="GB1739"/>
  <c r="GB1737"/>
  <c r="GB1735"/>
  <c r="GB1733"/>
  <c r="GB1731"/>
  <c r="GB1729"/>
  <c r="GB1726"/>
  <c r="GC1762"/>
  <c r="GC1760"/>
  <c r="GC1758"/>
  <c r="GC1756"/>
  <c r="GC1754"/>
  <c r="GC1752"/>
  <c r="GC1750"/>
  <c r="GC1748"/>
  <c r="GC1746"/>
  <c r="GC1744"/>
  <c r="GC1742"/>
  <c r="GC1740"/>
  <c r="GC1738"/>
  <c r="GC1736"/>
  <c r="GC1734"/>
  <c r="GC1732"/>
  <c r="GC1730"/>
  <c r="GC1728"/>
  <c r="GC1725"/>
  <c r="GD1761"/>
  <c r="GD1759"/>
  <c r="GD1757"/>
  <c r="GD1755"/>
  <c r="GD1753"/>
  <c r="GD1751"/>
  <c r="GD1749"/>
  <c r="GD1747"/>
  <c r="GD1745"/>
  <c r="GD1743"/>
  <c r="GD1741"/>
  <c r="GD1739"/>
  <c r="GD1737"/>
  <c r="GD1735"/>
  <c r="GD1733"/>
  <c r="GD1731"/>
  <c r="GD1729"/>
  <c r="GD1726"/>
  <c r="GE1762"/>
  <c r="GE1760"/>
  <c r="GE1758"/>
  <c r="GE1756"/>
  <c r="GE1754"/>
  <c r="GE1752"/>
  <c r="GE1750"/>
  <c r="GE1748"/>
  <c r="GE1746"/>
  <c r="GE1744"/>
  <c r="GE1742"/>
  <c r="GE1740"/>
  <c r="GE1738"/>
  <c r="GE1736"/>
  <c r="GE1734"/>
  <c r="GE1732"/>
  <c r="GE1730"/>
  <c r="GE1728"/>
  <c r="GE1725"/>
  <c r="GF1761"/>
  <c r="GF1759"/>
  <c r="GF1757"/>
  <c r="GF1755"/>
  <c r="GF1753"/>
  <c r="GF1751"/>
  <c r="GF1749"/>
  <c r="GF1747"/>
  <c r="GF1745"/>
  <c r="GF1743"/>
  <c r="GF1741"/>
  <c r="GF1739"/>
  <c r="GF1737"/>
  <c r="GF1735"/>
  <c r="GF1733"/>
  <c r="GF1731"/>
  <c r="GF1729"/>
  <c r="GF1726"/>
  <c r="GG1762"/>
  <c r="GG1760"/>
  <c r="GG1758"/>
  <c r="GG1756"/>
  <c r="GG1754"/>
  <c r="GG1752"/>
  <c r="GG1750"/>
  <c r="GG1748"/>
  <c r="GG1746"/>
  <c r="GG1744"/>
  <c r="GG1742"/>
  <c r="GG1740"/>
  <c r="GG1738"/>
  <c r="GG1736"/>
  <c r="GG1734"/>
  <c r="GG1732"/>
  <c r="GG1730"/>
  <c r="GG1728"/>
  <c r="GG1725"/>
  <c r="GH1761"/>
  <c r="GH1759"/>
  <c r="GH1757"/>
  <c r="GH1755"/>
  <c r="GH1753"/>
  <c r="GH1751"/>
  <c r="GH1749"/>
  <c r="GH1747"/>
  <c r="GH1744"/>
  <c r="GH1740"/>
  <c r="GH1736"/>
  <c r="GH1732"/>
  <c r="GH1728"/>
  <c r="GI1761"/>
  <c r="GI1757"/>
  <c r="GI1753"/>
  <c r="GI1749"/>
  <c r="GI1745"/>
  <c r="GI1741"/>
  <c r="GI1737"/>
  <c r="GI1733"/>
  <c r="GI1729"/>
  <c r="GJ1762"/>
  <c r="GJ1758"/>
  <c r="GJ1754"/>
  <c r="GJ1750"/>
  <c r="GJ1746"/>
  <c r="GJ1742"/>
  <c r="GJ1738"/>
  <c r="GJ1734"/>
  <c r="GJ1730"/>
  <c r="GJ1725"/>
  <c r="GK1759"/>
  <c r="GK1755"/>
  <c r="GK1751"/>
  <c r="GK1747"/>
  <c r="GK1743"/>
  <c r="GK1739"/>
  <c r="GK1735"/>
  <c r="GK1731"/>
  <c r="GK1726"/>
  <c r="GL1760"/>
  <c r="GL1756"/>
  <c r="GL1752"/>
  <c r="GL1748"/>
  <c r="GL1744"/>
  <c r="GL1740"/>
  <c r="GL1736"/>
  <c r="GL1732"/>
  <c r="GL1728"/>
  <c r="GM1761"/>
  <c r="GM1757"/>
  <c r="GM1753"/>
  <c r="GM1749"/>
  <c r="GM1745"/>
  <c r="GM1741"/>
  <c r="GM1737"/>
  <c r="GM1733"/>
  <c r="GM1729"/>
  <c r="GM1725"/>
  <c r="GN1759"/>
  <c r="GN1755"/>
  <c r="GN1751"/>
  <c r="GN1747"/>
  <c r="GN1743"/>
  <c r="GN1739"/>
  <c r="GN1735"/>
  <c r="GN1731"/>
  <c r="GN1727"/>
  <c r="GO1761"/>
  <c r="GO1757"/>
  <c r="GO1753"/>
  <c r="GO1749"/>
  <c r="GO1745"/>
  <c r="GO1741"/>
  <c r="GO1737"/>
  <c r="GO1733"/>
  <c r="GO1729"/>
  <c r="GO1725"/>
  <c r="GP1759"/>
  <c r="GP1755"/>
  <c r="GP1751"/>
  <c r="GP1747"/>
  <c r="GP1743"/>
  <c r="GP1739"/>
  <c r="GP1735"/>
  <c r="GP1731"/>
  <c r="GP1727"/>
  <c r="GQ1761"/>
  <c r="GQ1757"/>
  <c r="GQ1753"/>
  <c r="GQ1749"/>
  <c r="GQ1745"/>
  <c r="GQ1741"/>
  <c r="GQ1737"/>
  <c r="GQ1733"/>
  <c r="GQ1729"/>
  <c r="GQ1725"/>
  <c r="GR1759"/>
  <c r="GR1755"/>
  <c r="GR1751"/>
  <c r="GR1747"/>
  <c r="GR1743"/>
  <c r="GR1739"/>
  <c r="GR1735"/>
  <c r="GR1731"/>
  <c r="GR1727"/>
  <c r="GS1761"/>
  <c r="GS1757"/>
  <c r="GS1753"/>
  <c r="GS1749"/>
  <c r="GS1745"/>
  <c r="GS1741"/>
  <c r="GS1737"/>
  <c r="GS1733"/>
  <c r="GS1729"/>
  <c r="GS1725"/>
  <c r="GT1759"/>
  <c r="GT1755"/>
  <c r="GT1751"/>
  <c r="GT1747"/>
  <c r="GT1743"/>
  <c r="GT1739"/>
  <c r="GT1735"/>
  <c r="GT1731"/>
  <c r="GT1727"/>
  <c r="GU1761"/>
  <c r="GU1757"/>
  <c r="GU1753"/>
  <c r="GU1749"/>
  <c r="GU1745"/>
  <c r="GU1741"/>
  <c r="GU1737"/>
  <c r="GU1733"/>
  <c r="GU1729"/>
  <c r="GU1725"/>
  <c r="GV1759"/>
  <c r="GV1755"/>
  <c r="GV1751"/>
  <c r="GV1747"/>
  <c r="GV1743"/>
  <c r="GV1739"/>
  <c r="GV1735"/>
  <c r="GV1731"/>
  <c r="GV1727"/>
  <c r="GW1761"/>
  <c r="GW1757"/>
  <c r="GW1753"/>
  <c r="GW1749"/>
  <c r="GW1745"/>
  <c r="GW1741"/>
  <c r="GW1737"/>
  <c r="GW1733"/>
  <c r="GW1729"/>
  <c r="GW1725"/>
  <c r="GX1759"/>
  <c r="GX1755"/>
  <c r="GX1751"/>
  <c r="GX1747"/>
  <c r="GX1743"/>
  <c r="GX1739"/>
  <c r="GX1735"/>
  <c r="GX1731"/>
  <c r="GX1727"/>
  <c r="GY1761"/>
  <c r="GY1757"/>
  <c r="GY1753"/>
  <c r="GY1749"/>
  <c r="GY1745"/>
  <c r="GY1741"/>
  <c r="GY1737"/>
  <c r="GY1733"/>
  <c r="GY1729"/>
  <c r="GY1725"/>
  <c r="GZ1759"/>
  <c r="GZ1755"/>
  <c r="GZ1751"/>
  <c r="GZ1747"/>
  <c r="GZ1743"/>
  <c r="GZ1739"/>
  <c r="GZ1735"/>
  <c r="GZ1731"/>
  <c r="GZ1727"/>
  <c r="HA1761"/>
  <c r="HA1757"/>
  <c r="HA1753"/>
  <c r="HA1749"/>
  <c r="HA1745"/>
  <c r="HA1741"/>
  <c r="HA1737"/>
  <c r="HA1733"/>
  <c r="HA1729"/>
  <c r="HA1725"/>
  <c r="HB1759"/>
  <c r="HB1755"/>
  <c r="HB1751"/>
  <c r="HB1747"/>
  <c r="HB1743"/>
  <c r="HB1739"/>
  <c r="HB1735"/>
  <c r="HB1731"/>
  <c r="HB1727"/>
  <c r="HC1761"/>
  <c r="HC1757"/>
  <c r="HC1753"/>
  <c r="HC1749"/>
  <c r="HC1745"/>
  <c r="HC1741"/>
  <c r="HC1737"/>
  <c r="HC1733"/>
  <c r="HC1729"/>
  <c r="HC1725"/>
  <c r="HD1759"/>
  <c r="HD1755"/>
  <c r="HD1751"/>
  <c r="HD1747"/>
  <c r="HD1743"/>
  <c r="HD1739"/>
  <c r="HD1735"/>
  <c r="HD1731"/>
  <c r="HD1727"/>
  <c r="HE1761"/>
  <c r="HE1757"/>
  <c r="HE1753"/>
  <c r="HE1749"/>
  <c r="HE1745"/>
  <c r="HE1741"/>
  <c r="HE1737"/>
  <c r="HE1733"/>
  <c r="HE1729"/>
  <c r="HE1725"/>
  <c r="HF1759"/>
  <c r="HF1755"/>
  <c r="HF1751"/>
  <c r="HF1747"/>
  <c r="HF1743"/>
  <c r="HF1739"/>
  <c r="HF1735"/>
  <c r="HF1731"/>
  <c r="HF1727"/>
  <c r="HG1761"/>
  <c r="HG1757"/>
  <c r="HG1753"/>
  <c r="HG1749"/>
  <c r="HG1745"/>
  <c r="HG1741"/>
  <c r="HG1737"/>
  <c r="HG1733"/>
  <c r="HG1729"/>
  <c r="HG1725"/>
  <c r="HH1759"/>
  <c r="HH1755"/>
  <c r="HH1751"/>
  <c r="HH1747"/>
  <c r="HH1743"/>
  <c r="HH1739"/>
  <c r="HH1735"/>
  <c r="HH1731"/>
  <c r="HH1727"/>
  <c r="HI1761"/>
  <c r="HI1757"/>
  <c r="HI1753"/>
  <c r="HI1749"/>
  <c r="HI1745"/>
  <c r="HI1741"/>
  <c r="HI1737"/>
  <c r="HI1733"/>
  <c r="HI1729"/>
  <c r="HI1725"/>
  <c r="HJ1759"/>
  <c r="HJ1755"/>
  <c r="HJ1751"/>
  <c r="HJ1747"/>
  <c r="HJ1743"/>
  <c r="HJ1739"/>
  <c r="HJ1735"/>
  <c r="HJ1731"/>
  <c r="HJ1727"/>
  <c r="HK1761"/>
  <c r="HK1757"/>
  <c r="HK1753"/>
  <c r="HK1749"/>
  <c r="HK1745"/>
  <c r="HK1741"/>
  <c r="HK1737"/>
  <c r="HK1733"/>
  <c r="HK1729"/>
  <c r="HK1725"/>
  <c r="AW1759"/>
  <c r="AW1755"/>
  <c r="AW1751"/>
  <c r="AW1747"/>
  <c r="AW1743"/>
  <c r="AW1739"/>
  <c r="AW1735"/>
  <c r="AW1731"/>
  <c r="AW1727"/>
  <c r="BB1761"/>
  <c r="BB1757"/>
  <c r="BB1753"/>
  <c r="BB1749"/>
  <c r="BB1745"/>
  <c r="BB1741"/>
  <c r="BB1737"/>
  <c r="BB1733"/>
  <c r="BB1729"/>
  <c r="BB1725"/>
  <c r="AV1759"/>
  <c r="AV1755"/>
  <c r="AV1751"/>
  <c r="AV1747"/>
  <c r="AV1743"/>
  <c r="AV1739"/>
  <c r="AV1735"/>
  <c r="AV1731"/>
  <c r="AV1727"/>
  <c r="BA1761"/>
  <c r="BA1757"/>
  <c r="BA1753"/>
  <c r="BA1749"/>
  <c r="BA1745"/>
  <c r="BA1741"/>
  <c r="BA1737"/>
  <c r="BA1733"/>
  <c r="BA1729"/>
  <c r="BA1725"/>
  <c r="AU1759"/>
  <c r="AU1755"/>
  <c r="AU1751"/>
  <c r="AU1747"/>
  <c r="AU1743"/>
  <c r="AU1739"/>
  <c r="AU1735"/>
  <c r="AU1731"/>
  <c r="AU1727"/>
  <c r="AZ1761"/>
  <c r="AZ1757"/>
  <c r="AZ1753"/>
  <c r="AZ1749"/>
  <c r="AZ1745"/>
  <c r="AZ1741"/>
  <c r="AZ1737"/>
  <c r="AZ1733"/>
  <c r="AZ1729"/>
  <c r="AZ1725"/>
  <c r="AT1759"/>
  <c r="AT1755"/>
  <c r="AT1751"/>
  <c r="AT1747"/>
  <c r="AT1743"/>
  <c r="AT1739"/>
  <c r="AT1735"/>
  <c r="AT1731"/>
  <c r="AT1727"/>
  <c r="AY1761"/>
  <c r="AY1757"/>
  <c r="AY1753"/>
  <c r="AY1749"/>
  <c r="AY1745"/>
  <c r="AY1741"/>
  <c r="AY1737"/>
  <c r="AY1733"/>
  <c r="AY1729"/>
  <c r="AY1725"/>
  <c r="AS1759"/>
  <c r="AS1755"/>
  <c r="AS1751"/>
  <c r="AS1747"/>
  <c r="AS1743"/>
  <c r="AS1739"/>
  <c r="AS1735"/>
  <c r="AS1731"/>
  <c r="AS1727"/>
  <c r="AX1761"/>
  <c r="AX1757"/>
  <c r="AX1753"/>
  <c r="AX1749"/>
  <c r="AX1745"/>
  <c r="AX1741"/>
  <c r="AX1737"/>
  <c r="AX1733"/>
  <c r="AX1729"/>
  <c r="AX1725"/>
  <c r="BL1759"/>
  <c r="BL1755"/>
  <c r="BL1751"/>
  <c r="BL1747"/>
  <c r="BL1743"/>
  <c r="BL1739"/>
  <c r="BL1735"/>
  <c r="BL1731"/>
  <c r="BL1727"/>
  <c r="BQ1761"/>
  <c r="BQ1757"/>
  <c r="BQ1753"/>
  <c r="BQ1749"/>
  <c r="BQ1745"/>
  <c r="BQ1741"/>
  <c r="BQ1737"/>
  <c r="BQ1733"/>
  <c r="BQ1729"/>
  <c r="BQ1725"/>
  <c r="BK1759"/>
  <c r="BK1755"/>
  <c r="BK1751"/>
  <c r="BK1747"/>
  <c r="BK1743"/>
  <c r="BK1739"/>
  <c r="BK1735"/>
  <c r="BK1731"/>
  <c r="BK1727"/>
  <c r="BP1761"/>
  <c r="BP1757"/>
  <c r="BP1753"/>
  <c r="BP1749"/>
  <c r="BP1745"/>
  <c r="BP1741"/>
  <c r="BP1737"/>
  <c r="BP1733"/>
  <c r="BP1729"/>
  <c r="BP1725"/>
  <c r="BJ1759"/>
  <c r="BJ1755"/>
  <c r="BJ1751"/>
  <c r="BJ1747"/>
  <c r="BJ1743"/>
  <c r="BJ1739"/>
  <c r="BJ1735"/>
  <c r="BJ1731"/>
  <c r="BJ1727"/>
  <c r="BO1761"/>
  <c r="BO1757"/>
  <c r="BO1753"/>
  <c r="BO1749"/>
  <c r="BO1745"/>
  <c r="BO1741"/>
  <c r="BO1737"/>
  <c r="BO1733"/>
  <c r="BO1729"/>
  <c r="BO1725"/>
  <c r="BI1759"/>
  <c r="BI1755"/>
  <c r="BI1751"/>
  <c r="BI1747"/>
  <c r="BI1743"/>
  <c r="BI1739"/>
  <c r="BI1735"/>
  <c r="BI1731"/>
  <c r="BI1727"/>
  <c r="BN1761"/>
  <c r="BN1757"/>
  <c r="BN1753"/>
  <c r="BN1749"/>
  <c r="BN1745"/>
  <c r="BN1741"/>
  <c r="BN1737"/>
  <c r="BN1733"/>
  <c r="BN1729"/>
  <c r="BN1725"/>
  <c r="BM1725"/>
  <c r="DO1759"/>
  <c r="DO1755"/>
  <c r="DO1751"/>
  <c r="DO1747"/>
  <c r="DO1743"/>
  <c r="DO1739"/>
  <c r="DO1735"/>
  <c r="DO1731"/>
  <c r="DO1727"/>
  <c r="DJ1761"/>
  <c r="DJ1757"/>
  <c r="DJ1753"/>
  <c r="DJ1749"/>
  <c r="DJ1745"/>
  <c r="DJ1741"/>
  <c r="DJ1737"/>
  <c r="DJ1733"/>
  <c r="DJ1729"/>
  <c r="DJ1725"/>
  <c r="DE1759"/>
  <c r="DE1755"/>
  <c r="DE1751"/>
  <c r="DE1747"/>
  <c r="DE1743"/>
  <c r="DE1739"/>
  <c r="DE1735"/>
  <c r="DE1731"/>
  <c r="DE1727"/>
  <c r="DN1761"/>
  <c r="DN1757"/>
  <c r="DN1753"/>
  <c r="DN1749"/>
  <c r="DN1745"/>
  <c r="DN1741"/>
  <c r="DN1737"/>
  <c r="DN1733"/>
  <c r="DN1729"/>
  <c r="DN1725"/>
  <c r="DI1759"/>
  <c r="DI1755"/>
  <c r="DI1751"/>
  <c r="DI1747"/>
  <c r="DI1743"/>
  <c r="DI1739"/>
  <c r="DI1735"/>
  <c r="DI1731"/>
  <c r="DI1727"/>
  <c r="DD1761"/>
  <c r="DD1757"/>
  <c r="DD1753"/>
  <c r="DD1749"/>
  <c r="DD1745"/>
  <c r="DD1741"/>
  <c r="DD1737"/>
  <c r="DD1733"/>
  <c r="DD1729"/>
  <c r="DD1725"/>
  <c r="DM1759"/>
  <c r="DM1755"/>
  <c r="DM1751"/>
  <c r="DM1747"/>
  <c r="DM1743"/>
  <c r="DM1739"/>
  <c r="DM1735"/>
  <c r="DM1731"/>
  <c r="DM1727"/>
  <c r="DH1761"/>
  <c r="DH1757"/>
  <c r="DH1753"/>
  <c r="DH1749"/>
  <c r="DH1745"/>
  <c r="DH1741"/>
  <c r="DH1737"/>
  <c r="DH1733"/>
  <c r="DH1729"/>
  <c r="DH1725"/>
  <c r="DC1759"/>
  <c r="DC1755"/>
  <c r="DC1751"/>
  <c r="DC1747"/>
  <c r="DC1743"/>
  <c r="DC1739"/>
  <c r="DC1735"/>
  <c r="DC1731"/>
  <c r="DC1727"/>
  <c r="DL1761"/>
  <c r="DL1757"/>
  <c r="DL1753"/>
  <c r="DL1749"/>
  <c r="DL1745"/>
  <c r="DL1741"/>
  <c r="DL1737"/>
  <c r="DL1733"/>
  <c r="DL1729"/>
  <c r="DL1725"/>
  <c r="DG1759"/>
  <c r="DG1755"/>
  <c r="DG1751"/>
  <c r="DG1747"/>
  <c r="DG1743"/>
  <c r="DG1739"/>
  <c r="DG1735"/>
  <c r="DG1731"/>
  <c r="DG1727"/>
  <c r="DB1761"/>
  <c r="DB1757"/>
  <c r="DB1753"/>
  <c r="DB1749"/>
  <c r="DB1745"/>
  <c r="DB1741"/>
  <c r="DB1737"/>
  <c r="DB1733"/>
  <c r="DB1729"/>
  <c r="DB1725"/>
  <c r="DK1759"/>
  <c r="DK1755"/>
  <c r="DK1751"/>
  <c r="DK1747"/>
  <c r="DK1743"/>
  <c r="DK1739"/>
  <c r="DK1735"/>
  <c r="DK1731"/>
  <c r="DK1727"/>
  <c r="DF1761"/>
  <c r="DF1757"/>
  <c r="DF1753"/>
  <c r="DF1749"/>
  <c r="DF1745"/>
  <c r="DF1741"/>
  <c r="DF1737"/>
  <c r="DF1733"/>
  <c r="DF1729"/>
  <c r="DF1725"/>
  <c r="DA1759"/>
  <c r="DA1755"/>
  <c r="DA1751"/>
  <c r="DA1747"/>
  <c r="DA1743"/>
  <c r="DA1739"/>
  <c r="DA1735"/>
  <c r="DA1731"/>
  <c r="DA1727"/>
  <c r="ED1761"/>
  <c r="ED1757"/>
  <c r="ED1753"/>
  <c r="ED1749"/>
  <c r="ED1745"/>
  <c r="ED1741"/>
  <c r="ED1737"/>
  <c r="ED1733"/>
  <c r="ED1729"/>
  <c r="ED1725"/>
  <c r="DY1759"/>
  <c r="DY1755"/>
  <c r="DY1751"/>
  <c r="DY1747"/>
  <c r="DY1743"/>
  <c r="DY1739"/>
  <c r="DY1735"/>
  <c r="DY1731"/>
  <c r="DY1727"/>
  <c r="DT1761"/>
  <c r="DT1757"/>
  <c r="DT1753"/>
  <c r="DT1749"/>
  <c r="DT1745"/>
  <c r="DT1741"/>
  <c r="DT1737"/>
  <c r="DT1733"/>
  <c r="DT1729"/>
  <c r="DT1725"/>
  <c r="EC1759"/>
  <c r="EC1755"/>
  <c r="EC1751"/>
  <c r="EC1747"/>
  <c r="EC1743"/>
  <c r="EC1739"/>
  <c r="EC1735"/>
  <c r="EC1731"/>
  <c r="EC1727"/>
  <c r="DX1761"/>
  <c r="DX1757"/>
  <c r="DX1753"/>
  <c r="DX1749"/>
  <c r="DX1745"/>
  <c r="DX1741"/>
  <c r="DX1737"/>
  <c r="DX1733"/>
  <c r="DX1729"/>
  <c r="DX1725"/>
  <c r="DS1759"/>
  <c r="DS1755"/>
  <c r="DS1751"/>
  <c r="DS1747"/>
  <c r="DS1743"/>
  <c r="DS1739"/>
  <c r="DS1735"/>
  <c r="DS1731"/>
  <c r="DS1727"/>
  <c r="EB1761"/>
  <c r="EB1757"/>
  <c r="EB1753"/>
  <c r="EB1749"/>
  <c r="EB1745"/>
  <c r="EB1741"/>
  <c r="EB1737"/>
  <c r="EB1733"/>
  <c r="EB1729"/>
  <c r="EB1725"/>
  <c r="DW1759"/>
  <c r="DW1755"/>
  <c r="DW1751"/>
  <c r="DW1747"/>
  <c r="DW1743"/>
  <c r="DW1739"/>
  <c r="DW1735"/>
  <c r="DW1731"/>
  <c r="DW1727"/>
  <c r="DR1761"/>
  <c r="DR1757"/>
  <c r="DR1753"/>
  <c r="DR1749"/>
  <c r="DR1745"/>
  <c r="DR1741"/>
  <c r="DR1737"/>
  <c r="DR1733"/>
  <c r="DR1729"/>
  <c r="DR1725"/>
  <c r="EA1759"/>
  <c r="EA1755"/>
  <c r="EA1751"/>
  <c r="EA1747"/>
  <c r="EA1743"/>
  <c r="EA1739"/>
  <c r="EA1735"/>
  <c r="EA1731"/>
  <c r="EA1727"/>
  <c r="DV1761"/>
  <c r="DV1757"/>
  <c r="DV1753"/>
  <c r="DV1749"/>
  <c r="DV1745"/>
  <c r="DV1741"/>
  <c r="DV1737"/>
  <c r="DV1733"/>
  <c r="DV1729"/>
  <c r="DV1725"/>
  <c r="DQ1759"/>
  <c r="DQ1755"/>
  <c r="DQ1751"/>
  <c r="DQ1747"/>
  <c r="DQ1743"/>
  <c r="DQ1739"/>
  <c r="DQ1735"/>
  <c r="DQ1731"/>
  <c r="DQ1727"/>
  <c r="DZ1761"/>
  <c r="DZ1757"/>
  <c r="DZ1753"/>
  <c r="DZ1749"/>
  <c r="DZ1745"/>
  <c r="DZ1741"/>
  <c r="DZ1737"/>
  <c r="DZ1733"/>
  <c r="DZ1729"/>
  <c r="DZ1725"/>
  <c r="DU1759"/>
  <c r="DU1755"/>
  <c r="DU1751"/>
  <c r="DU1747"/>
  <c r="DU1743"/>
  <c r="DU1739"/>
  <c r="DU1735"/>
  <c r="DU1731"/>
  <c r="DU1727"/>
  <c r="DP1761"/>
  <c r="DP1757"/>
  <c r="DP1753"/>
  <c r="DP1749"/>
  <c r="DP1745"/>
  <c r="DP1741"/>
  <c r="DP1737"/>
  <c r="DP1733"/>
  <c r="DP1729"/>
  <c r="DP1725"/>
  <c r="ES1759"/>
  <c r="ES1755"/>
  <c r="ES1751"/>
  <c r="ES1747"/>
  <c r="ES1743"/>
  <c r="ES1739"/>
  <c r="ES1735"/>
  <c r="ES1731"/>
  <c r="ES1727"/>
  <c r="EN1761"/>
  <c r="EN1757"/>
  <c r="EN1753"/>
  <c r="EN1749"/>
  <c r="EN1745"/>
  <c r="EN1741"/>
  <c r="EN1737"/>
  <c r="EN1733"/>
  <c r="EN1729"/>
  <c r="EN1725"/>
  <c r="EI1759"/>
  <c r="EI1755"/>
  <c r="EI1751"/>
  <c r="EI1747"/>
  <c r="EI1743"/>
  <c r="EI1739"/>
  <c r="EI1735"/>
  <c r="EI1731"/>
  <c r="EI1727"/>
  <c r="ER1761"/>
  <c r="ER1756"/>
  <c r="ER1748"/>
  <c r="ER1740"/>
  <c r="ER1732"/>
  <c r="EM1762"/>
  <c r="EM1754"/>
  <c r="EM1746"/>
  <c r="EM1738"/>
  <c r="EM1730"/>
  <c r="EH1760"/>
  <c r="EH1752"/>
  <c r="EH1744"/>
  <c r="EH1736"/>
  <c r="EH1728"/>
  <c r="EQ1758"/>
  <c r="EQ1750"/>
  <c r="EQ1742"/>
  <c r="EQ1734"/>
  <c r="EQ1726"/>
  <c r="EL1756"/>
  <c r="EL1748"/>
  <c r="EL1740"/>
  <c r="EL1732"/>
  <c r="EG1762"/>
  <c r="EG1754"/>
  <c r="EG1746"/>
  <c r="EG1738"/>
  <c r="EG1730"/>
  <c r="EP1760"/>
  <c r="EP1752"/>
  <c r="EP1744"/>
  <c r="EP1736"/>
  <c r="EP1728"/>
  <c r="EK1758"/>
  <c r="EK1750"/>
  <c r="EK1742"/>
  <c r="EK1734"/>
  <c r="EK1726"/>
  <c r="EF1756"/>
  <c r="EF1748"/>
  <c r="EF1740"/>
  <c r="EF1732"/>
  <c r="EO1762"/>
  <c r="EO1754"/>
  <c r="EO1746"/>
  <c r="EO1738"/>
  <c r="EO1730"/>
  <c r="EJ1760"/>
  <c r="EJ1752"/>
  <c r="EJ1744"/>
  <c r="EJ1736"/>
  <c r="EJ1728"/>
  <c r="EE1758"/>
  <c r="EE1750"/>
  <c r="EE1742"/>
  <c r="EE1734"/>
  <c r="EE1726"/>
  <c r="EX1758"/>
  <c r="EX1750"/>
  <c r="EX1742"/>
  <c r="EX1734"/>
  <c r="EX1725"/>
  <c r="EW1755"/>
  <c r="EW1747"/>
  <c r="EW1739"/>
  <c r="EW1731"/>
  <c r="EV1760"/>
  <c r="EV1752"/>
  <c r="EV1744"/>
  <c r="EV1736"/>
  <c r="EV1728"/>
  <c r="EU1757"/>
  <c r="EU1749"/>
  <c r="EU1741"/>
  <c r="EU1733"/>
  <c r="ET1762"/>
  <c r="ET1754"/>
  <c r="ET1746"/>
  <c r="ET1738"/>
  <c r="ET1730"/>
  <c r="FC1759"/>
  <c r="FC1751"/>
  <c r="FC1743"/>
  <c r="FC1735"/>
  <c r="FC1726"/>
  <c r="FB1756"/>
  <c r="FB1748"/>
  <c r="FB1740"/>
  <c r="FB1732"/>
  <c r="FA1761"/>
  <c r="FA1753"/>
  <c r="FA1745"/>
  <c r="FA1737"/>
  <c r="FA1729"/>
  <c r="EZ1758"/>
  <c r="EZ1750"/>
  <c r="EZ1742"/>
  <c r="EZ1734"/>
  <c r="EZ1725"/>
  <c r="EY1755"/>
  <c r="EY1747"/>
  <c r="EY1739"/>
  <c r="EY1731"/>
  <c r="FR1760"/>
  <c r="FR1752"/>
  <c r="FR1744"/>
  <c r="FR1736"/>
  <c r="FR1728"/>
  <c r="FQ1757"/>
  <c r="FQ1749"/>
  <c r="FQ1741"/>
  <c r="FQ1733"/>
  <c r="FP1762"/>
  <c r="FP1754"/>
  <c r="FP1746"/>
  <c r="FP1738"/>
  <c r="FP1730"/>
  <c r="FO1759"/>
  <c r="FO1751"/>
  <c r="FO1743"/>
  <c r="FO1735"/>
  <c r="FO1726"/>
  <c r="FN1756"/>
  <c r="FN1748"/>
  <c r="FN1740"/>
  <c r="FN1732"/>
  <c r="FM1761"/>
  <c r="FM1753"/>
  <c r="FM1745"/>
  <c r="FM1737"/>
  <c r="FM1729"/>
  <c r="FL1758"/>
  <c r="FL1750"/>
  <c r="FL1742"/>
  <c r="FL1734"/>
  <c r="FL1725"/>
  <c r="FK1755"/>
  <c r="FK1747"/>
  <c r="FK1739"/>
  <c r="FK1731"/>
  <c r="FJ1760"/>
  <c r="FJ1752"/>
  <c r="FJ1744"/>
  <c r="FJ1736"/>
  <c r="FJ1728"/>
  <c r="FI1757"/>
  <c r="FI1749"/>
  <c r="FI1741"/>
  <c r="FI1733"/>
  <c r="FH1762"/>
  <c r="FH1754"/>
  <c r="FH1746"/>
  <c r="FH1738"/>
  <c r="FH1730"/>
  <c r="FG1759"/>
  <c r="FG1751"/>
  <c r="FG1743"/>
  <c r="FG1735"/>
  <c r="FG1726"/>
  <c r="FF1756"/>
  <c r="FF1748"/>
  <c r="FF1740"/>
  <c r="FF1732"/>
  <c r="FE1761"/>
  <c r="FE1753"/>
  <c r="FE1745"/>
  <c r="FE1737"/>
  <c r="FE1729"/>
  <c r="FD1758"/>
  <c r="FD1750"/>
  <c r="FD1742"/>
  <c r="FD1734"/>
  <c r="FD1725"/>
  <c r="CZ1726"/>
  <c r="CP1755"/>
  <c r="CP1747"/>
  <c r="CP1739"/>
  <c r="CP1731"/>
  <c r="CF1760"/>
  <c r="CF1752"/>
  <c r="CF1744"/>
  <c r="CF1736"/>
  <c r="CF1728"/>
  <c r="CA1756"/>
  <c r="CA1748"/>
  <c r="CA1740"/>
  <c r="CA1732"/>
  <c r="CO1749"/>
  <c r="CO1733"/>
  <c r="CE1754"/>
  <c r="CE1738"/>
  <c r="BZ1758"/>
  <c r="BZ1742"/>
  <c r="BZ1726"/>
  <c r="CX1726"/>
  <c r="CN1747"/>
  <c r="CN1731"/>
  <c r="CD1752"/>
  <c r="CD1736"/>
  <c r="BY1756"/>
  <c r="BY1740"/>
  <c r="CM1749"/>
  <c r="CM1733"/>
  <c r="CC1754"/>
  <c r="CC1738"/>
  <c r="BX1758"/>
  <c r="BX1742"/>
  <c r="BX1726"/>
  <c r="CV1726"/>
  <c r="CL1747"/>
  <c r="CL1731"/>
  <c r="CB1752"/>
  <c r="CB1736"/>
  <c r="BW1756"/>
  <c r="BW1740"/>
  <c r="BV1726"/>
  <c r="AM1747"/>
  <c r="AM1731"/>
  <c r="AC1752"/>
  <c r="AC1736"/>
  <c r="X1756"/>
  <c r="X1740"/>
  <c r="AL1744"/>
  <c r="AB1749"/>
  <c r="W1753"/>
  <c r="AK1736"/>
  <c r="AA1741"/>
  <c r="V1728"/>
  <c r="AJ1740"/>
  <c r="U1752"/>
  <c r="BR1726"/>
  <c r="Y1740"/>
  <c r="H1830"/>
  <c r="J1830"/>
  <c r="L1830"/>
  <c r="N1830"/>
  <c r="P1830"/>
  <c r="H1841"/>
  <c r="J1841"/>
  <c r="L1841"/>
  <c r="N1841"/>
  <c r="P1841"/>
  <c r="H1852"/>
  <c r="J1852"/>
  <c r="L1852"/>
  <c r="N1852"/>
  <c r="P1852"/>
  <c r="E1958"/>
  <c r="I1958"/>
  <c r="A1511"/>
  <c r="M1513"/>
  <c r="S1519"/>
  <c r="G1564"/>
  <c r="S1528"/>
  <c r="M1532"/>
  <c r="P1532"/>
  <c r="G1579"/>
  <c r="S1552"/>
  <c r="M1564"/>
  <c r="P1564"/>
  <c r="J1570"/>
  <c r="S1570"/>
  <c r="M1579"/>
  <c r="P1579"/>
  <c r="A1592"/>
  <c r="S1594"/>
  <c r="U1599"/>
  <c r="S1605"/>
  <c r="M1613"/>
  <c r="P1613"/>
  <c r="J1617"/>
  <c r="S1617"/>
  <c r="A1512"/>
  <c r="A1578"/>
  <c r="A1593"/>
  <c r="U1612"/>
  <c r="P1633"/>
  <c r="P1637" s="1"/>
  <c r="K1859"/>
  <c r="F108" i="15"/>
  <c r="C109"/>
  <c r="H58" i="8"/>
  <c r="H69" s="1"/>
  <c r="J23"/>
  <c r="J34" s="1"/>
  <c r="F93"/>
  <c r="F104" s="1"/>
  <c r="E1993" i="35"/>
  <c r="I1993"/>
  <c r="F23" i="8"/>
  <c r="F34" s="1"/>
  <c r="D58"/>
  <c r="D69" s="1"/>
  <c r="B93"/>
  <c r="B104" s="1"/>
  <c r="J93"/>
  <c r="J104" s="1"/>
  <c r="F35"/>
  <c r="D70"/>
  <c r="B105"/>
  <c r="J105"/>
  <c r="K1878" i="35"/>
  <c r="F1870"/>
  <c r="AA1727"/>
  <c r="GK48" i="36"/>
  <c r="CZ1727" i="35"/>
  <c r="CF1727"/>
  <c r="CY1727"/>
  <c r="CE1727"/>
  <c r="CX1727"/>
  <c r="CD1727"/>
  <c r="CW1727"/>
  <c r="CC1727"/>
  <c r="CV1727"/>
  <c r="CB1727"/>
  <c r="BV1727"/>
  <c r="AC1727"/>
  <c r="BU1727"/>
  <c r="AB1727"/>
  <c r="BT1727"/>
  <c r="CZ1725"/>
  <c r="CP1725"/>
  <c r="CF1725"/>
  <c r="CA1725"/>
  <c r="CY1725"/>
  <c r="CO1725"/>
  <c r="CE1725"/>
  <c r="BZ1725"/>
  <c r="CX1725"/>
  <c r="CN1725"/>
  <c r="CD1725"/>
  <c r="BY1725"/>
  <c r="CW1725"/>
  <c r="CM1725"/>
  <c r="CC1725"/>
  <c r="BX1725"/>
  <c r="CV1725"/>
  <c r="CL1725"/>
  <c r="CB1725"/>
  <c r="BW1725"/>
  <c r="BV1725"/>
  <c r="AM1725"/>
  <c r="AC1725"/>
  <c r="X1725"/>
  <c r="BU1725"/>
  <c r="AL1725"/>
  <c r="AB1725"/>
  <c r="W1725"/>
  <c r="BT1725"/>
  <c r="AK1725"/>
  <c r="G1552"/>
  <c r="L26" i="3"/>
  <c r="L27" s="1"/>
  <c r="K66" i="8"/>
  <c r="K1954" i="35" s="1"/>
  <c r="E136" i="8"/>
  <c r="E2024" i="35" s="1"/>
  <c r="D23" i="8"/>
  <c r="D34" s="1"/>
  <c r="H23"/>
  <c r="H34" s="1"/>
  <c r="B58"/>
  <c r="B69" s="1"/>
  <c r="F58"/>
  <c r="F69" s="1"/>
  <c r="J58"/>
  <c r="J69" s="1"/>
  <c r="D93"/>
  <c r="D104" s="1"/>
  <c r="H93"/>
  <c r="H104" s="1"/>
  <c r="C128"/>
  <c r="C139" s="1"/>
  <c r="D35"/>
  <c r="B70"/>
  <c r="J70"/>
  <c r="D105"/>
  <c r="H105"/>
  <c r="C140"/>
  <c r="C1993" i="35"/>
  <c r="G1993"/>
  <c r="K1993"/>
  <c r="E2028"/>
  <c r="B41" i="8"/>
  <c r="C1992" i="35"/>
  <c r="E1992"/>
  <c r="G1992"/>
  <c r="I1992"/>
  <c r="K1992"/>
  <c r="E2027"/>
  <c r="C2028"/>
  <c r="B1911"/>
  <c r="D1911"/>
  <c r="F1911"/>
  <c r="H1911"/>
  <c r="J1911"/>
  <c r="B1946"/>
  <c r="D1946"/>
  <c r="F1946"/>
  <c r="H1946"/>
  <c r="J1946"/>
  <c r="B1981"/>
  <c r="D1981"/>
  <c r="F1981"/>
  <c r="H1981"/>
  <c r="J1981"/>
  <c r="B2016"/>
  <c r="B2027" s="1"/>
  <c r="D2016"/>
  <c r="D2027" s="1"/>
  <c r="F2016"/>
  <c r="F2027" s="1"/>
  <c r="H385"/>
  <c r="H402" s="1"/>
  <c r="H49" i="3"/>
  <c r="C23" i="8"/>
  <c r="E23"/>
  <c r="E34" s="1"/>
  <c r="G23"/>
  <c r="G34" s="1"/>
  <c r="I23"/>
  <c r="I34" s="1"/>
  <c r="K23"/>
  <c r="C58"/>
  <c r="E58"/>
  <c r="G58"/>
  <c r="I58"/>
  <c r="K58"/>
  <c r="C93"/>
  <c r="E93"/>
  <c r="G93"/>
  <c r="I93"/>
  <c r="K93"/>
  <c r="E128"/>
  <c r="E139" s="1"/>
  <c r="CR48" i="36"/>
  <c r="FE48"/>
  <c r="I89" s="1"/>
  <c r="GC48"/>
  <c r="CQ48"/>
  <c r="CV48"/>
  <c r="GA48"/>
  <c r="FU48"/>
  <c r="J1654" i="35"/>
  <c r="G1532"/>
  <c r="J1532"/>
  <c r="J1523"/>
  <c r="G1523"/>
  <c r="L379"/>
  <c r="L380" s="1"/>
  <c r="B136" i="8"/>
  <c r="B2024" i="35" s="1"/>
  <c r="D136" i="8"/>
  <c r="D2024" i="35" s="1"/>
  <c r="F136" i="8"/>
  <c r="F2024" i="35" s="1"/>
  <c r="B26" i="8"/>
  <c r="B1931" i="35" s="1"/>
  <c r="K26" i="8"/>
  <c r="I61"/>
  <c r="G1617" i="35"/>
  <c r="A1616"/>
  <c r="T1725"/>
  <c r="Y1725"/>
  <c r="AI1725"/>
  <c r="U1725"/>
  <c r="Z1725"/>
  <c r="AJ1725"/>
  <c r="V1725"/>
  <c r="AA1725"/>
  <c r="T1761"/>
  <c r="Y1761"/>
  <c r="AI1761"/>
  <c r="BR1761"/>
  <c r="U1761"/>
  <c r="Z1761"/>
  <c r="AJ1761"/>
  <c r="BS1761"/>
  <c r="V1761"/>
  <c r="T1759"/>
  <c r="Y1759"/>
  <c r="AI1759"/>
  <c r="BR1759"/>
  <c r="U1759"/>
  <c r="Z1759"/>
  <c r="AJ1759"/>
  <c r="BS1759"/>
  <c r="V1759"/>
  <c r="T1757"/>
  <c r="Y1757"/>
  <c r="AI1757"/>
  <c r="BR1757"/>
  <c r="U1757"/>
  <c r="Z1757"/>
  <c r="AJ1757"/>
  <c r="BS1757"/>
  <c r="V1757"/>
  <c r="T1755"/>
  <c r="Y1755"/>
  <c r="AI1755"/>
  <c r="BR1755"/>
  <c r="U1755"/>
  <c r="Z1755"/>
  <c r="AJ1755"/>
  <c r="BS1755"/>
  <c r="V1755"/>
  <c r="T1753"/>
  <c r="Y1753"/>
  <c r="AI1753"/>
  <c r="BR1753"/>
  <c r="U1753"/>
  <c r="Z1753"/>
  <c r="AJ1753"/>
  <c r="BS1753"/>
  <c r="V1753"/>
  <c r="T1751"/>
  <c r="Y1751"/>
  <c r="AI1751"/>
  <c r="BR1751"/>
  <c r="U1751"/>
  <c r="Z1751"/>
  <c r="AJ1751"/>
  <c r="BS1751"/>
  <c r="V1751"/>
  <c r="T1749"/>
  <c r="Y1749"/>
  <c r="AI1749"/>
  <c r="BR1749"/>
  <c r="U1749"/>
  <c r="Z1749"/>
  <c r="AJ1749"/>
  <c r="BS1749"/>
  <c r="V1749"/>
  <c r="T1747"/>
  <c r="Y1747"/>
  <c r="AI1747"/>
  <c r="BR1747"/>
  <c r="U1747"/>
  <c r="Z1747"/>
  <c r="AJ1747"/>
  <c r="BS1747"/>
  <c r="V1747"/>
  <c r="T1745"/>
  <c r="Y1745"/>
  <c r="AI1745"/>
  <c r="BR1745"/>
  <c r="U1745"/>
  <c r="Z1745"/>
  <c r="AJ1745"/>
  <c r="BS1745"/>
  <c r="V1745"/>
  <c r="T1743"/>
  <c r="Y1743"/>
  <c r="AI1743"/>
  <c r="BR1743"/>
  <c r="U1743"/>
  <c r="Z1743"/>
  <c r="AJ1743"/>
  <c r="BS1743"/>
  <c r="V1743"/>
  <c r="T1741"/>
  <c r="Y1741"/>
  <c r="AI1741"/>
  <c r="BR1741"/>
  <c r="U1741"/>
  <c r="Z1741"/>
  <c r="AJ1741"/>
  <c r="BS1741"/>
  <c r="V1741"/>
  <c r="T1739"/>
  <c r="Y1739"/>
  <c r="AI1739"/>
  <c r="BR1739"/>
  <c r="U1739"/>
  <c r="Z1739"/>
  <c r="AJ1739"/>
  <c r="BS1739"/>
  <c r="V1739"/>
  <c r="T1737"/>
  <c r="Y1737"/>
  <c r="AI1737"/>
  <c r="BR1737"/>
  <c r="U1737"/>
  <c r="Z1737"/>
  <c r="AJ1737"/>
  <c r="BS1737"/>
  <c r="V1737"/>
  <c r="T1735"/>
  <c r="Y1735"/>
  <c r="AI1735"/>
  <c r="BR1735"/>
  <c r="U1735"/>
  <c r="Z1735"/>
  <c r="AJ1735"/>
  <c r="BS1735"/>
  <c r="V1735"/>
  <c r="T1733"/>
  <c r="Y1733"/>
  <c r="AI1733"/>
  <c r="BR1733"/>
  <c r="U1733"/>
  <c r="Z1733"/>
  <c r="AJ1733"/>
  <c r="BS1733"/>
  <c r="V1733"/>
  <c r="T1731"/>
  <c r="Y1731"/>
  <c r="AI1731"/>
  <c r="BR1731"/>
  <c r="U1731"/>
  <c r="Z1731"/>
  <c r="AJ1731"/>
  <c r="BS1731"/>
  <c r="V1731"/>
  <c r="T1729"/>
  <c r="Y1729"/>
  <c r="AI1729"/>
  <c r="BR1729"/>
  <c r="U1729"/>
  <c r="Z1729"/>
  <c r="AJ1729"/>
  <c r="BS1729"/>
  <c r="V1729"/>
  <c r="T1727"/>
  <c r="Y1727"/>
  <c r="AI1727"/>
  <c r="BR1727"/>
  <c r="U1727"/>
  <c r="Z1727"/>
  <c r="Z1763" s="1"/>
  <c r="I1773" s="1"/>
  <c r="AJ1727"/>
  <c r="BS1727"/>
  <c r="V1727"/>
  <c r="O2658"/>
  <c r="R2659"/>
  <c r="O2691"/>
  <c r="R2693"/>
  <c r="D30" i="8"/>
  <c r="M1619" i="35"/>
  <c r="M1636" s="1"/>
  <c r="M1638" s="1"/>
  <c r="M1640" s="1"/>
  <c r="G1600"/>
  <c r="P2624"/>
  <c r="P2786" s="1"/>
  <c r="P2498" s="1"/>
  <c r="C41" i="8"/>
  <c r="B1929" i="35"/>
  <c r="P1619"/>
  <c r="P1636" s="1"/>
  <c r="P1638" s="1"/>
  <c r="P1640" s="1"/>
  <c r="B2028"/>
  <c r="D2028"/>
  <c r="F2028"/>
  <c r="J1579"/>
  <c r="O2786"/>
  <c r="O2498" s="1"/>
  <c r="B1904"/>
  <c r="F139" i="8"/>
  <c r="D41"/>
  <c r="C1929" i="35"/>
  <c r="B1908"/>
  <c r="B1928" s="1"/>
  <c r="J1605"/>
  <c r="FD1727"/>
  <c r="FD1763" s="1"/>
  <c r="B128" i="8"/>
  <c r="B140" s="1"/>
  <c r="D128"/>
  <c r="R2672" i="35"/>
  <c r="E33" i="15"/>
  <c r="S123"/>
  <c r="J1552" i="35"/>
  <c r="S1619"/>
  <c r="J123" i="15"/>
  <c r="J140" s="1"/>
  <c r="J142" s="1"/>
  <c r="J144" s="1"/>
  <c r="G1613" i="35"/>
  <c r="G1513"/>
  <c r="H25" i="8"/>
  <c r="B25"/>
  <c r="B38" s="1"/>
  <c r="B60"/>
  <c r="J25"/>
  <c r="F25"/>
  <c r="F60"/>
  <c r="C26"/>
  <c r="C43" s="1"/>
  <c r="C1931" i="35" s="1"/>
  <c r="K25" i="8"/>
  <c r="I25"/>
  <c r="G25"/>
  <c r="D25"/>
  <c r="D60"/>
  <c r="H60"/>
  <c r="F95"/>
  <c r="G26"/>
  <c r="E61"/>
  <c r="C131"/>
  <c r="C2019" i="35" s="1"/>
  <c r="I26" i="8"/>
  <c r="E26"/>
  <c r="E1914" i="35" s="1"/>
  <c r="C61" i="8"/>
  <c r="G61"/>
  <c r="G1949" i="35" s="1"/>
  <c r="K61" i="8"/>
  <c r="E131"/>
  <c r="E2019" i="35" s="1"/>
  <c r="B1914"/>
  <c r="J26" i="8"/>
  <c r="J1914" i="35" s="1"/>
  <c r="H26" i="8"/>
  <c r="F26"/>
  <c r="D26"/>
  <c r="B61"/>
  <c r="B1949" i="35" s="1"/>
  <c r="D61" i="8"/>
  <c r="F61"/>
  <c r="F1949" i="35" s="1"/>
  <c r="H61" i="8"/>
  <c r="J61"/>
  <c r="B131"/>
  <c r="D131"/>
  <c r="D2019" i="35" s="1"/>
  <c r="F131" i="8"/>
  <c r="A1727" i="35"/>
  <c r="A1763" s="1"/>
  <c r="A1722" s="1"/>
  <c r="FS1727"/>
  <c r="FS1763" s="1"/>
  <c r="FT1727"/>
  <c r="FU1727"/>
  <c r="FV1727"/>
  <c r="FW1727"/>
  <c r="FX1727"/>
  <c r="FY1727"/>
  <c r="FZ1727"/>
  <c r="GA1727"/>
  <c r="GB1727"/>
  <c r="GC1727"/>
  <c r="GC1763" s="1"/>
  <c r="GD1727"/>
  <c r="GE1727"/>
  <c r="GE1763" s="1"/>
  <c r="GF1727"/>
  <c r="GG1727"/>
  <c r="GG1763" s="1"/>
  <c r="GH1727"/>
  <c r="GI1727"/>
  <c r="GI1763" s="1"/>
  <c r="GJ1727"/>
  <c r="GK1727"/>
  <c r="GK1763" s="1"/>
  <c r="GL1727"/>
  <c r="EX1727"/>
  <c r="EX1763" s="1"/>
  <c r="AC1800" s="1"/>
  <c r="EW1727"/>
  <c r="EV1727"/>
  <c r="EV1763" s="1"/>
  <c r="EU1727"/>
  <c r="ET1727"/>
  <c r="ET1763" s="1"/>
  <c r="Y1800" s="1"/>
  <c r="FC1727"/>
  <c r="FB1727"/>
  <c r="FB1763" s="1"/>
  <c r="AB1801" s="1"/>
  <c r="FA1727"/>
  <c r="EZ1727"/>
  <c r="EZ1763" s="1"/>
  <c r="EY1727"/>
  <c r="FR1727"/>
  <c r="FR1763" s="1"/>
  <c r="AC1802" s="1"/>
  <c r="FQ1727"/>
  <c r="FP1727"/>
  <c r="FO1727"/>
  <c r="FN1727"/>
  <c r="FN1763" s="1"/>
  <c r="Y1802" s="1"/>
  <c r="FM1727"/>
  <c r="FL1727"/>
  <c r="FL1763" s="1"/>
  <c r="FK1727"/>
  <c r="FJ1727"/>
  <c r="FJ1763" s="1"/>
  <c r="FI1727"/>
  <c r="FH1727"/>
  <c r="FH1763" s="1"/>
  <c r="AC1804" s="1"/>
  <c r="FG1727"/>
  <c r="FF1727"/>
  <c r="FF1763" s="1"/>
  <c r="FE1727"/>
  <c r="EY48" i="36"/>
  <c r="H86" s="1"/>
  <c r="GA1763" i="35"/>
  <c r="FP1763"/>
  <c r="AA1802" s="1"/>
  <c r="CT48" i="36"/>
  <c r="AU48"/>
  <c r="J66" s="1"/>
  <c r="AY48"/>
  <c r="I65" s="1"/>
  <c r="BD48"/>
  <c r="BN48"/>
  <c r="Z69" s="1"/>
  <c r="P1727" i="35"/>
  <c r="P1725"/>
  <c r="H97" i="36"/>
  <c r="Y97"/>
  <c r="BW48"/>
  <c r="H92" s="1"/>
  <c r="AL48"/>
  <c r="K60" s="1"/>
  <c r="AJ48"/>
  <c r="Z60" s="1"/>
  <c r="AC48"/>
  <c r="AC58" s="1"/>
  <c r="AC59" s="1"/>
  <c r="AC61" s="1"/>
  <c r="AB48"/>
  <c r="K58" s="1"/>
  <c r="AA48"/>
  <c r="J58" s="1"/>
  <c r="Z48"/>
  <c r="Z58" s="1"/>
  <c r="Y48"/>
  <c r="Y58" s="1"/>
  <c r="FO48"/>
  <c r="I87" s="1"/>
  <c r="GI48"/>
  <c r="FY48"/>
  <c r="FW48"/>
  <c r="FS48"/>
  <c r="CQ1763" i="35"/>
  <c r="CR1763"/>
  <c r="CS1763"/>
  <c r="CT1763"/>
  <c r="CU1763"/>
  <c r="GB1763"/>
  <c r="GD1763"/>
  <c r="GF1763"/>
  <c r="GH1763"/>
  <c r="CY48" i="36"/>
  <c r="CX48"/>
  <c r="J97" s="1"/>
  <c r="CW48"/>
  <c r="BA48"/>
  <c r="K65" s="1"/>
  <c r="AD57"/>
  <c r="Z65"/>
  <c r="DG48"/>
  <c r="I74" s="1"/>
  <c r="DB48"/>
  <c r="I73" s="1"/>
  <c r="DK48"/>
  <c r="DF48"/>
  <c r="H74" s="1"/>
  <c r="DA48"/>
  <c r="H73" s="1"/>
  <c r="ED48"/>
  <c r="DY48"/>
  <c r="L77" s="1"/>
  <c r="DT48"/>
  <c r="L76" s="1"/>
  <c r="EC48"/>
  <c r="DX48"/>
  <c r="K77" s="1"/>
  <c r="DS48"/>
  <c r="K76" s="1"/>
  <c r="EB48"/>
  <c r="DW48"/>
  <c r="J77" s="1"/>
  <c r="DR48"/>
  <c r="AA76" s="1"/>
  <c r="EA48"/>
  <c r="DV48"/>
  <c r="I77" s="1"/>
  <c r="DQ48"/>
  <c r="I76" s="1"/>
  <c r="DZ48"/>
  <c r="DU48"/>
  <c r="H77" s="1"/>
  <c r="DP48"/>
  <c r="H76" s="1"/>
  <c r="ES48"/>
  <c r="EN48"/>
  <c r="AC80" s="1"/>
  <c r="EI48"/>
  <c r="L79" s="1"/>
  <c r="ER48"/>
  <c r="EM48"/>
  <c r="K80" s="1"/>
  <c r="EH48"/>
  <c r="K79" s="1"/>
  <c r="EQ48"/>
  <c r="EL48"/>
  <c r="J80" s="1"/>
  <c r="EG48"/>
  <c r="J79" s="1"/>
  <c r="EP48"/>
  <c r="EK48"/>
  <c r="I80" s="1"/>
  <c r="EF48"/>
  <c r="Z79" s="1"/>
  <c r="EO48"/>
  <c r="EJ48"/>
  <c r="H80" s="1"/>
  <c r="EE48"/>
  <c r="H79" s="1"/>
  <c r="AT48"/>
  <c r="I66" s="1"/>
  <c r="I67" s="1"/>
  <c r="AV48"/>
  <c r="K66" s="1"/>
  <c r="BB48"/>
  <c r="AC65" s="1"/>
  <c r="AZ48"/>
  <c r="J65" s="1"/>
  <c r="J67" s="1"/>
  <c r="AX48"/>
  <c r="Y65" s="1"/>
  <c r="AR48"/>
  <c r="AN48"/>
  <c r="AD1763" i="35"/>
  <c r="AE1763"/>
  <c r="AF1763"/>
  <c r="AG1763"/>
  <c r="AH1763"/>
  <c r="AN1763"/>
  <c r="AO1763"/>
  <c r="AP1763"/>
  <c r="AQ1763"/>
  <c r="AR1763"/>
  <c r="BC1763"/>
  <c r="BD1763"/>
  <c r="BE1763"/>
  <c r="BF1763"/>
  <c r="BG1763"/>
  <c r="CJ1763"/>
  <c r="CK1763"/>
  <c r="CZ48" i="36"/>
  <c r="AC97" s="1"/>
  <c r="CG1763" i="35"/>
  <c r="CH1763"/>
  <c r="CI1763"/>
  <c r="CU48" i="36"/>
  <c r="CS48"/>
  <c r="L1763" i="35"/>
  <c r="L1764" s="1"/>
  <c r="G1817" s="1"/>
  <c r="EW1763"/>
  <c r="K1800" s="1"/>
  <c r="EU1763"/>
  <c r="I1800" s="1"/>
  <c r="FC1763"/>
  <c r="AC1801" s="1"/>
  <c r="FA1763"/>
  <c r="AA1801" s="1"/>
  <c r="EY1763"/>
  <c r="Y1801" s="1"/>
  <c r="FQ1763"/>
  <c r="K1802" s="1"/>
  <c r="BV48" i="36"/>
  <c r="AC62" s="1"/>
  <c r="BU48"/>
  <c r="AB62" s="1"/>
  <c r="BT48"/>
  <c r="AA62" s="1"/>
  <c r="BS48"/>
  <c r="Z62" s="1"/>
  <c r="BR48"/>
  <c r="Y62" s="1"/>
  <c r="FT1763" i="35"/>
  <c r="FU1763"/>
  <c r="FV1763"/>
  <c r="FW1763"/>
  <c r="FX1763"/>
  <c r="FY1763"/>
  <c r="FZ1763"/>
  <c r="GJ1763"/>
  <c r="GL1763"/>
  <c r="GL48" i="36"/>
  <c r="GJ48"/>
  <c r="GH48"/>
  <c r="GB48"/>
  <c r="FZ48"/>
  <c r="FX48"/>
  <c r="FV48"/>
  <c r="FT48"/>
  <c r="FM48"/>
  <c r="L88" s="1"/>
  <c r="FK48"/>
  <c r="J88" s="1"/>
  <c r="FI48"/>
  <c r="H88" s="1"/>
  <c r="FQ48"/>
  <c r="K87" s="1"/>
  <c r="EW48"/>
  <c r="K85" s="1"/>
  <c r="EU48"/>
  <c r="I85" s="1"/>
  <c r="GV48"/>
  <c r="GU48"/>
  <c r="GT48"/>
  <c r="GS48"/>
  <c r="GR48"/>
  <c r="DO48"/>
  <c r="DJ48"/>
  <c r="L74" s="1"/>
  <c r="DE48"/>
  <c r="L73" s="1"/>
  <c r="DN48"/>
  <c r="DI48"/>
  <c r="K74" s="1"/>
  <c r="DD48"/>
  <c r="K73" s="1"/>
  <c r="DM48"/>
  <c r="DH48"/>
  <c r="AA74" s="1"/>
  <c r="DC48"/>
  <c r="J73" s="1"/>
  <c r="DL48"/>
  <c r="FO1763" i="35"/>
  <c r="I1802" s="1"/>
  <c r="FM1763"/>
  <c r="AC1803" s="1"/>
  <c r="FK1763"/>
  <c r="AA1803" s="1"/>
  <c r="FI1763"/>
  <c r="H1803" s="1"/>
  <c r="FG1763"/>
  <c r="AB1804" s="1"/>
  <c r="FE1763"/>
  <c r="I1804" s="1"/>
  <c r="CZ1763"/>
  <c r="L1812" s="1"/>
  <c r="CY1763"/>
  <c r="AB1812" s="1"/>
  <c r="CX1763"/>
  <c r="J1812" s="1"/>
  <c r="CW1763"/>
  <c r="I1812" s="1"/>
  <c r="CV1763"/>
  <c r="H1812" s="1"/>
  <c r="BV1763"/>
  <c r="AC1777" s="1"/>
  <c r="BU1763"/>
  <c r="AB1777" s="1"/>
  <c r="BT1763"/>
  <c r="J1777" s="1"/>
  <c r="BS1763"/>
  <c r="Z1777" s="1"/>
  <c r="BR1763"/>
  <c r="Y1777" s="1"/>
  <c r="Y92" i="36"/>
  <c r="EE1763" i="35"/>
  <c r="Y1794" s="1"/>
  <c r="AH48" i="36"/>
  <c r="AG48"/>
  <c r="AF48"/>
  <c r="AE48"/>
  <c r="AD48"/>
  <c r="AW48"/>
  <c r="L66" s="1"/>
  <c r="AQ48"/>
  <c r="AO48"/>
  <c r="AA65"/>
  <c r="H65"/>
  <c r="CK48"/>
  <c r="CJ48"/>
  <c r="CI48"/>
  <c r="CH48"/>
  <c r="CG48"/>
  <c r="BF48"/>
  <c r="BM48"/>
  <c r="H69" s="1"/>
  <c r="BH48"/>
  <c r="Y70" s="1"/>
  <c r="BL48"/>
  <c r="AC70" s="1"/>
  <c r="BK48"/>
  <c r="AB70" s="1"/>
  <c r="BJ48"/>
  <c r="AA70" s="1"/>
  <c r="BI48"/>
  <c r="Z70" s="1"/>
  <c r="Z71" s="1"/>
  <c r="BQ48"/>
  <c r="AC69" s="1"/>
  <c r="AC71" s="1"/>
  <c r="BP48"/>
  <c r="AB69" s="1"/>
  <c r="BO48"/>
  <c r="AA69" s="1"/>
  <c r="AA71" s="1"/>
  <c r="GM1763" i="35"/>
  <c r="GN1763"/>
  <c r="GO1763"/>
  <c r="GP1763"/>
  <c r="GQ1763"/>
  <c r="GR1763"/>
  <c r="GS1763"/>
  <c r="GT1763"/>
  <c r="GU1763"/>
  <c r="GV1763"/>
  <c r="GW1763"/>
  <c r="GX1763"/>
  <c r="GY1763"/>
  <c r="GZ1763"/>
  <c r="HA1763"/>
  <c r="HB1763"/>
  <c r="HC1763"/>
  <c r="HD1763"/>
  <c r="HE1763"/>
  <c r="HF1763"/>
  <c r="HG1763"/>
  <c r="HH1763"/>
  <c r="HI1763"/>
  <c r="HJ1763"/>
  <c r="HK1763"/>
  <c r="AW1763"/>
  <c r="AC1781" s="1"/>
  <c r="BB1763"/>
  <c r="AC1780" s="1"/>
  <c r="AV1763"/>
  <c r="AB1781" s="1"/>
  <c r="BA1763"/>
  <c r="AB1780" s="1"/>
  <c r="AU1763"/>
  <c r="J1781" s="1"/>
  <c r="AZ1763"/>
  <c r="AA1780" s="1"/>
  <c r="AT1763"/>
  <c r="Z1781" s="1"/>
  <c r="AY1763"/>
  <c r="Z1780" s="1"/>
  <c r="AS1763"/>
  <c r="H1781" s="1"/>
  <c r="AX1763"/>
  <c r="Y1780" s="1"/>
  <c r="BL1763"/>
  <c r="AC1785" s="1"/>
  <c r="BQ1763"/>
  <c r="AC1784" s="1"/>
  <c r="BK1763"/>
  <c r="AB1785" s="1"/>
  <c r="BP1763"/>
  <c r="AB1784" s="1"/>
  <c r="BJ1763"/>
  <c r="AA1785" s="1"/>
  <c r="BO1763"/>
  <c r="AA1784" s="1"/>
  <c r="BI1763"/>
  <c r="I1785" s="1"/>
  <c r="BN1763"/>
  <c r="Z1784" s="1"/>
  <c r="BH1763"/>
  <c r="Y1785" s="1"/>
  <c r="BM1763"/>
  <c r="Y1784" s="1"/>
  <c r="DO1763"/>
  <c r="DJ1763"/>
  <c r="AC1789" s="1"/>
  <c r="DE1763"/>
  <c r="AC1788" s="1"/>
  <c r="DN1763"/>
  <c r="DI1763"/>
  <c r="AB1789" s="1"/>
  <c r="DD1763"/>
  <c r="AB1788" s="1"/>
  <c r="DM1763"/>
  <c r="DH1763"/>
  <c r="J1789" s="1"/>
  <c r="DC1763"/>
  <c r="AA1788" s="1"/>
  <c r="DL1763"/>
  <c r="DG1763"/>
  <c r="Z1789" s="1"/>
  <c r="DB1763"/>
  <c r="Z1788" s="1"/>
  <c r="DK1763"/>
  <c r="DF1763"/>
  <c r="Y1789" s="1"/>
  <c r="DA1763"/>
  <c r="Y1788" s="1"/>
  <c r="ED1763"/>
  <c r="DY1763"/>
  <c r="AC1792" s="1"/>
  <c r="DT1763"/>
  <c r="AC1791" s="1"/>
  <c r="EC1763"/>
  <c r="DX1763"/>
  <c r="AB1792" s="1"/>
  <c r="DS1763"/>
  <c r="AB1791" s="1"/>
  <c r="EB1763"/>
  <c r="DW1763"/>
  <c r="J1792" s="1"/>
  <c r="DR1763"/>
  <c r="AA1791" s="1"/>
  <c r="EA1763"/>
  <c r="DV1763"/>
  <c r="Z1792" s="1"/>
  <c r="DQ1763"/>
  <c r="I1791" s="1"/>
  <c r="DZ1763"/>
  <c r="DU1763"/>
  <c r="Y1792" s="1"/>
  <c r="DP1763"/>
  <c r="Y1791" s="1"/>
  <c r="ES1763"/>
  <c r="EN1763"/>
  <c r="AC1795" s="1"/>
  <c r="EI1763"/>
  <c r="AC1794" s="1"/>
  <c r="ER1763"/>
  <c r="EM1763"/>
  <c r="AB1795" s="1"/>
  <c r="EH1763"/>
  <c r="K1794" s="1"/>
  <c r="EQ1763"/>
  <c r="EL1763"/>
  <c r="AA1795" s="1"/>
  <c r="EG1763"/>
  <c r="AA1794" s="1"/>
  <c r="EP1763"/>
  <c r="EK1763"/>
  <c r="Z1795" s="1"/>
  <c r="EF1763"/>
  <c r="Z1794" s="1"/>
  <c r="EO1763"/>
  <c r="EJ1763"/>
  <c r="Y1795" s="1"/>
  <c r="CP1763"/>
  <c r="L1810" s="1"/>
  <c r="CF1763"/>
  <c r="AC1808" s="1"/>
  <c r="CA1763"/>
  <c r="L1807" s="1"/>
  <c r="CO1763"/>
  <c r="AB1810" s="1"/>
  <c r="CE1763"/>
  <c r="K1808" s="1"/>
  <c r="BZ1763"/>
  <c r="AB1807" s="1"/>
  <c r="CN1763"/>
  <c r="AA1810" s="1"/>
  <c r="CD1763"/>
  <c r="AA1808" s="1"/>
  <c r="BY1763"/>
  <c r="AA1807" s="1"/>
  <c r="CM1763"/>
  <c r="Z1810" s="1"/>
  <c r="CC1763"/>
  <c r="I1808" s="1"/>
  <c r="BX1763"/>
  <c r="Z1807" s="1"/>
  <c r="CL1763"/>
  <c r="H1810" s="1"/>
  <c r="CB1763"/>
  <c r="Y1808" s="1"/>
  <c r="BW1763"/>
  <c r="H1807" s="1"/>
  <c r="AM1763"/>
  <c r="L1775" s="1"/>
  <c r="AC1763"/>
  <c r="AC1773" s="1"/>
  <c r="X1763"/>
  <c r="L1772" s="1"/>
  <c r="AL1763"/>
  <c r="AB1775" s="1"/>
  <c r="AB1763"/>
  <c r="K1773" s="1"/>
  <c r="W1763"/>
  <c r="K1772" s="1"/>
  <c r="AK1763"/>
  <c r="J1775" s="1"/>
  <c r="AA1763"/>
  <c r="AA1773" s="1"/>
  <c r="V1763"/>
  <c r="J1772" s="1"/>
  <c r="AJ1763"/>
  <c r="I1775" s="1"/>
  <c r="AI1763"/>
  <c r="H1775" s="1"/>
  <c r="T1763"/>
  <c r="H1772" s="1"/>
  <c r="K62" i="36"/>
  <c r="K1804" i="35"/>
  <c r="L48" i="36"/>
  <c r="L49" s="1"/>
  <c r="B14" i="8" s="1"/>
  <c r="AB60" i="36"/>
  <c r="AA58"/>
  <c r="AA59" s="1"/>
  <c r="AA61" s="1"/>
  <c r="Y1803" i="35"/>
  <c r="L97" i="36"/>
  <c r="I62"/>
  <c r="FH48"/>
  <c r="L89" s="1"/>
  <c r="FN48"/>
  <c r="FB48"/>
  <c r="K86" s="1"/>
  <c r="EZ48"/>
  <c r="Y74"/>
  <c r="L62"/>
  <c r="AB1802" i="35"/>
  <c r="Z1812"/>
  <c r="J62" i="36"/>
  <c r="Z1800" i="35"/>
  <c r="L1777"/>
  <c r="H1777"/>
  <c r="FF48" i="36"/>
  <c r="J89" s="1"/>
  <c r="GN48"/>
  <c r="GM48"/>
  <c r="FG48"/>
  <c r="K89" s="1"/>
  <c r="FD48"/>
  <c r="H89" s="1"/>
  <c r="FL48"/>
  <c r="K88" s="1"/>
  <c r="FJ48"/>
  <c r="I88" s="1"/>
  <c r="FR48"/>
  <c r="L87" s="1"/>
  <c r="FP48"/>
  <c r="J87" s="1"/>
  <c r="FC48"/>
  <c r="L86" s="1"/>
  <c r="FA48"/>
  <c r="J86" s="1"/>
  <c r="EX48"/>
  <c r="L85" s="1"/>
  <c r="EV48"/>
  <c r="J85" s="1"/>
  <c r="ET48"/>
  <c r="H85" s="1"/>
  <c r="Z73"/>
  <c r="AB79"/>
  <c r="J76"/>
  <c r="L57"/>
  <c r="Y76"/>
  <c r="AS48"/>
  <c r="H66" s="1"/>
  <c r="BC48"/>
  <c r="BE48"/>
  <c r="BG48"/>
  <c r="L1780" i="35"/>
  <c r="H57" i="36"/>
  <c r="Y73"/>
  <c r="AB76"/>
  <c r="I79"/>
  <c r="Z1791" i="35"/>
  <c r="HA48" i="36"/>
  <c r="GZ48"/>
  <c r="GY48"/>
  <c r="GX48"/>
  <c r="GW48"/>
  <c r="HF48"/>
  <c r="HE48"/>
  <c r="HD48"/>
  <c r="HC48"/>
  <c r="HB48"/>
  <c r="HK48"/>
  <c r="HJ48"/>
  <c r="HI48"/>
  <c r="HH48"/>
  <c r="HG48"/>
  <c r="GQ48"/>
  <c r="GP48"/>
  <c r="GO48"/>
  <c r="I97"/>
  <c r="Z97"/>
  <c r="K97"/>
  <c r="AB97"/>
  <c r="A48"/>
  <c r="A7" s="1"/>
  <c r="CP48"/>
  <c r="AC95" s="1"/>
  <c r="CN48"/>
  <c r="J95" s="1"/>
  <c r="CL48"/>
  <c r="H95" s="1"/>
  <c r="CA48"/>
  <c r="AC92" s="1"/>
  <c r="BZ48"/>
  <c r="AB92" s="1"/>
  <c r="BY48"/>
  <c r="J92" s="1"/>
  <c r="BX48"/>
  <c r="I92" s="1"/>
  <c r="J60"/>
  <c r="J57"/>
  <c r="Y59"/>
  <c r="Y61" s="1"/>
  <c r="Y88"/>
  <c r="AB66"/>
  <c r="Z89"/>
  <c r="Y86"/>
  <c r="Y89"/>
  <c r="Z88"/>
  <c r="H87"/>
  <c r="Y87"/>
  <c r="AC85"/>
  <c r="AA89"/>
  <c r="AA87"/>
  <c r="I86"/>
  <c r="Z86"/>
  <c r="AA85"/>
  <c r="AC86"/>
  <c r="AB85"/>
  <c r="L1801" i="35"/>
  <c r="J1803"/>
  <c r="L60" i="36"/>
  <c r="H60"/>
  <c r="K57"/>
  <c r="I57"/>
  <c r="CO48"/>
  <c r="AB95" s="1"/>
  <c r="CM48"/>
  <c r="Z95" s="1"/>
  <c r="CF48"/>
  <c r="L93" s="1"/>
  <c r="CE48"/>
  <c r="AB93" s="1"/>
  <c r="CD48"/>
  <c r="AA93" s="1"/>
  <c r="CC48"/>
  <c r="Z93" s="1"/>
  <c r="CB48"/>
  <c r="H93" s="1"/>
  <c r="G123" i="15"/>
  <c r="H403" i="35" s="1"/>
  <c r="J1513"/>
  <c r="K1914"/>
  <c r="I1914"/>
  <c r="H1914"/>
  <c r="F1914"/>
  <c r="D1914"/>
  <c r="C1914"/>
  <c r="C1949"/>
  <c r="D1949"/>
  <c r="E1949"/>
  <c r="H1949"/>
  <c r="I1949"/>
  <c r="J1949"/>
  <c r="K1949"/>
  <c r="B96" i="8"/>
  <c r="C96"/>
  <c r="D96"/>
  <c r="E96"/>
  <c r="F96"/>
  <c r="G96"/>
  <c r="H96"/>
  <c r="I96"/>
  <c r="J96"/>
  <c r="K96"/>
  <c r="B2019" i="35"/>
  <c r="F2019"/>
  <c r="B46" i="8"/>
  <c r="B101"/>
  <c r="C101"/>
  <c r="D101"/>
  <c r="E101"/>
  <c r="F101"/>
  <c r="G101"/>
  <c r="H101"/>
  <c r="I101"/>
  <c r="J101"/>
  <c r="K101"/>
  <c r="B95"/>
  <c r="J95"/>
  <c r="D130"/>
  <c r="D2018" i="35" s="1"/>
  <c r="D95" i="8"/>
  <c r="D1983" i="35" s="1"/>
  <c r="H95" i="8"/>
  <c r="H1983" i="35" s="1"/>
  <c r="B130" i="8"/>
  <c r="B2018" i="35" s="1"/>
  <c r="F130" i="8"/>
  <c r="F2018" i="35" s="1"/>
  <c r="J1913"/>
  <c r="E25" i="8"/>
  <c r="C25"/>
  <c r="B1948" i="35"/>
  <c r="C60" i="8"/>
  <c r="D1948" i="35"/>
  <c r="E60" i="8"/>
  <c r="G60"/>
  <c r="H1948" i="35"/>
  <c r="I60" i="8"/>
  <c r="J1948" i="35"/>
  <c r="K60" i="8"/>
  <c r="B1983" i="35"/>
  <c r="C95" i="8"/>
  <c r="E95"/>
  <c r="G95"/>
  <c r="I95"/>
  <c r="K95"/>
  <c r="C130"/>
  <c r="E130"/>
  <c r="R345" i="35"/>
  <c r="A471"/>
  <c r="A1" i="11"/>
  <c r="A1" i="3"/>
  <c r="A1" i="26"/>
  <c r="A3" i="38"/>
  <c r="G471" i="35"/>
  <c r="A3"/>
  <c r="A1" i="25"/>
  <c r="J54" i="35"/>
  <c r="A3" i="37"/>
  <c r="I3" i="29"/>
  <c r="I1675" i="35"/>
  <c r="A1" i="15"/>
  <c r="A959" i="35"/>
  <c r="A354"/>
  <c r="A1" i="18"/>
  <c r="A1" i="8"/>
  <c r="A1" i="6"/>
  <c r="A50" i="25"/>
  <c r="A1008" i="35"/>
  <c r="A414"/>
  <c r="A1" i="7"/>
  <c r="A1" i="36"/>
  <c r="A58" i="26"/>
  <c r="A1" i="29"/>
  <c r="G58" i="26"/>
  <c r="J93" i="36"/>
  <c r="J154" i="15" l="1"/>
  <c r="J155" s="1"/>
  <c r="J157" s="1"/>
  <c r="J159" s="1"/>
  <c r="J1650" i="35"/>
  <c r="H70" i="8"/>
  <c r="B35"/>
  <c r="E35"/>
  <c r="F70"/>
  <c r="H35"/>
  <c r="D1913" i="35"/>
  <c r="F1913"/>
  <c r="F1924" s="1"/>
  <c r="B1913"/>
  <c r="J35" i="8"/>
  <c r="F105"/>
  <c r="K1807" i="35"/>
  <c r="J1808"/>
  <c r="AA97" i="36"/>
  <c r="K1792" i="35"/>
  <c r="K70" i="36"/>
  <c r="Z66"/>
  <c r="Z67" s="1"/>
  <c r="Y75"/>
  <c r="H1795" i="35"/>
  <c r="K69" i="36"/>
  <c r="K1780" i="35"/>
  <c r="AA1777"/>
  <c r="AD1777" s="1"/>
  <c r="Y80" i="36"/>
  <c r="K1812" i="35"/>
  <c r="H62" i="36"/>
  <c r="U1763" i="35"/>
  <c r="Z1772" s="1"/>
  <c r="Y1763"/>
  <c r="Y1773" s="1"/>
  <c r="G102" i="36"/>
  <c r="K95"/>
  <c r="K1781" i="35"/>
  <c r="K1782" s="1"/>
  <c r="J69" i="36"/>
  <c r="AB74"/>
  <c r="AA79"/>
  <c r="J1619" i="35"/>
  <c r="J1636" s="1"/>
  <c r="J1638" s="1"/>
  <c r="J1640" s="1"/>
  <c r="J1651"/>
  <c r="J1653" s="1"/>
  <c r="J1655" s="1"/>
  <c r="K105" i="8"/>
  <c r="K104"/>
  <c r="G105"/>
  <c r="G104"/>
  <c r="C105"/>
  <c r="C104"/>
  <c r="I70"/>
  <c r="I69"/>
  <c r="E70"/>
  <c r="E69"/>
  <c r="K35"/>
  <c r="K34"/>
  <c r="C35"/>
  <c r="C34"/>
  <c r="J1993" i="35"/>
  <c r="J1992"/>
  <c r="F1993"/>
  <c r="F1992"/>
  <c r="B1993"/>
  <c r="B1992"/>
  <c r="H1958"/>
  <c r="H1957"/>
  <c r="D1958"/>
  <c r="D1957"/>
  <c r="J1923"/>
  <c r="J1922"/>
  <c r="F1923"/>
  <c r="F1922"/>
  <c r="B1923"/>
  <c r="B1922"/>
  <c r="E140" i="8"/>
  <c r="I35"/>
  <c r="G35"/>
  <c r="I104"/>
  <c r="I105"/>
  <c r="E104"/>
  <c r="E105"/>
  <c r="K69"/>
  <c r="K70"/>
  <c r="G69"/>
  <c r="G70"/>
  <c r="C69"/>
  <c r="C70"/>
  <c r="H1993" i="35"/>
  <c r="H1992"/>
  <c r="D1993"/>
  <c r="D1992"/>
  <c r="J1958"/>
  <c r="J1957"/>
  <c r="F1958"/>
  <c r="F1957"/>
  <c r="B1958"/>
  <c r="B1957"/>
  <c r="H1923"/>
  <c r="H1922"/>
  <c r="D1923"/>
  <c r="D1922"/>
  <c r="AA95" i="36"/>
  <c r="L1794" i="35"/>
  <c r="I1789"/>
  <c r="AA1781"/>
  <c r="AC79" i="36"/>
  <c r="AA73"/>
  <c r="K1775" i="35"/>
  <c r="L1792"/>
  <c r="Z76" i="36"/>
  <c r="AC73"/>
  <c r="AA92"/>
  <c r="AA94" s="1"/>
  <c r="AA96" s="1"/>
  <c r="AA98" s="1"/>
  <c r="L92"/>
  <c r="H1785" i="35"/>
  <c r="K71" i="36"/>
  <c r="L1781" i="35"/>
  <c r="K1791"/>
  <c r="J1810"/>
  <c r="AB1772"/>
  <c r="Z1785"/>
  <c r="Y69" i="36"/>
  <c r="Z1775" i="35"/>
  <c r="L70" i="36"/>
  <c r="J1773" i="35"/>
  <c r="AC66" i="36"/>
  <c r="AB58"/>
  <c r="AB59" s="1"/>
  <c r="AB61" s="1"/>
  <c r="Y93"/>
  <c r="AC93"/>
  <c r="AC94" s="1"/>
  <c r="AC96" s="1"/>
  <c r="AC98" s="1"/>
  <c r="Y66"/>
  <c r="L1782" i="35"/>
  <c r="J59" i="36"/>
  <c r="Z1786" i="35"/>
  <c r="Y1775"/>
  <c r="AA1775"/>
  <c r="AC1775"/>
  <c r="H1780"/>
  <c r="AA80" i="36"/>
  <c r="I1780" i="35"/>
  <c r="L80" i="36"/>
  <c r="AB1773" i="35"/>
  <c r="AB77" i="36"/>
  <c r="AC76"/>
  <c r="I69"/>
  <c r="H58"/>
  <c r="H59" s="1"/>
  <c r="L58"/>
  <c r="L59" s="1"/>
  <c r="L61" s="1"/>
  <c r="L63" s="1"/>
  <c r="AC1782" i="35"/>
  <c r="J81" i="36"/>
  <c r="B1535" i="35"/>
  <c r="F1948"/>
  <c r="F1959" s="1"/>
  <c r="F1983"/>
  <c r="D1918"/>
  <c r="E30" i="8"/>
  <c r="G1619" i="35"/>
  <c r="B1910"/>
  <c r="AA1804"/>
  <c r="J1804"/>
  <c r="Z1803"/>
  <c r="I1803"/>
  <c r="K1803"/>
  <c r="AB1803"/>
  <c r="I1801"/>
  <c r="Z1801"/>
  <c r="AA1800"/>
  <c r="J1800"/>
  <c r="H1804"/>
  <c r="Y1804"/>
  <c r="D139" i="8"/>
  <c r="B139"/>
  <c r="E41"/>
  <c r="D1929" i="35"/>
  <c r="H1913"/>
  <c r="H1926" s="1"/>
  <c r="J1794"/>
  <c r="K1793"/>
  <c r="K1789"/>
  <c r="L1785"/>
  <c r="H1801"/>
  <c r="Y1810"/>
  <c r="AC1810"/>
  <c r="I1772"/>
  <c r="AB1808"/>
  <c r="AB1809" s="1"/>
  <c r="AB1811" s="1"/>
  <c r="AB1813" s="1"/>
  <c r="AA1792"/>
  <c r="AA1793" s="1"/>
  <c r="Y1781"/>
  <c r="Y1782" s="1"/>
  <c r="H1794"/>
  <c r="H1796" s="1"/>
  <c r="H1773"/>
  <c r="L1773"/>
  <c r="L1774" s="1"/>
  <c r="I1777"/>
  <c r="K1777"/>
  <c r="M1777" s="1"/>
  <c r="Z1802"/>
  <c r="AD1802" s="1"/>
  <c r="Y1812"/>
  <c r="AA1812"/>
  <c r="AC1812"/>
  <c r="AB1800"/>
  <c r="D140" i="8"/>
  <c r="B1934" i="35"/>
  <c r="C46" i="8"/>
  <c r="H50" i="3"/>
  <c r="S41" s="1"/>
  <c r="H404" i="35"/>
  <c r="S394"/>
  <c r="B42" i="8"/>
  <c r="B1930" i="35" s="1"/>
  <c r="B37" i="8"/>
  <c r="B39"/>
  <c r="G1913" i="35"/>
  <c r="G1924" s="1"/>
  <c r="K1913"/>
  <c r="K38" i="8"/>
  <c r="K37"/>
  <c r="K39"/>
  <c r="I1913" i="35"/>
  <c r="G37" i="8"/>
  <c r="G38"/>
  <c r="G39"/>
  <c r="G1914" i="35"/>
  <c r="I38" i="8"/>
  <c r="I37"/>
  <c r="I39"/>
  <c r="H72"/>
  <c r="H73"/>
  <c r="H74"/>
  <c r="D72"/>
  <c r="D73"/>
  <c r="D74"/>
  <c r="D37"/>
  <c r="D39"/>
  <c r="D38"/>
  <c r="H38"/>
  <c r="H37"/>
  <c r="H39"/>
  <c r="J72"/>
  <c r="J73"/>
  <c r="J74"/>
  <c r="F72"/>
  <c r="F73"/>
  <c r="F74"/>
  <c r="B74"/>
  <c r="B72"/>
  <c r="B73"/>
  <c r="F38"/>
  <c r="F37"/>
  <c r="F39"/>
  <c r="J38"/>
  <c r="J37"/>
  <c r="J39"/>
  <c r="Z80" i="36"/>
  <c r="Y77"/>
  <c r="Y78" s="1"/>
  <c r="AC77"/>
  <c r="Y79"/>
  <c r="Y81" s="1"/>
  <c r="AB80"/>
  <c r="AA77"/>
  <c r="AA78" s="1"/>
  <c r="Z74"/>
  <c r="Z75" s="1"/>
  <c r="J74"/>
  <c r="J75" s="1"/>
  <c r="H1789" i="35"/>
  <c r="H1792"/>
  <c r="AA81" i="36"/>
  <c r="I1792" i="35"/>
  <c r="I1793" s="1"/>
  <c r="K1788"/>
  <c r="K1790" s="1"/>
  <c r="L1789"/>
  <c r="J1795"/>
  <c r="J1796" s="1"/>
  <c r="AA1789"/>
  <c r="AA1790" s="1"/>
  <c r="AB1794"/>
  <c r="AD1794" s="1"/>
  <c r="AB73" i="36"/>
  <c r="AB75" s="1"/>
  <c r="AC87"/>
  <c r="AD1801" i="35"/>
  <c r="J1802"/>
  <c r="J1801"/>
  <c r="AA86" i="36"/>
  <c r="Z87"/>
  <c r="Z1804" i="35"/>
  <c r="AD1804" s="1"/>
  <c r="L1804"/>
  <c r="M1804" s="1"/>
  <c r="Q1804" s="1"/>
  <c r="H1802"/>
  <c r="L1802"/>
  <c r="H1800"/>
  <c r="L1800"/>
  <c r="AC88" i="36"/>
  <c r="AB88"/>
  <c r="Y85"/>
  <c r="AB86"/>
  <c r="AC89"/>
  <c r="K1801" i="35"/>
  <c r="AB1793"/>
  <c r="AC78" i="36"/>
  <c r="I93"/>
  <c r="I94" s="1"/>
  <c r="K92"/>
  <c r="I95"/>
  <c r="L95"/>
  <c r="I1810" i="35"/>
  <c r="K1810"/>
  <c r="I1807"/>
  <c r="I1809" s="1"/>
  <c r="Y1772"/>
  <c r="Y1774" s="1"/>
  <c r="AA1772"/>
  <c r="AA1774" s="1"/>
  <c r="AA1776" s="1"/>
  <c r="AC1772"/>
  <c r="AC1774" s="1"/>
  <c r="AC1776" s="1"/>
  <c r="AC1778" s="1"/>
  <c r="L81" i="36"/>
  <c r="H1808" i="35"/>
  <c r="L1808"/>
  <c r="L1809" s="1"/>
  <c r="L1811" s="1"/>
  <c r="L1813" s="1"/>
  <c r="I1784"/>
  <c r="I1786" s="1"/>
  <c r="J1784"/>
  <c r="Z1773"/>
  <c r="Z1774" s="1"/>
  <c r="Z1776" s="1"/>
  <c r="Z1778" s="1"/>
  <c r="I1794"/>
  <c r="H1784"/>
  <c r="H1786" s="1"/>
  <c r="L65" i="36"/>
  <c r="L67" s="1"/>
  <c r="I58"/>
  <c r="I59" s="1"/>
  <c r="I60"/>
  <c r="AB65"/>
  <c r="AD65" s="1"/>
  <c r="AA66"/>
  <c r="AA67" s="1"/>
  <c r="AB67"/>
  <c r="M65"/>
  <c r="AD1788" i="35"/>
  <c r="Z1790"/>
  <c r="J78" i="36"/>
  <c r="AB78"/>
  <c r="AB1796" i="35"/>
  <c r="AD1785"/>
  <c r="J61" i="36"/>
  <c r="J63" s="1"/>
  <c r="Z81"/>
  <c r="K81"/>
  <c r="AC81"/>
  <c r="H78"/>
  <c r="I78"/>
  <c r="H75"/>
  <c r="I75"/>
  <c r="I51" i="7"/>
  <c r="K78" i="36"/>
  <c r="M77"/>
  <c r="M79"/>
  <c r="I1795" i="35"/>
  <c r="K1795"/>
  <c r="K1796" s="1"/>
  <c r="H1788"/>
  <c r="H1790" s="1"/>
  <c r="J1788"/>
  <c r="J1790" s="1"/>
  <c r="L1788"/>
  <c r="J1785"/>
  <c r="J1786" s="1"/>
  <c r="I1781"/>
  <c r="I1782" s="1"/>
  <c r="L69" i="36"/>
  <c r="L71" s="1"/>
  <c r="K1785" i="35"/>
  <c r="I81" i="36"/>
  <c r="J70"/>
  <c r="J71" s="1"/>
  <c r="Y1807" i="35"/>
  <c r="Y1809" s="1"/>
  <c r="J1807"/>
  <c r="J1809" s="1"/>
  <c r="J1811" s="1"/>
  <c r="J1813" s="1"/>
  <c r="AC1807"/>
  <c r="AC1809" s="1"/>
  <c r="Z1808"/>
  <c r="AA75" i="36"/>
  <c r="Z77"/>
  <c r="Z78" s="1"/>
  <c r="AC74"/>
  <c r="AC75" s="1"/>
  <c r="AC67"/>
  <c r="AA1786" i="35"/>
  <c r="AB1786"/>
  <c r="AB1782"/>
  <c r="M97" i="36"/>
  <c r="P52" i="7" s="1"/>
  <c r="J94" i="36"/>
  <c r="J96" s="1"/>
  <c r="J98" s="1"/>
  <c r="Z1796" i="35"/>
  <c r="AB1790"/>
  <c r="K1809"/>
  <c r="Z92" i="36"/>
  <c r="Z94" s="1"/>
  <c r="Z96" s="1"/>
  <c r="Z98" s="1"/>
  <c r="K93"/>
  <c r="K94" s="1"/>
  <c r="K96" s="1"/>
  <c r="K98" s="1"/>
  <c r="Y95"/>
  <c r="AC1796" i="35"/>
  <c r="AC1790"/>
  <c r="AC1786"/>
  <c r="L75" i="36"/>
  <c r="H81"/>
  <c r="M76"/>
  <c r="M1775" i="35"/>
  <c r="J1774"/>
  <c r="J1776" s="1"/>
  <c r="J1778" s="1"/>
  <c r="K1774"/>
  <c r="K1776" s="1"/>
  <c r="K1778" s="1"/>
  <c r="AA1809"/>
  <c r="AA1811" s="1"/>
  <c r="AA1813" s="1"/>
  <c r="AD1791"/>
  <c r="AD1792"/>
  <c r="AA1782"/>
  <c r="Y71" i="36"/>
  <c r="AD58"/>
  <c r="M58"/>
  <c r="H79" i="35" s="1"/>
  <c r="AD60" i="36"/>
  <c r="M1812" i="35"/>
  <c r="M88" i="36"/>
  <c r="H1782" i="35"/>
  <c r="AB81" i="36"/>
  <c r="AD1812" i="35"/>
  <c r="M62" i="36"/>
  <c r="H83" i="35" s="1"/>
  <c r="M1772"/>
  <c r="H1774"/>
  <c r="H1776" s="1"/>
  <c r="I1774"/>
  <c r="I1776" s="1"/>
  <c r="I1778" s="1"/>
  <c r="Z1809"/>
  <c r="Z1811" s="1"/>
  <c r="Z1813" s="1"/>
  <c r="AA1796"/>
  <c r="AD1795"/>
  <c r="Y1790"/>
  <c r="AD1784"/>
  <c r="Y1786"/>
  <c r="Z1782"/>
  <c r="AD1780"/>
  <c r="AB71" i="36"/>
  <c r="AD69"/>
  <c r="Y1796" i="35"/>
  <c r="M73" i="36"/>
  <c r="K75"/>
  <c r="M1794" i="35"/>
  <c r="AA63" i="36"/>
  <c r="Y63"/>
  <c r="L94"/>
  <c r="L96" s="1"/>
  <c r="L98" s="1"/>
  <c r="H1791" i="35"/>
  <c r="H1793" s="1"/>
  <c r="J1791"/>
  <c r="J1793" s="1"/>
  <c r="L1791"/>
  <c r="L1793" s="1"/>
  <c r="I70" i="36"/>
  <c r="I71" s="1"/>
  <c r="H70"/>
  <c r="H71" s="1"/>
  <c r="K59"/>
  <c r="K61" s="1"/>
  <c r="K63" s="1"/>
  <c r="AC63"/>
  <c r="Z59"/>
  <c r="Z61" s="1"/>
  <c r="Z63" s="1"/>
  <c r="M80"/>
  <c r="L78"/>
  <c r="L1803" i="35"/>
  <c r="Z85" i="36"/>
  <c r="AB87"/>
  <c r="AB89"/>
  <c r="AD89" s="1"/>
  <c r="M86"/>
  <c r="AA88"/>
  <c r="K67"/>
  <c r="L1795" i="35"/>
  <c r="L1796" s="1"/>
  <c r="L1784"/>
  <c r="Z1793"/>
  <c r="Y1793"/>
  <c r="AC1793"/>
  <c r="AD70" i="36"/>
  <c r="I1788" i="35"/>
  <c r="I1790" s="1"/>
  <c r="K1784"/>
  <c r="J1780"/>
  <c r="J1782" s="1"/>
  <c r="AD97" i="36"/>
  <c r="Q97" s="1"/>
  <c r="AB94"/>
  <c r="AB96" s="1"/>
  <c r="AB98" s="1"/>
  <c r="H50" i="7"/>
  <c r="H1809" i="35"/>
  <c r="H1811" s="1"/>
  <c r="H1813" s="1"/>
  <c r="AD80" i="36"/>
  <c r="AD62"/>
  <c r="M60"/>
  <c r="H81" i="35" s="1"/>
  <c r="AD76" i="36"/>
  <c r="B119" i="8"/>
  <c r="B15"/>
  <c r="B16" s="1"/>
  <c r="B84"/>
  <c r="K84"/>
  <c r="I84"/>
  <c r="G84"/>
  <c r="E84"/>
  <c r="C84"/>
  <c r="K49"/>
  <c r="I49"/>
  <c r="G49"/>
  <c r="E49"/>
  <c r="C49"/>
  <c r="D14"/>
  <c r="F14"/>
  <c r="H14"/>
  <c r="J14"/>
  <c r="C119"/>
  <c r="D119"/>
  <c r="E119"/>
  <c r="F119"/>
  <c r="J84"/>
  <c r="H84"/>
  <c r="F84"/>
  <c r="D84"/>
  <c r="B49"/>
  <c r="J49"/>
  <c r="H49"/>
  <c r="F49"/>
  <c r="D49"/>
  <c r="C14"/>
  <c r="E14"/>
  <c r="G14"/>
  <c r="I14"/>
  <c r="K14"/>
  <c r="M85" i="36"/>
  <c r="M87"/>
  <c r="M89"/>
  <c r="H54" i="7"/>
  <c r="AD85" i="36"/>
  <c r="H61"/>
  <c r="Y67"/>
  <c r="M66"/>
  <c r="H67"/>
  <c r="M57"/>
  <c r="S393" i="35"/>
  <c r="K1984"/>
  <c r="I1984"/>
  <c r="G1984"/>
  <c r="E1984"/>
  <c r="C1984"/>
  <c r="J1984"/>
  <c r="H1984"/>
  <c r="H1996" s="1"/>
  <c r="F1984"/>
  <c r="F1996" s="1"/>
  <c r="F108" i="8"/>
  <c r="F107"/>
  <c r="F109"/>
  <c r="D1984" i="35"/>
  <c r="D1996" s="1"/>
  <c r="B1984"/>
  <c r="B1996" s="1"/>
  <c r="D43" i="8"/>
  <c r="K1989" i="35"/>
  <c r="I1989"/>
  <c r="G1989"/>
  <c r="E1989"/>
  <c r="C1989"/>
  <c r="J1989"/>
  <c r="H1989"/>
  <c r="F1989"/>
  <c r="D1989"/>
  <c r="B1989"/>
  <c r="J107" i="8"/>
  <c r="J108"/>
  <c r="J109"/>
  <c r="B108"/>
  <c r="B109"/>
  <c r="B107"/>
  <c r="J1983" i="35"/>
  <c r="J1995" s="1"/>
  <c r="D143" i="8"/>
  <c r="D142"/>
  <c r="D144"/>
  <c r="B143"/>
  <c r="B142"/>
  <c r="B144"/>
  <c r="D107"/>
  <c r="D108"/>
  <c r="D109"/>
  <c r="B1924" i="35"/>
  <c r="B1927"/>
  <c r="B1925"/>
  <c r="B1921"/>
  <c r="B1926"/>
  <c r="F143" i="8"/>
  <c r="F142"/>
  <c r="F144"/>
  <c r="H107"/>
  <c r="H108"/>
  <c r="H109"/>
  <c r="C2018" i="35"/>
  <c r="C142" i="8"/>
  <c r="C144"/>
  <c r="C143"/>
  <c r="K1983" i="35"/>
  <c r="K108" i="8"/>
  <c r="K107"/>
  <c r="K109"/>
  <c r="I1983" i="35"/>
  <c r="I108" i="8"/>
  <c r="I107"/>
  <c r="I109"/>
  <c r="G1983" i="35"/>
  <c r="G108" i="8"/>
  <c r="G107"/>
  <c r="G109"/>
  <c r="E1983" i="35"/>
  <c r="E108" i="8"/>
  <c r="E107"/>
  <c r="E109"/>
  <c r="C1983" i="35"/>
  <c r="C108" i="8"/>
  <c r="C107"/>
  <c r="C109"/>
  <c r="K1948" i="35"/>
  <c r="K72" i="8"/>
  <c r="K74"/>
  <c r="K73"/>
  <c r="I1948" i="35"/>
  <c r="I72" i="8"/>
  <c r="I74"/>
  <c r="I73"/>
  <c r="G1948" i="35"/>
  <c r="G72" i="8"/>
  <c r="G74"/>
  <c r="G73"/>
  <c r="E1948" i="35"/>
  <c r="E72" i="8"/>
  <c r="E74"/>
  <c r="E73"/>
  <c r="C1948" i="35"/>
  <c r="C72" i="8"/>
  <c r="C74"/>
  <c r="C73"/>
  <c r="C42"/>
  <c r="C1913" i="35"/>
  <c r="C37" i="8"/>
  <c r="C39"/>
  <c r="C38"/>
  <c r="E1913" i="35"/>
  <c r="E37" i="8"/>
  <c r="E39"/>
  <c r="E38"/>
  <c r="H1924" i="35"/>
  <c r="H1925"/>
  <c r="E2018"/>
  <c r="E142" i="8"/>
  <c r="E144"/>
  <c r="E143"/>
  <c r="F2029" i="35"/>
  <c r="F2031"/>
  <c r="F2030"/>
  <c r="F2032"/>
  <c r="D2029"/>
  <c r="D2031"/>
  <c r="D2030"/>
  <c r="D2032"/>
  <c r="B2029"/>
  <c r="B2031"/>
  <c r="B2030"/>
  <c r="B2032"/>
  <c r="J1994"/>
  <c r="J1997"/>
  <c r="H1994"/>
  <c r="H1995"/>
  <c r="H1997"/>
  <c r="F1994"/>
  <c r="F1995"/>
  <c r="F1997"/>
  <c r="D1994"/>
  <c r="D1995"/>
  <c r="D1997"/>
  <c r="B1994"/>
  <c r="B1995"/>
  <c r="B1997"/>
  <c r="J1959"/>
  <c r="J1960"/>
  <c r="J1961"/>
  <c r="J1962"/>
  <c r="H1959"/>
  <c r="H1960"/>
  <c r="H1961"/>
  <c r="H1962"/>
  <c r="F1960"/>
  <c r="F1962"/>
  <c r="D1959"/>
  <c r="D1960"/>
  <c r="D1961"/>
  <c r="D1962"/>
  <c r="B1959"/>
  <c r="B1960"/>
  <c r="B1961"/>
  <c r="B1962"/>
  <c r="D1924"/>
  <c r="D1926"/>
  <c r="D1925"/>
  <c r="D1927"/>
  <c r="F1926"/>
  <c r="F1927"/>
  <c r="J1924"/>
  <c r="J1926"/>
  <c r="J1925"/>
  <c r="J1927"/>
  <c r="O3" i="36"/>
  <c r="P1721" i="35"/>
  <c r="J55"/>
  <c r="O1718"/>
  <c r="P6" i="36"/>
  <c r="AD93"/>
  <c r="Y94"/>
  <c r="M93"/>
  <c r="H94"/>
  <c r="AD92"/>
  <c r="M92"/>
  <c r="AD1800" i="35" l="1"/>
  <c r="AD1803"/>
  <c r="M1789"/>
  <c r="L1776"/>
  <c r="L1778" s="1"/>
  <c r="M1774"/>
  <c r="Q1777"/>
  <c r="F1925"/>
  <c r="F1961"/>
  <c r="H1927"/>
  <c r="M1788"/>
  <c r="Q1788" s="1"/>
  <c r="L1786"/>
  <c r="M1803"/>
  <c r="M1773"/>
  <c r="Y1811"/>
  <c r="AA1778"/>
  <c r="Q92" i="36"/>
  <c r="I96"/>
  <c r="I98" s="1"/>
  <c r="M1800" i="35"/>
  <c r="Q1800" s="1"/>
  <c r="I1811"/>
  <c r="I1813" s="1"/>
  <c r="M1795"/>
  <c r="Q1795" s="1"/>
  <c r="M69" i="36"/>
  <c r="AD66"/>
  <c r="Q60"/>
  <c r="AD59"/>
  <c r="Q62"/>
  <c r="AD73"/>
  <c r="Q73" s="1"/>
  <c r="AD79"/>
  <c r="Q79" s="1"/>
  <c r="M74"/>
  <c r="AD1786" i="35"/>
  <c r="AD1789"/>
  <c r="Q1789" s="1"/>
  <c r="M81" i="36"/>
  <c r="M70"/>
  <c r="L1790" i="35"/>
  <c r="K6" i="8"/>
  <c r="AD1810" i="35"/>
  <c r="AB1774"/>
  <c r="AB1776" s="1"/>
  <c r="AB1778" s="1"/>
  <c r="H51" i="3"/>
  <c r="S40"/>
  <c r="M1810" i="35"/>
  <c r="H52" i="7"/>
  <c r="Q1810" i="35"/>
  <c r="AD95" i="36"/>
  <c r="K1811" i="35"/>
  <c r="K1813" s="1"/>
  <c r="M1813" s="1"/>
  <c r="M1807"/>
  <c r="Q70" i="36"/>
  <c r="AD1773" i="35"/>
  <c r="Q1773" s="1"/>
  <c r="M95" i="36"/>
  <c r="P50" i="7" s="1"/>
  <c r="AD61" i="36"/>
  <c r="AB63"/>
  <c r="AD63" s="1"/>
  <c r="AD81"/>
  <c r="M1808" i="35"/>
  <c r="AD1772"/>
  <c r="Q1772" s="1"/>
  <c r="AD1775"/>
  <c r="AD71" i="36"/>
  <c r="Q1775" i="35"/>
  <c r="Q65" i="36"/>
  <c r="P79" i="35"/>
  <c r="M1781"/>
  <c r="M67" i="36"/>
  <c r="AD1809" i="35"/>
  <c r="Q69" i="36"/>
  <c r="AD67"/>
  <c r="K1786" i="35"/>
  <c r="AC1811"/>
  <c r="AC1813" s="1"/>
  <c r="I80"/>
  <c r="AD1808"/>
  <c r="Y1776"/>
  <c r="Y1778" s="1"/>
  <c r="AD1781"/>
  <c r="S395"/>
  <c r="E1918"/>
  <c r="F30" i="8"/>
  <c r="B20"/>
  <c r="P1863" i="35" s="1"/>
  <c r="P1873" s="1"/>
  <c r="F41" i="8"/>
  <c r="E1929" i="35"/>
  <c r="Q11" i="36"/>
  <c r="Q1726" i="35" s="1"/>
  <c r="Q10" i="36"/>
  <c r="Q1725" i="35" s="1"/>
  <c r="Q12" i="36"/>
  <c r="Q1727" i="35" s="1"/>
  <c r="Q13" i="36"/>
  <c r="Q1728" i="35" s="1"/>
  <c r="K1927"/>
  <c r="K1926"/>
  <c r="K1924"/>
  <c r="K1925"/>
  <c r="I1927"/>
  <c r="I1924"/>
  <c r="I1925"/>
  <c r="I1926"/>
  <c r="J1996"/>
  <c r="G1925"/>
  <c r="G1926"/>
  <c r="G1927"/>
  <c r="I1796"/>
  <c r="M1796" s="1"/>
  <c r="AD75" i="36"/>
  <c r="M1792" i="35"/>
  <c r="Q1792" s="1"/>
  <c r="AD74" i="36"/>
  <c r="Q74" s="1"/>
  <c r="AD1790" i="35"/>
  <c r="AD88" i="36"/>
  <c r="Q88" s="1"/>
  <c r="AD87"/>
  <c r="Q87" s="1"/>
  <c r="Q1803" i="35"/>
  <c r="M1801"/>
  <c r="Q1801" s="1"/>
  <c r="AD86" i="36"/>
  <c r="Q86" s="1"/>
  <c r="M1802" i="35"/>
  <c r="Q1802" s="1"/>
  <c r="I61" i="36"/>
  <c r="I63" s="1"/>
  <c r="M59"/>
  <c r="Q59" s="1"/>
  <c r="Q58"/>
  <c r="Q1812" i="35"/>
  <c r="AD1782"/>
  <c r="AD1796"/>
  <c r="AD1807"/>
  <c r="Q1807" s="1"/>
  <c r="M75" i="36"/>
  <c r="F42" i="7" s="1"/>
  <c r="M78" i="36"/>
  <c r="F73" i="35" s="1"/>
  <c r="AD1778"/>
  <c r="M1785"/>
  <c r="Q1785" s="1"/>
  <c r="P81"/>
  <c r="Q76" i="36"/>
  <c r="M1782" i="35"/>
  <c r="AD78" i="36"/>
  <c r="AD77"/>
  <c r="Q77" s="1"/>
  <c r="K5" i="8"/>
  <c r="M1780" i="35"/>
  <c r="Q1780" s="1"/>
  <c r="M1809"/>
  <c r="Q1794"/>
  <c r="M1790"/>
  <c r="AD1793"/>
  <c r="M1786"/>
  <c r="Q1786" s="1"/>
  <c r="M1784"/>
  <c r="Q1784" s="1"/>
  <c r="M1793"/>
  <c r="M71" i="36"/>
  <c r="Q71" s="1"/>
  <c r="M1791" i="35"/>
  <c r="Q1791" s="1"/>
  <c r="Q80" i="36"/>
  <c r="C120" i="8"/>
  <c r="C121" s="1"/>
  <c r="D120"/>
  <c r="D121" s="1"/>
  <c r="E120"/>
  <c r="E121" s="1"/>
  <c r="F120"/>
  <c r="J85"/>
  <c r="J86" s="1"/>
  <c r="H85"/>
  <c r="H86" s="1"/>
  <c r="F85"/>
  <c r="F86" s="1"/>
  <c r="D85"/>
  <c r="B50"/>
  <c r="B51" s="1"/>
  <c r="J50"/>
  <c r="J51" s="1"/>
  <c r="H50"/>
  <c r="H51" s="1"/>
  <c r="F50"/>
  <c r="D50"/>
  <c r="D51" s="1"/>
  <c r="C15"/>
  <c r="C16" s="1"/>
  <c r="E15"/>
  <c r="E16" s="1"/>
  <c r="G15"/>
  <c r="G16" s="1"/>
  <c r="I15"/>
  <c r="K15"/>
  <c r="K16" s="1"/>
  <c r="B120"/>
  <c r="B121" s="1"/>
  <c r="B85"/>
  <c r="B86" s="1"/>
  <c r="K85"/>
  <c r="K86" s="1"/>
  <c r="I85"/>
  <c r="I86" s="1"/>
  <c r="G85"/>
  <c r="G86" s="1"/>
  <c r="E85"/>
  <c r="E86" s="1"/>
  <c r="C85"/>
  <c r="C86" s="1"/>
  <c r="K50"/>
  <c r="K51" s="1"/>
  <c r="I50"/>
  <c r="I51" s="1"/>
  <c r="G50"/>
  <c r="G51" s="1"/>
  <c r="E50"/>
  <c r="E51" s="1"/>
  <c r="C50"/>
  <c r="C51" s="1"/>
  <c r="D15"/>
  <c r="D16" s="1"/>
  <c r="F15"/>
  <c r="F16" s="1"/>
  <c r="H15"/>
  <c r="H16" s="1"/>
  <c r="J15"/>
  <c r="J16" s="1"/>
  <c r="I16"/>
  <c r="F51"/>
  <c r="D86"/>
  <c r="F121"/>
  <c r="Q93" i="36"/>
  <c r="Q89"/>
  <c r="Q85"/>
  <c r="Q75"/>
  <c r="F44" i="7"/>
  <c r="F45"/>
  <c r="F74" i="35"/>
  <c r="Q81" i="36"/>
  <c r="H80" i="35"/>
  <c r="H78" s="1"/>
  <c r="H82" s="1"/>
  <c r="H84" s="1"/>
  <c r="Q57" i="36"/>
  <c r="H51" i="7"/>
  <c r="H49" s="1"/>
  <c r="H53" s="1"/>
  <c r="H55" s="1"/>
  <c r="H1778" i="35"/>
  <c r="M1776"/>
  <c r="I79"/>
  <c r="Q66" i="36"/>
  <c r="I50" i="7"/>
  <c r="Y1813" i="35"/>
  <c r="AD1813" s="1"/>
  <c r="M61" i="36"/>
  <c r="H63"/>
  <c r="S42" i="3"/>
  <c r="D1931" i="35"/>
  <c r="E43" i="8"/>
  <c r="C1934" i="35"/>
  <c r="D46" i="8"/>
  <c r="E2030" i="35"/>
  <c r="E2032"/>
  <c r="E2029"/>
  <c r="E2031"/>
  <c r="C1925"/>
  <c r="C1927"/>
  <c r="C1924"/>
  <c r="C1926"/>
  <c r="E1960"/>
  <c r="E1961"/>
  <c r="E1962"/>
  <c r="E1959"/>
  <c r="I1960"/>
  <c r="I1961"/>
  <c r="I1962"/>
  <c r="I1959"/>
  <c r="C1995"/>
  <c r="C1996"/>
  <c r="C1997"/>
  <c r="C1994"/>
  <c r="G1995"/>
  <c r="G1996"/>
  <c r="G1997"/>
  <c r="G1994"/>
  <c r="K1995"/>
  <c r="K1996"/>
  <c r="K1997"/>
  <c r="K1994"/>
  <c r="E1925"/>
  <c r="E1927"/>
  <c r="E1924"/>
  <c r="E1926"/>
  <c r="C1930"/>
  <c r="D42" i="8"/>
  <c r="C1960" i="35"/>
  <c r="C1961"/>
  <c r="C1962"/>
  <c r="C1959"/>
  <c r="G1960"/>
  <c r="G1961"/>
  <c r="G1962"/>
  <c r="G1959"/>
  <c r="K1960"/>
  <c r="K1961"/>
  <c r="K1962"/>
  <c r="K1959"/>
  <c r="E1995"/>
  <c r="E1996"/>
  <c r="E1997"/>
  <c r="E1994"/>
  <c r="I1995"/>
  <c r="I1996"/>
  <c r="I1997"/>
  <c r="I1994"/>
  <c r="C2030"/>
  <c r="C2032"/>
  <c r="C2029"/>
  <c r="C2031"/>
  <c r="M94" i="36"/>
  <c r="H96"/>
  <c r="AD94"/>
  <c r="Y96"/>
  <c r="AD1811" i="35" l="1"/>
  <c r="M1778"/>
  <c r="P1876" s="1"/>
  <c r="P1881" s="1"/>
  <c r="AD1776"/>
  <c r="AD1774"/>
  <c r="Q1774" s="1"/>
  <c r="Q1776"/>
  <c r="Q95" i="36"/>
  <c r="K7" i="8"/>
  <c r="Q1808" i="35"/>
  <c r="Q1793"/>
  <c r="F71"/>
  <c r="Q1809"/>
  <c r="M1811"/>
  <c r="Q1811" s="1"/>
  <c r="Q78" i="36"/>
  <c r="Q1782" i="35"/>
  <c r="P148" i="36"/>
  <c r="P158" s="1"/>
  <c r="B19" i="8" s="1"/>
  <c r="F89" s="1"/>
  <c r="Q1781" i="35"/>
  <c r="Q67" i="36"/>
  <c r="F55" i="8"/>
  <c r="J55"/>
  <c r="D90"/>
  <c r="H90"/>
  <c r="F125"/>
  <c r="D125"/>
  <c r="F1918" i="35"/>
  <c r="G30" i="8"/>
  <c r="H20"/>
  <c r="I55"/>
  <c r="C90"/>
  <c r="G90"/>
  <c r="K90"/>
  <c r="I20"/>
  <c r="E20"/>
  <c r="B90"/>
  <c r="E90"/>
  <c r="G55"/>
  <c r="F20"/>
  <c r="D20"/>
  <c r="C125"/>
  <c r="J90"/>
  <c r="B55"/>
  <c r="D55"/>
  <c r="G20"/>
  <c r="G41"/>
  <c r="F1929" i="35"/>
  <c r="E124" i="8"/>
  <c r="B125"/>
  <c r="I90"/>
  <c r="K55"/>
  <c r="C55"/>
  <c r="J20"/>
  <c r="E55"/>
  <c r="E125"/>
  <c r="F90"/>
  <c r="H55"/>
  <c r="C20"/>
  <c r="K20"/>
  <c r="Q1796" i="35"/>
  <c r="Q1790"/>
  <c r="Q1813"/>
  <c r="M63" i="36"/>
  <c r="R13" i="24"/>
  <c r="R11"/>
  <c r="R12"/>
  <c r="Q1778" i="35"/>
  <c r="N1864"/>
  <c r="P170"/>
  <c r="M32" i="11"/>
  <c r="P140" i="7"/>
  <c r="M2524" i="35"/>
  <c r="P169"/>
  <c r="P141" i="7"/>
  <c r="Q61" i="36"/>
  <c r="E1931" i="35"/>
  <c r="F43" i="8"/>
  <c r="D1934" i="35"/>
  <c r="E46" i="8"/>
  <c r="D1930" i="35"/>
  <c r="E42" i="8"/>
  <c r="AD96" i="36"/>
  <c r="Y98"/>
  <c r="AD98" s="1"/>
  <c r="M96"/>
  <c r="H98"/>
  <c r="M98" s="1"/>
  <c r="P78" i="35"/>
  <c r="P80" s="1"/>
  <c r="P82" s="1"/>
  <c r="P87" s="1"/>
  <c r="P49" i="7"/>
  <c r="P51" s="1"/>
  <c r="P53" s="1"/>
  <c r="P58" s="1"/>
  <c r="Q94" i="36"/>
  <c r="N1865" i="35" l="1"/>
  <c r="B124" i="8"/>
  <c r="J19"/>
  <c r="K19"/>
  <c r="D124"/>
  <c r="B89"/>
  <c r="I54"/>
  <c r="J54"/>
  <c r="I19"/>
  <c r="G54"/>
  <c r="H54"/>
  <c r="D19"/>
  <c r="G89"/>
  <c r="C19"/>
  <c r="H89"/>
  <c r="K54"/>
  <c r="B54"/>
  <c r="C124"/>
  <c r="F19"/>
  <c r="E89"/>
  <c r="E19"/>
  <c r="J89"/>
  <c r="H19"/>
  <c r="E54"/>
  <c r="C89"/>
  <c r="K89"/>
  <c r="G19"/>
  <c r="F54"/>
  <c r="D89"/>
  <c r="F124"/>
  <c r="C54"/>
  <c r="I89"/>
  <c r="D54"/>
  <c r="G1918" i="35"/>
  <c r="H30" i="8"/>
  <c r="H41"/>
  <c r="G1929" i="35"/>
  <c r="Q1769"/>
  <c r="Q96" i="36"/>
  <c r="J145" i="15"/>
  <c r="J146" s="1"/>
  <c r="J148" s="1"/>
  <c r="P145"/>
  <c r="P146" s="1"/>
  <c r="P148" s="1"/>
  <c r="M1641" i="35"/>
  <c r="M1642" s="1"/>
  <c r="M1644" s="1"/>
  <c r="D1621"/>
  <c r="D125" i="15"/>
  <c r="F1611" i="35"/>
  <c r="D1534"/>
  <c r="P98"/>
  <c r="J159" i="36"/>
  <c r="J158"/>
  <c r="P71" i="7"/>
  <c r="N149" i="36"/>
  <c r="E93" i="15"/>
  <c r="P69" i="7"/>
  <c r="Q63" i="36"/>
  <c r="E1589" i="35"/>
  <c r="P100"/>
  <c r="P96"/>
  <c r="J160" i="36"/>
  <c r="F115" i="15"/>
  <c r="N150" i="36"/>
  <c r="P161"/>
  <c r="N158"/>
  <c r="P67" i="7"/>
  <c r="D38" i="15"/>
  <c r="G125"/>
  <c r="G1621" i="35"/>
  <c r="M145" i="15"/>
  <c r="M146" s="1"/>
  <c r="M148" s="1"/>
  <c r="P1641" i="35"/>
  <c r="P1642" s="1"/>
  <c r="P1644" s="1"/>
  <c r="J1641"/>
  <c r="J1642" s="1"/>
  <c r="J1644" s="1"/>
  <c r="F1931"/>
  <c r="G43" i="8"/>
  <c r="E1934" i="35"/>
  <c r="F46" i="8"/>
  <c r="E1930" i="35"/>
  <c r="F42" i="8"/>
  <c r="M1621" i="35"/>
  <c r="D1535"/>
  <c r="Q98" i="36"/>
  <c r="D39" i="15"/>
  <c r="M125"/>
  <c r="H1918" i="35" l="1"/>
  <c r="I30" i="8"/>
  <c r="I41"/>
  <c r="H1929" i="35"/>
  <c r="J149" i="15"/>
  <c r="J161" s="1"/>
  <c r="J165" s="1"/>
  <c r="J1645" i="35"/>
  <c r="J1657" s="1"/>
  <c r="M1659" s="1"/>
  <c r="Q54" i="36"/>
  <c r="B21" i="8"/>
  <c r="B40" s="1"/>
  <c r="P166" i="36"/>
  <c r="M1647" i="35"/>
  <c r="J1648"/>
  <c r="M151" i="15"/>
  <c r="J152"/>
  <c r="G1931" i="35"/>
  <c r="H43" i="8"/>
  <c r="F1934" i="35"/>
  <c r="G46" i="8"/>
  <c r="F1930" i="35"/>
  <c r="G42" i="8"/>
  <c r="M163" i="15" l="1"/>
  <c r="I1918" i="35"/>
  <c r="J30" i="8"/>
  <c r="J41"/>
  <c r="I1929" i="35"/>
  <c r="J1661"/>
  <c r="B126" i="8"/>
  <c r="C126"/>
  <c r="D126"/>
  <c r="E126"/>
  <c r="F126"/>
  <c r="B91"/>
  <c r="K91"/>
  <c r="J91"/>
  <c r="I91"/>
  <c r="H91"/>
  <c r="G91"/>
  <c r="F91"/>
  <c r="E91"/>
  <c r="D91"/>
  <c r="C91"/>
  <c r="B56"/>
  <c r="I56"/>
  <c r="H56"/>
  <c r="E56"/>
  <c r="D56"/>
  <c r="E21"/>
  <c r="F21"/>
  <c r="H21"/>
  <c r="J21"/>
  <c r="K56"/>
  <c r="F56"/>
  <c r="C56"/>
  <c r="B22"/>
  <c r="D21"/>
  <c r="G21"/>
  <c r="I21"/>
  <c r="J56"/>
  <c r="G56"/>
  <c r="C21"/>
  <c r="K21"/>
  <c r="H1931" i="35"/>
  <c r="I43" i="8"/>
  <c r="G1934" i="35"/>
  <c r="H46" i="8"/>
  <c r="G1930" i="35"/>
  <c r="H42" i="8"/>
  <c r="J394" i="35"/>
  <c r="L394" s="1"/>
  <c r="J393"/>
  <c r="L393" s="1"/>
  <c r="J41" i="3"/>
  <c r="L41" s="1"/>
  <c r="J40"/>
  <c r="L40" s="1"/>
  <c r="E92" i="15"/>
  <c r="J6" i="7"/>
  <c r="B33" i="8" l="1"/>
  <c r="B36"/>
  <c r="K30"/>
  <c r="J1918" i="35"/>
  <c r="C22" i="8"/>
  <c r="C40"/>
  <c r="J57"/>
  <c r="J71" s="1"/>
  <c r="J75"/>
  <c r="G22"/>
  <c r="G40"/>
  <c r="F57"/>
  <c r="F71" s="1"/>
  <c r="F75"/>
  <c r="J22"/>
  <c r="J40"/>
  <c r="F22"/>
  <c r="F40"/>
  <c r="D57"/>
  <c r="D71" s="1"/>
  <c r="D75"/>
  <c r="H57"/>
  <c r="H71" s="1"/>
  <c r="H75"/>
  <c r="B57"/>
  <c r="B71" s="1"/>
  <c r="B75"/>
  <c r="D92"/>
  <c r="D106" s="1"/>
  <c r="D110"/>
  <c r="F92"/>
  <c r="F106" s="1"/>
  <c r="F110"/>
  <c r="H92"/>
  <c r="H106" s="1"/>
  <c r="H110"/>
  <c r="J92"/>
  <c r="J106" s="1"/>
  <c r="J110"/>
  <c r="B92"/>
  <c r="B106" s="1"/>
  <c r="B110"/>
  <c r="E127"/>
  <c r="E141" s="1"/>
  <c r="E145"/>
  <c r="C127"/>
  <c r="C141" s="1"/>
  <c r="C145"/>
  <c r="K41"/>
  <c r="J1929" i="35"/>
  <c r="K22" i="8"/>
  <c r="K40"/>
  <c r="G57"/>
  <c r="G71" s="1"/>
  <c r="G75"/>
  <c r="I22"/>
  <c r="I40"/>
  <c r="D22"/>
  <c r="D40"/>
  <c r="C57"/>
  <c r="C71" s="1"/>
  <c r="C75"/>
  <c r="K57"/>
  <c r="K71" s="1"/>
  <c r="K75"/>
  <c r="H22"/>
  <c r="H40"/>
  <c r="E22"/>
  <c r="E40"/>
  <c r="E57"/>
  <c r="E71" s="1"/>
  <c r="E75"/>
  <c r="I57"/>
  <c r="I71" s="1"/>
  <c r="I75"/>
  <c r="C92"/>
  <c r="C106" s="1"/>
  <c r="C110"/>
  <c r="E92"/>
  <c r="E106" s="1"/>
  <c r="E110"/>
  <c r="G92"/>
  <c r="G106" s="1"/>
  <c r="G110"/>
  <c r="I92"/>
  <c r="I106" s="1"/>
  <c r="I110"/>
  <c r="K92"/>
  <c r="K106" s="1"/>
  <c r="K110"/>
  <c r="F127"/>
  <c r="F141" s="1"/>
  <c r="F145"/>
  <c r="D127"/>
  <c r="D141" s="1"/>
  <c r="D145"/>
  <c r="B127"/>
  <c r="B141" s="1"/>
  <c r="B145"/>
  <c r="I1931" i="35"/>
  <c r="J43" i="8"/>
  <c r="H1934" i="35"/>
  <c r="I46" i="8"/>
  <c r="H1930" i="35"/>
  <c r="I42" i="8"/>
  <c r="E33" l="1"/>
  <c r="E36"/>
  <c r="H33"/>
  <c r="H36"/>
  <c r="D33"/>
  <c r="D36"/>
  <c r="I33"/>
  <c r="I36"/>
  <c r="K33"/>
  <c r="K36"/>
  <c r="F33"/>
  <c r="F36"/>
  <c r="J33"/>
  <c r="J36"/>
  <c r="G33"/>
  <c r="G36"/>
  <c r="C33"/>
  <c r="C36"/>
  <c r="B65"/>
  <c r="K1918" i="35"/>
  <c r="B68" i="8"/>
  <c r="B76"/>
  <c r="K1929" i="35"/>
  <c r="J1931"/>
  <c r="K43" i="8"/>
  <c r="I1934" i="35"/>
  <c r="J46" i="8"/>
  <c r="I1930" i="35"/>
  <c r="J42" i="8"/>
  <c r="C65" l="1"/>
  <c r="B1953" i="35"/>
  <c r="C76" i="8"/>
  <c r="B1964" i="35"/>
  <c r="K1931"/>
  <c r="B78" i="8"/>
  <c r="J1934" i="35"/>
  <c r="K46" i="8"/>
  <c r="J1930" i="35"/>
  <c r="K42" i="8"/>
  <c r="C1953" i="35" l="1"/>
  <c r="D65" i="8"/>
  <c r="C68"/>
  <c r="D76"/>
  <c r="C1964" i="35"/>
  <c r="B1966"/>
  <c r="C78" i="8"/>
  <c r="K1934" i="35"/>
  <c r="B81" i="8"/>
  <c r="K1930" i="35"/>
  <c r="B77" i="8"/>
  <c r="D1953" i="35" l="1"/>
  <c r="D68" i="8"/>
  <c r="E65"/>
  <c r="E76"/>
  <c r="D1964" i="35"/>
  <c r="C1966"/>
  <c r="D78" i="8"/>
  <c r="B1969" i="35"/>
  <c r="C81" i="8"/>
  <c r="B1965" i="35"/>
  <c r="C77" i="8"/>
  <c r="F65" l="1"/>
  <c r="E1953" i="35"/>
  <c r="E68" i="8"/>
  <c r="F76"/>
  <c r="E1964" i="35"/>
  <c r="D1966"/>
  <c r="E78" i="8"/>
  <c r="C1969" i="35"/>
  <c r="D81" i="8"/>
  <c r="C1965" i="35"/>
  <c r="D77" i="8"/>
  <c r="F1953" i="35" l="1"/>
  <c r="F68" i="8"/>
  <c r="G65"/>
  <c r="G76"/>
  <c r="F1964" i="35"/>
  <c r="E1966"/>
  <c r="F78" i="8"/>
  <c r="D1969" i="35"/>
  <c r="E81" i="8"/>
  <c r="D1965" i="35"/>
  <c r="E77" i="8"/>
  <c r="H65" l="1"/>
  <c r="G1953" i="35"/>
  <c r="G68" i="8"/>
  <c r="H76"/>
  <c r="G1964" i="35"/>
  <c r="F1966"/>
  <c r="G78" i="8"/>
  <c r="E1969" i="35"/>
  <c r="F81" i="8"/>
  <c r="E1965" i="35"/>
  <c r="F77" i="8"/>
  <c r="H68" l="1"/>
  <c r="I65"/>
  <c r="H1953" i="35"/>
  <c r="I76" i="8"/>
  <c r="H1964" i="35"/>
  <c r="G1966"/>
  <c r="H78" i="8"/>
  <c r="F1969" i="35"/>
  <c r="G81" i="8"/>
  <c r="F1965" i="35"/>
  <c r="G77" i="8"/>
  <c r="J65" l="1"/>
  <c r="I1953" i="35"/>
  <c r="I68" i="8"/>
  <c r="J76"/>
  <c r="I1964" i="35"/>
  <c r="H1966"/>
  <c r="I78" i="8"/>
  <c r="G1969" i="35"/>
  <c r="H81" i="8"/>
  <c r="G1965" i="35"/>
  <c r="H77" i="8"/>
  <c r="K65" l="1"/>
  <c r="J1953" i="35"/>
  <c r="J68" i="8"/>
  <c r="K76"/>
  <c r="J1964" i="35"/>
  <c r="I1966"/>
  <c r="J78" i="8"/>
  <c r="H1969" i="35"/>
  <c r="I81" i="8"/>
  <c r="H1965" i="35"/>
  <c r="I77" i="8"/>
  <c r="K68" l="1"/>
  <c r="B100"/>
  <c r="K1953" i="35"/>
  <c r="B111" i="8"/>
  <c r="K1964" i="35"/>
  <c r="J1966"/>
  <c r="K78" i="8"/>
  <c r="I1969" i="35"/>
  <c r="J81" i="8"/>
  <c r="I1965" i="35"/>
  <c r="J77" i="8"/>
  <c r="B1988" i="35" l="1"/>
  <c r="C100" i="8"/>
  <c r="B103"/>
  <c r="C111"/>
  <c r="B1999" i="35"/>
  <c r="K1966"/>
  <c r="B113" i="8"/>
  <c r="J1969" i="35"/>
  <c r="K81" i="8"/>
  <c r="J1965" i="35"/>
  <c r="K77" i="8"/>
  <c r="C1988" i="35" l="1"/>
  <c r="D100" i="8"/>
  <c r="C103"/>
  <c r="D111"/>
  <c r="C1999" i="35"/>
  <c r="B2001"/>
  <c r="C113" i="8"/>
  <c r="K1969" i="35"/>
  <c r="B116" i="8"/>
  <c r="K1965" i="35"/>
  <c r="B112" i="8"/>
  <c r="D1988" i="35" l="1"/>
  <c r="E100" i="8"/>
  <c r="D103"/>
  <c r="E111"/>
  <c r="D1999" i="35"/>
  <c r="C2001"/>
  <c r="D113" i="8"/>
  <c r="B2004" i="35"/>
  <c r="C116" i="8"/>
  <c r="B2000" i="35"/>
  <c r="C112" i="8"/>
  <c r="E1988" i="35" l="1"/>
  <c r="F100" i="8"/>
  <c r="E103"/>
  <c r="F111"/>
  <c r="E1999" i="35"/>
  <c r="D2001"/>
  <c r="E113" i="8"/>
  <c r="C2004" i="35"/>
  <c r="D116" i="8"/>
  <c r="C2000" i="35"/>
  <c r="D112" i="8"/>
  <c r="F1988" i="35" l="1"/>
  <c r="G100" i="8"/>
  <c r="F103"/>
  <c r="G111"/>
  <c r="F1999" i="35"/>
  <c r="E2001"/>
  <c r="F113" i="8"/>
  <c r="D2004" i="35"/>
  <c r="E116" i="8"/>
  <c r="D2000" i="35"/>
  <c r="E112" i="8"/>
  <c r="G1988" i="35" l="1"/>
  <c r="H100" i="8"/>
  <c r="G103"/>
  <c r="H111"/>
  <c r="G1999" i="35"/>
  <c r="F2001"/>
  <c r="G113" i="8"/>
  <c r="E2004" i="35"/>
  <c r="F116" i="8"/>
  <c r="E2000" i="35"/>
  <c r="F112" i="8"/>
  <c r="H103" l="1"/>
  <c r="I100"/>
  <c r="H1988" i="35"/>
  <c r="I111" i="8"/>
  <c r="H1999" i="35"/>
  <c r="G2001"/>
  <c r="H113" i="8"/>
  <c r="F2004" i="35"/>
  <c r="G116" i="8"/>
  <c r="F2000" i="35"/>
  <c r="G112" i="8"/>
  <c r="I103" l="1"/>
  <c r="J100"/>
  <c r="I1988" i="35"/>
  <c r="J111" i="8"/>
  <c r="I1999" i="35"/>
  <c r="H2001"/>
  <c r="I113" i="8"/>
  <c r="G2004" i="35"/>
  <c r="H116" i="8"/>
  <c r="G2000" i="35"/>
  <c r="H112" i="8"/>
  <c r="J103" l="1"/>
  <c r="K100"/>
  <c r="J1988" i="35"/>
  <c r="K111" i="8"/>
  <c r="J1999" i="35"/>
  <c r="I2001"/>
  <c r="J113" i="8"/>
  <c r="H2004" i="35"/>
  <c r="I116" i="8"/>
  <c r="H2000" i="35"/>
  <c r="I112" i="8"/>
  <c r="K103" l="1"/>
  <c r="B135"/>
  <c r="K1988" i="35"/>
  <c r="K1999"/>
  <c r="B146" i="8"/>
  <c r="J2001" i="35"/>
  <c r="K113" i="8"/>
  <c r="I2004" i="35"/>
  <c r="J116" i="8"/>
  <c r="I2000" i="35"/>
  <c r="J112" i="8"/>
  <c r="B138" l="1"/>
  <c r="C135"/>
  <c r="B2023" i="35"/>
  <c r="C146" i="8"/>
  <c r="B2034" i="35"/>
  <c r="K2001"/>
  <c r="B148" i="8"/>
  <c r="J2004" i="35"/>
  <c r="K116" i="8"/>
  <c r="J2000" i="35"/>
  <c r="K112" i="8"/>
  <c r="D135" l="1"/>
  <c r="C2023" i="35"/>
  <c r="C138" i="8"/>
  <c r="C2034" i="35"/>
  <c r="D146" i="8"/>
  <c r="B2036" i="35"/>
  <c r="C148" i="8"/>
  <c r="K2004" i="35"/>
  <c r="B151" i="8"/>
  <c r="K2000" i="35"/>
  <c r="B147" i="8"/>
  <c r="D2023" i="35" l="1"/>
  <c r="D138" i="8"/>
  <c r="E135"/>
  <c r="E146"/>
  <c r="D2034" i="35"/>
  <c r="C2036"/>
  <c r="D148" i="8"/>
  <c r="B2039" i="35"/>
  <c r="C151" i="8"/>
  <c r="B2035" i="35"/>
  <c r="C147" i="8"/>
  <c r="E2023" i="35" l="1"/>
  <c r="E138" i="8"/>
  <c r="F135"/>
  <c r="E2034" i="35"/>
  <c r="F146" i="8"/>
  <c r="F2034" i="35" s="1"/>
  <c r="D2036"/>
  <c r="E148" i="8"/>
  <c r="C2039" i="35"/>
  <c r="D151" i="8"/>
  <c r="C2035" i="35"/>
  <c r="D147" i="8"/>
  <c r="F2023" i="35" l="1"/>
  <c r="F138" i="8"/>
  <c r="E2036" i="35"/>
  <c r="F148" i="8"/>
  <c r="F2036" i="35" s="1"/>
  <c r="D2039"/>
  <c r="E151" i="8"/>
  <c r="D2035" i="35"/>
  <c r="E147" i="8"/>
  <c r="E2039" i="35" l="1"/>
  <c r="F151" i="8"/>
  <c r="F2039" i="35" s="1"/>
  <c r="E2035"/>
  <c r="F147" i="8"/>
  <c r="F2035" i="35" s="1"/>
</calcChain>
</file>

<file path=xl/sharedStrings.xml><?xml version="1.0" encoding="utf-8"?>
<sst xmlns="http://schemas.openxmlformats.org/spreadsheetml/2006/main" count="10131" uniqueCount="4094">
  <si>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</si>
  <si>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</si>
  <si>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</si>
  <si>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</si>
  <si>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</si>
  <si>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</si>
  <si>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</si>
  <si>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</si>
  <si>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</si>
  <si>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</si>
  <si>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</si>
  <si>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</si>
  <si>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</si>
  <si>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</si>
  <si>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</si>
  <si>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</si>
  <si>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</si>
  <si>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</si>
  <si>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</si>
  <si>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</si>
  <si>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</si>
  <si>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</si>
  <si>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</si>
  <si>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</si>
  <si>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</si>
  <si>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</si>
  <si>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</si>
  <si>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</si>
  <si>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</si>
  <si>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</si>
  <si>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</si>
  <si>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</si>
  <si>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</si>
  <si>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</si>
  <si>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</si>
  <si>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</si>
  <si>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</si>
  <si>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</si>
  <si>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</si>
  <si>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</si>
  <si>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</si>
  <si>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</si>
  <si>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</si>
  <si>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</si>
  <si>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</si>
  <si>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</si>
  <si>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</si>
  <si>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</si>
  <si>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</si>
  <si>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</si>
  <si>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</si>
  <si>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</si>
  <si>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</si>
  <si>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</si>
  <si>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</si>
  <si>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</si>
  <si>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</si>
  <si>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</si>
  <si>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</si>
  <si>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</si>
  <si>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</si>
  <si>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</si>
  <si>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</si>
  <si>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</si>
  <si>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</si>
  <si>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</si>
  <si>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</si>
  <si>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</si>
  <si>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</si>
  <si>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</si>
  <si>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</si>
  <si>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</si>
  <si>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</si>
  <si>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</si>
  <si>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</si>
  <si>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</si>
  <si>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</si>
  <si>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</si>
  <si>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</si>
  <si>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</si>
  <si>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</si>
  <si>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</si>
  <si>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</si>
  <si>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</si>
  <si>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</si>
  <si>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</si>
  <si>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</si>
  <si>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</si>
  <si>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</si>
  <si>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</si>
  <si>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</si>
  <si>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</si>
  <si>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</si>
  <si>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</si>
  <si>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</si>
  <si>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</si>
  <si>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</si>
  <si>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</si>
  <si>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</si>
  <si>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</si>
  <si>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</si>
  <si>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</si>
  <si>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</si>
  <si>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</si>
  <si>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</si>
  <si>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</si>
  <si>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</si>
  <si>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</si>
  <si>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</si>
  <si>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</si>
  <si>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</si>
  <si>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</si>
  <si>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</si>
  <si>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</si>
  <si>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</si>
  <si>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</si>
  <si>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</si>
  <si>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</si>
  <si>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</si>
  <si>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</si>
  <si>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</si>
  <si>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</si>
  <si>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</si>
  <si>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</si>
  <si>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</si>
  <si>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</si>
  <si>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</si>
  <si>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</si>
  <si>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</si>
  <si>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</si>
  <si>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</si>
  <si>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</si>
  <si>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</si>
  <si>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</si>
  <si>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</si>
  <si>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</si>
  <si>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</si>
  <si>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</si>
  <si>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</si>
  <si>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</si>
  <si>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</si>
  <si>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</si>
  <si>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</si>
  <si>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</si>
  <si>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</si>
  <si>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</si>
  <si>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</si>
  <si>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</si>
  <si>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</si>
  <si>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</si>
  <si>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</si>
  <si>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</si>
  <si>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</si>
  <si>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</si>
  <si>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</si>
  <si>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</si>
  <si>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</si>
  <si>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</si>
  <si>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</si>
  <si>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</si>
  <si>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</si>
  <si>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</si>
  <si>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</si>
  <si>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</si>
  <si>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</si>
  <si>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</si>
  <si>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</si>
  <si>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</si>
  <si>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</si>
  <si>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</si>
  <si>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</si>
  <si>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</si>
  <si>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</si>
  <si>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</si>
  <si>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</si>
  <si>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</si>
  <si>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</si>
  <si>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</si>
  <si>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</si>
  <si>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</si>
  <si>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</si>
  <si>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</si>
  <si>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</si>
  <si>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</si>
  <si>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</si>
  <si>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</si>
  <si>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</si>
  <si>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</si>
  <si>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</si>
  <si>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</si>
  <si>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</si>
  <si>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</si>
  <si>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</si>
  <si>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</si>
  <si>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</si>
  <si>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</si>
  <si>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</si>
  <si>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</si>
  <si>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</si>
  <si>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</si>
  <si>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</si>
  <si>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</si>
  <si>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</si>
  <si>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</si>
  <si>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</si>
  <si>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</si>
  <si>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</si>
  <si>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</si>
  <si>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</si>
  <si>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</si>
  <si>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</si>
  <si>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</si>
  <si>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</si>
  <si>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</si>
  <si>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</si>
  <si>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</si>
  <si>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</si>
  <si>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</si>
  <si>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</si>
  <si>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</si>
  <si>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</si>
  <si>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</si>
  <si>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</si>
  <si>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</si>
  <si>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</si>
  <si>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</si>
  <si>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</si>
  <si>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</si>
  <si>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</si>
  <si>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</si>
  <si>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</si>
  <si>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</si>
  <si>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</si>
  <si>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</si>
  <si>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</si>
  <si>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</si>
  <si>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</si>
  <si>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</si>
  <si>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</si>
  <si>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</si>
  <si>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</si>
  <si>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</si>
  <si>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</si>
  <si>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</si>
  <si>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</si>
  <si>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</si>
  <si>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</si>
  <si>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</si>
  <si>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</si>
  <si>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</si>
  <si>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</si>
  <si>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</si>
  <si>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</si>
  <si>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</si>
  <si>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</si>
  <si>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</si>
  <si>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</si>
  <si>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</si>
  <si>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</si>
  <si>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</si>
  <si>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</si>
  <si>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</si>
  <si>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</si>
  <si>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</si>
  <si>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</si>
  <si>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</si>
  <si>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</si>
  <si>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</si>
  <si>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</si>
  <si>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</si>
  <si>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</si>
  <si>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</si>
  <si>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</si>
  <si>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</si>
  <si>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</si>
  <si>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</si>
  <si>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</si>
  <si>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</si>
  <si>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</si>
  <si>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</si>
  <si>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</si>
  <si>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</si>
  <si>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</si>
  <si>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</si>
  <si>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</si>
  <si>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</si>
  <si>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</si>
  <si>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</si>
  <si>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</si>
  <si>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</si>
  <si>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</si>
  <si>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</si>
  <si>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</si>
  <si>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</si>
  <si>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</si>
  <si>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</si>
  <si>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</si>
  <si>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</si>
  <si>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</si>
  <si>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</si>
  <si>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</si>
  <si>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</si>
  <si>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</si>
  <si>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</si>
  <si>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</si>
  <si>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</si>
  <si>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</si>
  <si>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</si>
  <si>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</si>
  <si>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</si>
  <si>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</si>
  <si>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</si>
  <si>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</si>
  <si>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</si>
  <si>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</si>
  <si>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</si>
  <si>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</si>
  <si>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</si>
  <si>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</si>
  <si>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</si>
  <si>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</si>
  <si>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</si>
  <si>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</si>
  <si>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</si>
  <si>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</si>
  <si>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</si>
  <si>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</si>
  <si>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</si>
  <si>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</si>
  <si>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</si>
  <si>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</si>
  <si>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</si>
  <si>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</si>
  <si>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</si>
  <si>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</si>
  <si>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</si>
  <si>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</si>
  <si>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</si>
  <si>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</si>
  <si>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</si>
  <si>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</si>
  <si>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</si>
  <si>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</si>
  <si>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</si>
  <si>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</si>
  <si>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</si>
  <si>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</si>
  <si>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</si>
  <si>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</si>
  <si>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</si>
  <si>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</si>
  <si>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</si>
  <si>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</si>
  <si>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</si>
  <si>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</si>
  <si>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</si>
  <si>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</si>
  <si>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</si>
  <si>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</si>
  <si>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</si>
  <si>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</si>
  <si>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</si>
  <si>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</si>
  <si>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</si>
  <si>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</si>
  <si>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</si>
  <si>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</si>
  <si>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</si>
  <si>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</si>
  <si>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</si>
  <si>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</si>
  <si>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</si>
  <si>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</si>
  <si>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</si>
  <si>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</si>
  <si>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</si>
  <si>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</si>
  <si>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</si>
  <si>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</si>
  <si>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</si>
  <si>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</si>
  <si>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</si>
  <si>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</si>
  <si>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</si>
  <si>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</si>
  <si>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</si>
  <si>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</si>
  <si>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</si>
  <si>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</si>
  <si>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</si>
  <si>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</si>
  <si>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</si>
  <si>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</si>
  <si>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</si>
  <si>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</si>
  <si>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</si>
  <si>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</si>
  <si>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</si>
  <si>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</si>
  <si>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</si>
  <si>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</si>
  <si>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</si>
  <si>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</si>
  <si>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</si>
  <si>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</si>
  <si>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</si>
  <si>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</si>
  <si>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</si>
  <si>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</si>
  <si>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</si>
  <si>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</si>
  <si>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</si>
  <si>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</si>
  <si>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</si>
  <si>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</si>
  <si>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</si>
  <si>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</si>
  <si>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</si>
  <si>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</si>
  <si>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</si>
  <si>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</si>
  <si>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</si>
  <si>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</si>
  <si>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</si>
  <si>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</si>
  <si>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</si>
  <si>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</si>
  <si>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</si>
  <si>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</si>
  <si>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</si>
  <si>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</si>
  <si>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</si>
  <si>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</si>
  <si>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</si>
  <si>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</si>
  <si>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</si>
  <si>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</si>
  <si>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</si>
  <si>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</si>
  <si>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</si>
  <si>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</si>
  <si>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</si>
  <si>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</si>
  <si>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</si>
  <si>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</si>
  <si>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</si>
  <si>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</si>
  <si>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</si>
  <si>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</si>
  <si>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</si>
  <si>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</si>
  <si>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</si>
  <si>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</si>
  <si>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</si>
  <si>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</si>
  <si>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</si>
  <si>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</si>
  <si>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</si>
  <si>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</si>
  <si>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</si>
  <si>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</si>
  <si>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</si>
  <si>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</si>
  <si>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</si>
  <si>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</si>
  <si>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</si>
  <si>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</si>
  <si>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</si>
  <si>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</si>
  <si>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</si>
  <si>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</si>
  <si>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</si>
  <si>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</si>
  <si>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</si>
  <si>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</si>
  <si>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</si>
  <si>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</si>
  <si>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</si>
  <si>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</si>
  <si>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</si>
  <si>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</si>
  <si>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</si>
  <si>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</si>
  <si>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</si>
  <si>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</si>
  <si>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</si>
  <si>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</si>
  <si>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</si>
  <si>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</si>
  <si>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</si>
  <si>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</si>
  <si>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</si>
  <si>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</si>
  <si>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</si>
  <si>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</si>
  <si>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</si>
  <si>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</si>
  <si>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</si>
  <si>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</si>
  <si>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</si>
  <si>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</si>
  <si>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</si>
  <si>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</si>
  <si>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</si>
  <si>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</si>
  <si>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</si>
  <si>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</si>
  <si>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</si>
  <si>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</si>
  <si>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</si>
  <si>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</si>
  <si>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</si>
  <si>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</si>
  <si>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</si>
  <si>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</si>
  <si>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</si>
  <si>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</si>
  <si>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</si>
  <si>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</si>
  <si>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</si>
  <si>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</si>
  <si>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</si>
  <si>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</si>
  <si>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</si>
  <si>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</si>
  <si>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</si>
  <si>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</si>
  <si>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</si>
  <si>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</si>
  <si>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</si>
  <si>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</si>
  <si>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</si>
  <si>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</si>
  <si>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</si>
  <si>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</si>
  <si>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</si>
  <si>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</si>
  <si>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</si>
  <si>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</si>
  <si>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</si>
  <si>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</si>
  <si>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</si>
  <si>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</si>
  <si>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</si>
  <si>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</si>
  <si>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</si>
  <si>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</si>
  <si>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</si>
  <si>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</si>
  <si>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</si>
  <si>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</si>
  <si>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</si>
  <si>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</si>
  <si>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</si>
  <si>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</si>
  <si>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</si>
  <si>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</si>
  <si>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</si>
  <si>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</si>
  <si>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</si>
  <si>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</si>
  <si>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</si>
  <si>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</si>
  <si>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</si>
  <si>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</si>
  <si>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</si>
  <si>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</si>
  <si>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</si>
  <si>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</si>
  <si>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</si>
  <si>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</si>
  <si>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</si>
  <si>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</si>
  <si>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</si>
  <si>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</si>
  <si>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</si>
  <si>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</si>
  <si>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</si>
  <si>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</si>
  <si>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</si>
  <si>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</si>
  <si>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</si>
  <si>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</si>
  <si>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</si>
  <si>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</si>
  <si>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</si>
  <si>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</si>
  <si>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</si>
  <si>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</si>
  <si>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</si>
  <si>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</si>
  <si>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</si>
  <si>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</si>
  <si>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</si>
  <si>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</si>
  <si>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</si>
  <si>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</si>
  <si>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</si>
  <si>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</si>
  <si>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</si>
  <si>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</si>
  <si>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</si>
  <si>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</si>
  <si>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</si>
  <si>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</si>
  <si>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</si>
  <si>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</si>
  <si>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</si>
  <si>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</si>
  <si>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</si>
  <si>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</si>
  <si>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</si>
  <si>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</si>
  <si>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</si>
  <si>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</si>
  <si>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</si>
  <si>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</si>
  <si>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</si>
  <si>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</si>
  <si>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</si>
  <si>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</si>
  <si>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</si>
  <si>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</si>
  <si>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</si>
  <si>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</si>
  <si>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</si>
  <si>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</si>
  <si>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</si>
  <si>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</si>
  <si>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</si>
  <si>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</si>
  <si>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</si>
  <si>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</si>
  <si>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</si>
  <si>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</si>
  <si>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</si>
  <si>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</si>
  <si>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</si>
  <si>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</si>
  <si>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</si>
  <si>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</si>
  <si>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</si>
  <si>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</si>
  <si>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</si>
  <si>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</si>
  <si>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</si>
  <si>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</si>
  <si>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</si>
  <si>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</si>
  <si>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</si>
  <si>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</si>
  <si>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</si>
  <si>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</si>
  <si>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</si>
  <si>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</si>
  <si>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</si>
  <si>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</si>
  <si>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</si>
  <si>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</si>
  <si>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</si>
  <si>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</si>
  <si>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</si>
  <si>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</si>
  <si>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</si>
  <si>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</si>
  <si>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</si>
  <si>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</si>
  <si>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</si>
  <si>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</si>
  <si>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</si>
  <si>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</si>
  <si>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</si>
  <si>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</si>
  <si>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</si>
  <si>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</si>
  <si>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</si>
  <si>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</si>
  <si>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</si>
  <si>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</si>
  <si>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</si>
  <si>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</si>
  <si>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</si>
  <si>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</si>
  <si>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</si>
  <si>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</si>
  <si>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</si>
  <si>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</si>
  <si>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</si>
  <si>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</si>
  <si>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</si>
  <si>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</si>
  <si>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</si>
  <si>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</si>
  <si>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</si>
  <si>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</si>
  <si>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</si>
  <si>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</si>
  <si>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</si>
  <si>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</si>
  <si>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</si>
  <si>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</si>
  <si>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</si>
  <si>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</si>
  <si>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</si>
  <si>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</si>
  <si>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</si>
  <si>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</si>
  <si>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</si>
  <si>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</si>
  <si>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</si>
  <si>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</si>
  <si>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</si>
  <si>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</si>
  <si>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</si>
  <si>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</si>
  <si>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</si>
  <si>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</si>
  <si>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</si>
  <si>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</si>
  <si>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</si>
  <si>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</si>
  <si>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</si>
  <si>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</si>
  <si>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</si>
  <si>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</si>
  <si>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</si>
  <si>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</si>
  <si>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</si>
  <si>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</si>
  <si>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</si>
  <si>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</si>
  <si>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</si>
  <si>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</si>
  <si>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</si>
  <si>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</si>
  <si>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</si>
  <si>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</si>
  <si>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</si>
  <si>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</si>
  <si>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</si>
  <si>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</si>
  <si>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</si>
  <si>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</si>
  <si>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</si>
  <si>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</si>
  <si>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</si>
  <si>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</si>
  <si>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</si>
  <si>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</si>
  <si>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</si>
  <si>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</si>
  <si>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</si>
  <si>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</si>
  <si>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</si>
  <si>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</si>
  <si>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</si>
  <si>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</si>
  <si>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</si>
  <si>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</si>
  <si>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</si>
  <si>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</si>
  <si>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</si>
  <si>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</si>
  <si>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</si>
  <si>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</si>
  <si>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</si>
  <si>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</si>
  <si>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</si>
  <si>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</si>
  <si>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</si>
  <si>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</si>
  <si>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</si>
  <si>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</si>
  <si>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</si>
  <si>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</si>
  <si>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</si>
  <si>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</si>
  <si>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</si>
  <si>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</si>
  <si>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</si>
  <si>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</si>
  <si>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</si>
  <si>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</si>
  <si>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</si>
  <si>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</si>
  <si>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</si>
  <si>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</si>
  <si>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</si>
  <si>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</si>
  <si>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</si>
  <si>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</si>
  <si>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</si>
  <si>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</si>
  <si>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</si>
  <si>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</si>
  <si>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</si>
  <si>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</si>
  <si>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</si>
  <si>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</si>
  <si>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</si>
  <si>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</si>
  <si>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</si>
  <si>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</si>
  <si>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</si>
  <si>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</si>
  <si>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</si>
  <si>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</si>
  <si>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</si>
  <si>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</si>
  <si>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</si>
  <si>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</si>
  <si>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</si>
  <si>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</si>
  <si>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</si>
  <si>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</si>
  <si>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</si>
  <si>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</si>
  <si>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</si>
  <si>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</si>
  <si>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</si>
  <si>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</si>
  <si>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</si>
  <si>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</si>
  <si>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</si>
  <si>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</si>
  <si>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</si>
  <si>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</si>
  <si>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</si>
  <si>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</si>
  <si>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</si>
  <si>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</si>
  <si>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</si>
  <si>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</si>
  <si>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</si>
  <si>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</si>
  <si>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</si>
  <si>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</si>
  <si>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</si>
  <si>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</si>
  <si>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</si>
  <si>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</si>
  <si>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</si>
  <si>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</si>
  <si>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</si>
  <si>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</si>
  <si>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</si>
  <si>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</si>
  <si>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</si>
  <si>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</si>
  <si>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</si>
  <si>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</si>
  <si>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</si>
  <si>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</si>
  <si>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</si>
  <si>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</si>
  <si>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</si>
  <si>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</si>
  <si>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</si>
  <si>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</si>
  <si>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</si>
  <si>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</si>
  <si>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</si>
  <si>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</si>
  <si>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</si>
  <si>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</si>
  <si>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</si>
  <si>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</si>
  <si>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</si>
  <si>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</si>
  <si>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</si>
  <si>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</si>
  <si>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</si>
  <si>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</si>
  <si>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</si>
  <si>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</si>
  <si>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</si>
  <si>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</si>
  <si>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</si>
  <si>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</si>
  <si>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</si>
  <si>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</si>
  <si>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</si>
  <si>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</si>
  <si>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</si>
  <si>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</si>
  <si>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</si>
  <si>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</si>
  <si>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</si>
  <si>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</si>
  <si>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</si>
  <si>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</si>
  <si>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</si>
  <si>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</si>
  <si>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</si>
  <si>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</si>
  <si>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</si>
  <si>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</si>
  <si>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</si>
  <si>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</si>
  <si>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</si>
  <si>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</si>
  <si>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</si>
  <si>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</si>
  <si>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</si>
  <si>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</si>
  <si>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</si>
  <si>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</si>
  <si>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</si>
  <si>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</si>
  <si>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</si>
  <si>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</si>
  <si>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</si>
  <si>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</si>
  <si>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</si>
  <si>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</si>
  <si>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</si>
  <si>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</si>
  <si>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</si>
  <si>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</si>
  <si>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</si>
  <si>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</si>
  <si>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</si>
  <si>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</si>
  <si>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</si>
  <si>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</si>
  <si>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</si>
  <si>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</si>
  <si>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</si>
  <si>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</si>
  <si>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</si>
  <si>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</si>
  <si>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</si>
  <si>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</si>
  <si>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</si>
  <si>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</si>
  <si>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</si>
  <si>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</si>
  <si>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</si>
  <si>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</si>
  <si>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</si>
  <si>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</si>
  <si>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</si>
  <si>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</si>
  <si>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</si>
  <si>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</si>
  <si>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</si>
  <si>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</si>
  <si>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</si>
  <si>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</si>
  <si>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</si>
  <si>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</si>
  <si>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</si>
  <si>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</si>
  <si>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</si>
  <si>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</si>
  <si>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</si>
  <si>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</si>
  <si>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</si>
  <si>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</si>
  <si>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</si>
  <si>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</si>
  <si>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</si>
  <si>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</si>
  <si>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</si>
  <si>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</si>
  <si>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</si>
  <si>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</si>
  <si>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</si>
  <si>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</si>
  <si>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</si>
  <si>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</si>
  <si>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</si>
  <si>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</si>
  <si>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</si>
  <si>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</si>
  <si>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</si>
  <si>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</si>
  <si>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</si>
  <si>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</si>
  <si>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</si>
  <si>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</si>
  <si>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</si>
  <si>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</si>
  <si>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</si>
  <si>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</si>
  <si>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</si>
  <si>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</si>
  <si>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</si>
  <si>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</si>
  <si>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</si>
  <si>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</si>
  <si>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</si>
  <si>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</si>
  <si>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</si>
  <si>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</si>
  <si>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</si>
  <si>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</si>
  <si>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</si>
  <si>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</si>
  <si>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</si>
  <si>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</si>
  <si>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</si>
  <si>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</si>
  <si>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</si>
  <si>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</si>
  <si>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</si>
  <si>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</si>
  <si>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</si>
  <si>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</si>
  <si>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</si>
  <si>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</si>
  <si>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</si>
  <si>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</si>
  <si>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</si>
  <si>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</si>
  <si>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</si>
  <si>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</si>
  <si>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</si>
  <si>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</si>
  <si>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</si>
  <si>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</si>
  <si>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</si>
  <si>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</si>
  <si>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</si>
  <si>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</si>
  <si>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</si>
  <si>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</si>
  <si>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</si>
  <si>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</si>
  <si>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</si>
  <si>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</si>
  <si>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</si>
  <si>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</si>
  <si>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</si>
  <si>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</si>
  <si>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</si>
  <si>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</si>
  <si>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</si>
  <si>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</si>
  <si>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</si>
  <si>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</si>
  <si>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</si>
  <si>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</si>
  <si>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</si>
  <si>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</si>
  <si>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</si>
  <si>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</si>
  <si>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</si>
  <si>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</si>
  <si>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</si>
  <si>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</si>
  <si>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</si>
  <si>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</si>
  <si>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</si>
  <si>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</si>
  <si>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</si>
  <si>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</si>
  <si>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</si>
  <si>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</si>
  <si>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</si>
  <si>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</si>
  <si>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</si>
  <si>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</si>
  <si>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</si>
  <si>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</si>
  <si>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</si>
  <si>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</si>
  <si>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</si>
  <si>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</si>
  <si>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</si>
  <si>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</si>
  <si>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</si>
  <si>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</si>
  <si>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</si>
  <si>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</si>
  <si>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</si>
  <si>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</si>
  <si>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</si>
  <si>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</si>
  <si>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</si>
  <si>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</si>
  <si>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</si>
  <si>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</si>
  <si>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</si>
  <si>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</si>
  <si>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</si>
  <si>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</si>
  <si>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</si>
  <si>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</si>
  <si>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</si>
  <si>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</si>
  <si>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</si>
  <si>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</si>
  <si>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</si>
  <si>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</si>
  <si>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</si>
  <si>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</si>
  <si>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</si>
  <si>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</si>
  <si>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</si>
  <si>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</si>
  <si>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</si>
  <si>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</si>
  <si>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</si>
  <si>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</si>
  <si>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</si>
  <si>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</si>
  <si>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</si>
  <si>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</si>
  <si>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</si>
  <si>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</si>
  <si>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</si>
  <si>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</si>
  <si>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</si>
  <si>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</si>
  <si>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</si>
  <si>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</si>
  <si>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</si>
  <si>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</si>
  <si>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</si>
  <si>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</si>
  <si>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</si>
  <si>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</si>
  <si>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</si>
  <si>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</si>
  <si>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</si>
  <si>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</si>
  <si>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</si>
  <si>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</si>
  <si>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</si>
  <si>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</si>
  <si>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</si>
  <si>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</si>
  <si>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</si>
  <si>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</si>
  <si>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</si>
  <si>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</si>
  <si>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</si>
  <si>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</si>
  <si>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</si>
  <si>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</si>
  <si>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</si>
  <si>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</si>
  <si>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</si>
  <si>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</si>
  <si>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</si>
  <si>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</si>
  <si>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</si>
  <si>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</si>
  <si>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</si>
  <si>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</si>
  <si>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</si>
  <si>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</si>
  <si>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</si>
  <si>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</si>
  <si>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</si>
  <si>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</si>
  <si>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</si>
  <si>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</si>
  <si>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</si>
  <si>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</si>
  <si>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</si>
  <si>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</si>
  <si>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</si>
  <si>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</si>
  <si>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</si>
  <si>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</si>
  <si>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</si>
  <si>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</si>
  <si>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</si>
  <si>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</si>
  <si>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</si>
  <si>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</si>
  <si>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</si>
  <si>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</si>
  <si>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</si>
  <si>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</si>
  <si>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</si>
  <si>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</si>
  <si>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</si>
  <si>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</si>
  <si>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</si>
  <si>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</si>
  <si>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</si>
  <si>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</si>
  <si>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</si>
  <si>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</si>
  <si>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</si>
  <si>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</si>
  <si>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</si>
  <si>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</si>
  <si>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</si>
  <si>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</si>
  <si>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</si>
  <si>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</si>
  <si>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</si>
  <si>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</si>
  <si>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</si>
  <si>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</si>
  <si>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</si>
  <si>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</si>
  <si>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</si>
  <si>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</si>
  <si>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</si>
  <si>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</si>
  <si>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</si>
  <si>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</si>
  <si>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</si>
  <si>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</si>
  <si>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</si>
  <si>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</si>
  <si>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</si>
  <si>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</si>
  <si>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</si>
  <si>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</si>
  <si>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</si>
  <si>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</si>
  <si>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</si>
  <si>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</si>
  <si>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</si>
  <si>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</si>
  <si>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</si>
  <si>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</si>
  <si>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</si>
  <si>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</si>
  <si>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</si>
  <si>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</si>
  <si>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</si>
  <si>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</si>
  <si>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</si>
  <si>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</si>
  <si>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</si>
  <si>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</si>
  <si>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</si>
  <si>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</si>
  <si>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</si>
  <si>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</si>
  <si>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</si>
  <si>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</si>
  <si>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</si>
  <si>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</si>
  <si>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</si>
  <si>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</si>
  <si>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</si>
  <si>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</si>
  <si>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</si>
  <si>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</si>
  <si>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</si>
  <si>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</si>
  <si>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</si>
  <si>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</si>
  <si>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</si>
  <si>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</si>
  <si>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</si>
  <si>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</si>
  <si>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</si>
  <si>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</si>
  <si>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</si>
  <si>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</si>
  <si>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</si>
  <si>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</si>
  <si>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</si>
  <si>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</si>
  <si>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</si>
  <si>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</si>
  <si>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</si>
  <si>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</si>
  <si>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</si>
  <si>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</si>
  <si>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</si>
  <si>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</si>
  <si>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</si>
  <si>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</si>
  <si>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</si>
  <si>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</si>
  <si>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</si>
  <si>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</si>
  <si>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</si>
  <si>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</si>
  <si>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</si>
  <si>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</si>
  <si>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</si>
  <si>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</si>
  <si>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</si>
  <si>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</si>
  <si>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</si>
  <si>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</si>
  <si>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</si>
  <si>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</si>
  <si>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</si>
  <si>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</si>
  <si>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</si>
  <si>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</si>
  <si>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</si>
  <si>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</si>
  <si>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</si>
  <si>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</si>
  <si>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</si>
  <si>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</si>
  <si>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</si>
  <si>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</si>
  <si>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</si>
  <si>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</si>
  <si>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</si>
  <si>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</si>
  <si>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</si>
  <si>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</si>
  <si>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</si>
  <si>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</si>
  <si>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</si>
  <si>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</si>
  <si>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</si>
  <si>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</si>
  <si>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</si>
  <si>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</si>
  <si>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</si>
  <si>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</si>
  <si>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</si>
  <si>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</si>
  <si>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</si>
  <si>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</si>
  <si>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</si>
  <si>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</si>
  <si>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</si>
  <si>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</si>
  <si>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</si>
  <si>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</si>
  <si>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</si>
  <si>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</si>
  <si>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</si>
  <si>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</si>
  <si>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</si>
  <si>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</si>
  <si>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</si>
  <si>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</si>
  <si>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</si>
  <si>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</si>
  <si>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</si>
  <si>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</si>
  <si>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</si>
  <si>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</si>
  <si>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</si>
  <si>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</si>
  <si>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</si>
  <si>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</si>
  <si>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</si>
  <si>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</si>
  <si>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</si>
  <si>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</si>
  <si>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</si>
  <si>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</si>
  <si>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</si>
  <si>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</si>
  <si>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</si>
  <si>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</si>
  <si>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</si>
  <si>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</si>
  <si>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</si>
  <si>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</si>
  <si>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</si>
  <si>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</si>
  <si>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</si>
  <si>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</si>
  <si>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</si>
  <si>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</si>
  <si>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</si>
  <si>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</si>
  <si>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</si>
  <si>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</si>
  <si>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</si>
  <si>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</si>
  <si>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</si>
  <si>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</si>
  <si>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</si>
  <si>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</si>
  <si>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</si>
  <si>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</si>
  <si>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</si>
  <si>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</si>
  <si>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</si>
  <si>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</si>
  <si>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</si>
  <si>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</si>
  <si>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</si>
  <si>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</si>
  <si>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</si>
  <si>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</si>
  <si>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</si>
  <si>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</si>
  <si>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</si>
  <si>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</si>
  <si>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</si>
  <si>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</si>
  <si>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</si>
  <si>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</si>
  <si>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</si>
  <si>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</si>
  <si>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</si>
  <si>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</si>
  <si>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</si>
  <si>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</si>
  <si>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</si>
  <si>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</si>
  <si>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</si>
  <si>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</si>
  <si>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</si>
  <si>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</si>
  <si>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</si>
  <si>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</si>
  <si>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</si>
  <si>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</si>
  <si>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</si>
  <si>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</si>
  <si>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</si>
  <si>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</si>
  <si>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</si>
  <si>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</si>
  <si>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</si>
  <si>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</si>
  <si>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</si>
  <si>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</si>
  <si>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</si>
  <si>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</si>
  <si>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</si>
  <si>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</si>
  <si>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</si>
  <si>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</si>
  <si>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</si>
  <si>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</si>
  <si>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</si>
  <si>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</si>
  <si>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</si>
  <si>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</si>
  <si>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</si>
  <si>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</si>
  <si>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</si>
  <si>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</si>
  <si>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</si>
  <si>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</si>
  <si>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</si>
  <si>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</si>
  <si>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</si>
  <si>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</si>
  <si>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</si>
  <si>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</si>
  <si>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</si>
  <si>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</si>
  <si>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</si>
  <si>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</si>
  <si>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</si>
  <si>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</si>
  <si>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</si>
  <si>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</si>
  <si>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</si>
  <si>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</si>
  <si>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</si>
  <si>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</si>
  <si>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</si>
  <si>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</si>
  <si>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</si>
  <si>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</si>
  <si>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</si>
  <si>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</si>
  <si>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</si>
  <si>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</si>
  <si>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</si>
  <si>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</si>
  <si>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</si>
  <si>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</si>
  <si>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</si>
  <si>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</si>
  <si>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</si>
  <si>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</si>
  <si>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</si>
  <si>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</si>
  <si>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</si>
  <si>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</si>
  <si>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</si>
  <si>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</si>
  <si>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</si>
  <si>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</si>
  <si>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</si>
  <si>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</si>
  <si>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</si>
  <si>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</si>
  <si>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</si>
  <si>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</si>
  <si>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</si>
  <si>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</si>
  <si>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</si>
  <si>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</si>
  <si>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</si>
  <si>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</si>
  <si>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</si>
  <si>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</si>
  <si>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</si>
  <si>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</si>
  <si>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</si>
  <si>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</si>
  <si>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</si>
  <si>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</si>
  <si>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</si>
  <si>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</si>
  <si>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</si>
  <si>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</si>
  <si>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</si>
  <si>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</si>
  <si>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</si>
  <si>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</si>
  <si>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</si>
  <si>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</si>
  <si>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</si>
  <si>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</si>
  <si>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</si>
  <si>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</si>
  <si>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</si>
  <si>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</si>
  <si>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</si>
  <si>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</si>
  <si>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</si>
  <si>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</si>
  <si>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</si>
  <si>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</si>
  <si>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</si>
  <si>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</si>
  <si>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</si>
  <si>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</si>
  <si>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</si>
  <si>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</si>
  <si>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</si>
  <si>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</si>
  <si>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</si>
  <si>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</si>
  <si>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</si>
  <si>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</si>
  <si>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</si>
  <si>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</si>
  <si>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</si>
  <si>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</si>
  <si>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</si>
  <si>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</si>
  <si>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</si>
  <si>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</si>
  <si>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</si>
  <si>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</si>
  <si>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</si>
  <si>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</si>
  <si>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</si>
  <si>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</si>
  <si>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</si>
  <si>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</si>
  <si>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</si>
  <si>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</si>
  <si>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</si>
  <si>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</si>
  <si>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</si>
  <si>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</si>
  <si>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</si>
  <si>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</si>
  <si>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</si>
  <si>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</si>
  <si>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</si>
  <si>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</si>
  <si>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</si>
  <si>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</si>
  <si>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</si>
  <si>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</si>
  <si>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</si>
  <si>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</si>
  <si>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</si>
  <si>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</si>
  <si>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</si>
  <si>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</si>
  <si>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</si>
  <si>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</si>
  <si>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</si>
  <si>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</si>
  <si>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</si>
  <si>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</si>
  <si>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</si>
  <si>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</si>
  <si>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</si>
  <si>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</si>
  <si>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</si>
  <si>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</si>
  <si>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</si>
  <si>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</si>
  <si>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</si>
  <si>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</si>
  <si>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</si>
  <si>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</si>
  <si>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</si>
  <si>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</si>
  <si>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</si>
  <si>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</si>
  <si>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</si>
  <si>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</si>
  <si>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</si>
  <si>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</si>
  <si>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</si>
  <si>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</si>
  <si>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</si>
  <si>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</si>
  <si>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</si>
  <si>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</si>
  <si>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</si>
  <si>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</si>
  <si>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</si>
  <si>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</si>
  <si>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</si>
  <si>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</si>
  <si>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</si>
  <si>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</si>
  <si>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</si>
  <si>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</si>
  <si>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</si>
  <si>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</si>
  <si>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</si>
  <si>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</si>
  <si>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</si>
  <si>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</si>
  <si>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</si>
  <si>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</si>
  <si>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</si>
  <si>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</si>
  <si>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</si>
  <si>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</si>
  <si>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</si>
  <si>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</si>
  <si>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</si>
  <si>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</si>
  <si>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</si>
  <si>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</si>
  <si>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</si>
  <si>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</si>
  <si>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</si>
  <si>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</si>
  <si>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</si>
  <si>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</si>
  <si>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</si>
  <si>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</si>
  <si>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</si>
  <si>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</si>
  <si>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</si>
  <si>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</si>
  <si>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</si>
  <si>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</si>
  <si>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</si>
  <si>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</si>
  <si>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</si>
  <si>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</si>
  <si>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</si>
  <si>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</si>
  <si>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</si>
  <si>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</si>
  <si>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</si>
  <si>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</si>
  <si>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</si>
  <si>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</si>
  <si>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</si>
  <si>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</si>
  <si>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</si>
  <si>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</si>
  <si>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</si>
  <si>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</si>
  <si>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</si>
  <si>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</si>
  <si>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</si>
  <si>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</si>
  <si>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</si>
  <si>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</si>
  <si>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</si>
  <si>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</si>
  <si>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</si>
  <si>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</si>
  <si>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</si>
  <si>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</si>
  <si>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</si>
  <si>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</si>
  <si>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</si>
  <si>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</si>
  <si>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</si>
  <si>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</si>
  <si>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</si>
  <si>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</si>
  <si>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</si>
  <si>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</si>
  <si>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</si>
  <si>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</si>
  <si>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</si>
  <si>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</si>
  <si>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</si>
  <si>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</si>
  <si>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</si>
  <si>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</si>
  <si>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</si>
  <si>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</si>
  <si>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</si>
  <si>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</si>
  <si>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</si>
  <si>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</si>
  <si>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</si>
  <si>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</si>
  <si>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</si>
  <si>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</si>
  <si>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</si>
  <si>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</si>
  <si>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</si>
  <si>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</si>
  <si>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</si>
  <si>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</si>
  <si>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</si>
  <si>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</si>
  <si>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</si>
  <si>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</si>
  <si>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</si>
  <si>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</si>
  <si>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</si>
  <si>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</si>
  <si>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</si>
  <si>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</si>
  <si>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</si>
  <si>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</si>
  <si>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</si>
  <si>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</si>
  <si>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</si>
  <si>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</si>
  <si>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</si>
  <si>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</si>
  <si>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</si>
  <si>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</si>
  <si>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</si>
  <si>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</si>
  <si>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</si>
  <si>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</si>
  <si>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</si>
  <si>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</si>
  <si>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</si>
  <si>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</si>
  <si>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</si>
  <si>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</si>
  <si>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</si>
  <si>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</si>
  <si>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</si>
  <si>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</si>
  <si>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</si>
  <si>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</si>
  <si>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</si>
  <si>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</si>
  <si>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</si>
  <si>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</si>
  <si>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</si>
  <si>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</si>
  <si>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</si>
  <si>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</si>
  <si>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</si>
  <si>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</si>
  <si>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</si>
  <si>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</si>
  <si>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</si>
  <si>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</si>
  <si>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</si>
  <si>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</si>
  <si>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</si>
  <si>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</si>
  <si>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</si>
  <si>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</si>
  <si>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</si>
  <si>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</si>
  <si>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</si>
  <si>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</si>
  <si>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</si>
  <si>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</si>
  <si>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</si>
  <si>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</si>
  <si>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</si>
  <si>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</si>
  <si>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</si>
  <si>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</si>
  <si>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</si>
  <si>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</si>
  <si>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</si>
  <si>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</si>
  <si>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</si>
  <si>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</si>
  <si>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</si>
  <si>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</si>
  <si>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</si>
  <si>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</si>
  <si>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</si>
  <si>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</si>
  <si>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</si>
  <si>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</si>
  <si>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</si>
  <si>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</si>
  <si>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</si>
  <si>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</si>
  <si>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</si>
  <si>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</si>
  <si>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</si>
  <si>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</si>
  <si>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</si>
  <si>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</si>
  <si>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</si>
  <si>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</si>
  <si>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</si>
  <si>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</si>
  <si>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</si>
  <si>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</si>
  <si>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</si>
  <si>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</si>
  <si>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</si>
  <si>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</si>
  <si>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</si>
  <si>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</si>
  <si>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</si>
  <si>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</si>
  <si>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</si>
  <si>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</si>
  <si>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</si>
  <si>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</si>
  <si>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</si>
  <si>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</si>
  <si>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</si>
  <si>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</si>
  <si>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</si>
  <si>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</si>
  <si>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</si>
  <si>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</si>
  <si>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</si>
  <si>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</si>
  <si>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</si>
  <si>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</si>
  <si>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</si>
  <si>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</si>
  <si>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</si>
  <si>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</si>
  <si>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</si>
  <si>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</si>
  <si>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</si>
  <si>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</si>
  <si>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</si>
  <si>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</si>
  <si>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</si>
  <si>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</si>
  <si>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</si>
  <si>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</si>
  <si>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</si>
  <si>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</si>
  <si>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</si>
  <si>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</si>
  <si>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</si>
  <si>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</si>
  <si>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</si>
  <si>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</si>
  <si>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</si>
  <si>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</si>
  <si>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</si>
  <si>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</si>
  <si>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</si>
  <si>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</si>
  <si>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</si>
  <si>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</si>
  <si>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</si>
  <si>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</si>
  <si>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</si>
  <si>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</si>
  <si>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</si>
  <si>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</si>
  <si>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</si>
  <si>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</si>
  <si>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</si>
  <si>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</si>
  <si>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</si>
  <si>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</si>
  <si>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</si>
  <si>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</si>
  <si>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</si>
  <si>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</si>
  <si>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</si>
  <si>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</si>
  <si>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</si>
  <si>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</si>
  <si>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</si>
  <si>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</si>
  <si>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</si>
  <si>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</si>
  <si>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</si>
  <si>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</si>
  <si>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</si>
  <si>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</si>
  <si>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</si>
  <si>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</si>
  <si>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</si>
  <si>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</si>
  <si>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</si>
  <si>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</si>
  <si>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</si>
  <si>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</si>
  <si>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</si>
  <si>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</si>
  <si>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</si>
  <si>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</si>
  <si>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</si>
  <si>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</si>
  <si>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</si>
  <si>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</si>
  <si>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</si>
  <si>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</si>
  <si>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</si>
  <si>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</si>
  <si>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</si>
  <si>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</si>
  <si>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</si>
  <si>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</si>
  <si>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</si>
  <si>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</si>
  <si>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</si>
  <si>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</si>
  <si>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</si>
  <si>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</si>
  <si>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</si>
  <si>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</si>
  <si>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</si>
  <si>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</si>
  <si>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</si>
  <si>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</si>
  <si>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</si>
  <si>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</si>
  <si>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</si>
  <si>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</si>
  <si>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</si>
  <si>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</si>
  <si>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</si>
  <si>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</si>
  <si>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</si>
  <si>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</si>
  <si>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</si>
  <si>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</si>
  <si>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</si>
  <si>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</si>
  <si>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</si>
  <si>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</si>
  <si>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</si>
  <si>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</si>
  <si>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</si>
  <si>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</si>
  <si>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</si>
  <si>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</si>
  <si>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</si>
  <si>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</si>
  <si>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</si>
  <si>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</si>
  <si>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</si>
  <si>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</si>
  <si>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</si>
  <si>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</si>
  <si>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</si>
  <si>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</si>
  <si>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</si>
  <si>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</si>
  <si>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</si>
  <si>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</si>
  <si>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</si>
  <si>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</si>
  <si>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</si>
  <si>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</si>
  <si>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</si>
  <si>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</si>
  <si>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</si>
  <si>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</si>
  <si>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</si>
  <si>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</si>
  <si>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</si>
  <si>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</si>
  <si>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</si>
  <si>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</si>
  <si>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</si>
  <si>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</si>
  <si>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</si>
  <si>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</si>
  <si>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</si>
  <si>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</si>
  <si>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</si>
  <si>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</si>
  <si>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</si>
  <si>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</si>
  <si>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</si>
  <si>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</si>
  <si>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</si>
  <si>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</si>
  <si>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</si>
  <si>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</si>
  <si>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</si>
  <si>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</si>
  <si>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</si>
  <si>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</si>
  <si>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</si>
  <si>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</si>
  <si>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</si>
  <si>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</si>
  <si>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</si>
  <si>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</si>
  <si>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</si>
  <si>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</si>
  <si>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</si>
  <si>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</si>
  <si>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</si>
  <si>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</si>
  <si>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</si>
  <si>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</si>
  <si>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</si>
  <si>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</si>
  <si>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</si>
  <si>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</si>
  <si>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</si>
  <si>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</si>
  <si>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</si>
  <si>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</si>
  <si>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</si>
  <si>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</si>
  <si>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</si>
  <si>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</si>
  <si>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</si>
  <si>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</si>
  <si>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</si>
  <si>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</si>
  <si>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</si>
  <si>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</si>
  <si>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</si>
  <si>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</si>
  <si>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</si>
  <si>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</si>
  <si>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</si>
  <si>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</si>
  <si>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</si>
  <si>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</si>
  <si>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</si>
  <si>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</si>
  <si>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</si>
  <si>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</si>
  <si>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</si>
  <si>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</si>
  <si>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</si>
  <si>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</si>
  <si>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</si>
  <si>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</si>
  <si>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</si>
  <si>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</si>
  <si>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</si>
  <si>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</si>
  <si>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</si>
  <si>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</si>
  <si>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</si>
  <si>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</si>
  <si>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</si>
  <si>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</si>
  <si>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</si>
  <si>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</si>
  <si>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</si>
  <si>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</si>
  <si>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</si>
  <si>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</si>
  <si>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</si>
  <si>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</si>
  <si>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</si>
  <si>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</si>
  <si>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</si>
  <si>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</si>
  <si>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</si>
  <si>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</si>
  <si>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</si>
  <si>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</si>
  <si>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</si>
  <si>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</si>
  <si>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</si>
  <si>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</si>
  <si>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</si>
  <si>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</si>
  <si>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</si>
  <si>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</si>
  <si>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</si>
  <si>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</si>
  <si>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</si>
  <si>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</si>
  <si>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</si>
  <si>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</si>
  <si>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</si>
  <si>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</si>
  <si>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</si>
  <si>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</si>
  <si>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</si>
  <si>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</si>
  <si>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</si>
  <si>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</si>
  <si>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</si>
  <si>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</si>
  <si>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</si>
  <si>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</si>
  <si>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</si>
  <si>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</si>
  <si>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</si>
  <si>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</si>
  <si>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</si>
  <si>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</si>
  <si>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</si>
  <si>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</si>
  <si>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</si>
  <si>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</si>
  <si>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</si>
  <si>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</si>
  <si>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</si>
  <si>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</si>
  <si>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</si>
  <si>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</si>
  <si>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</si>
  <si>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</si>
  <si>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</si>
  <si>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</si>
  <si>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</si>
  <si>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</si>
  <si>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</si>
  <si>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</si>
  <si>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</si>
  <si>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</si>
  <si>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</si>
  <si>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</si>
  <si>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</si>
  <si>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</si>
  <si>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</si>
  <si>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</si>
  <si>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</si>
  <si>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</si>
  <si>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</si>
  <si>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</si>
  <si>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</si>
  <si>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</si>
  <si>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</si>
  <si>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</si>
  <si>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</si>
  <si>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</si>
  <si>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</si>
  <si>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</si>
  <si>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</si>
  <si>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</si>
  <si>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</si>
  <si>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</si>
  <si>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</si>
  <si>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</si>
  <si>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</si>
  <si>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</si>
  <si>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</si>
  <si>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</si>
  <si>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</si>
  <si>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</si>
  <si>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</si>
  <si>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</si>
  <si>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</si>
  <si>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</si>
  <si>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</si>
  <si>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</si>
  <si>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</si>
  <si>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</si>
  <si>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</si>
  <si>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</si>
  <si>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</si>
  <si>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</si>
  <si>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</si>
  <si>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</si>
  <si>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</si>
  <si>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</si>
  <si>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</si>
  <si>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</si>
  <si>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</si>
  <si>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</si>
  <si>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</si>
  <si>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</si>
  <si>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</si>
  <si>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</si>
  <si>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</si>
  <si>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</si>
  <si>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</si>
  <si>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</si>
  <si>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</si>
  <si>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</si>
  <si>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</si>
  <si>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</si>
  <si>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</si>
  <si>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</si>
  <si>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</si>
  <si>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</si>
  <si>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</si>
  <si>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</si>
  <si>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</si>
  <si>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</si>
  <si>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</si>
  <si>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</si>
  <si>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</si>
  <si>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</si>
  <si>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</si>
  <si>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</si>
  <si>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</si>
  <si>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</si>
  <si>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</si>
  <si>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</si>
  <si>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</si>
  <si>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</si>
  <si>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</si>
  <si>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</si>
  <si>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</si>
  <si>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</si>
  <si>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</si>
  <si>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</si>
  <si>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</si>
  <si>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</si>
  <si>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</si>
  <si>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</si>
  <si>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</si>
  <si>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</si>
  <si>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</si>
  <si>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</si>
  <si>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</si>
  <si>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</si>
  <si>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</si>
  <si>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</si>
  <si>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</si>
  <si>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</si>
  <si>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</si>
  <si>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</si>
  <si>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</si>
  <si>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</si>
  <si>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</si>
  <si>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</si>
  <si>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</si>
  <si>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</si>
  <si>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</si>
  <si>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</si>
  <si>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</si>
  <si>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</si>
  <si>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</si>
  <si>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</si>
  <si>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</si>
  <si>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</si>
  <si>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</si>
  <si>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</si>
  <si>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</si>
  <si>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</si>
  <si>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</si>
  <si>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</si>
  <si>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</si>
  <si>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</si>
  <si>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</si>
  <si>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</si>
  <si>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</si>
  <si>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</si>
  <si>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</si>
  <si>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</si>
  <si>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</si>
  <si>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</si>
  <si>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</si>
  <si>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</si>
  <si>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</si>
  <si>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</si>
  <si>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</si>
  <si>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</si>
  <si>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</si>
  <si>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</si>
  <si>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</si>
  <si>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</si>
  <si>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</si>
  <si>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</si>
  <si>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</si>
  <si>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</si>
  <si>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</si>
  <si>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</si>
  <si>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</si>
  <si>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</si>
  <si>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</si>
  <si>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</si>
  <si>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</si>
  <si>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</si>
  <si>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</si>
  <si>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</si>
  <si>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</si>
  <si>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</si>
  <si>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</si>
  <si>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</si>
  <si>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</si>
  <si>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</si>
  <si>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</si>
  <si>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</si>
  <si>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</si>
  <si>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</si>
  <si>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</si>
  <si>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</si>
  <si>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</si>
  <si>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</si>
  <si>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</si>
  <si>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</si>
  <si>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</si>
  <si>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</si>
  <si>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</si>
  <si>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</si>
  <si>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</si>
  <si>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</si>
  <si>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</si>
  <si>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</si>
  <si>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</si>
  <si>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</si>
  <si>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</si>
  <si>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</si>
  <si>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</si>
  <si>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</si>
  <si>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</si>
  <si>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</si>
  <si>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</si>
  <si>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</si>
  <si>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</si>
  <si>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</si>
  <si>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</si>
  <si>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</si>
  <si>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</si>
  <si>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</si>
  <si>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</si>
  <si>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</si>
  <si>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</si>
  <si>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</si>
  <si>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</si>
  <si>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</si>
  <si>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</si>
  <si>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</si>
  <si>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</si>
  <si>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</si>
  <si>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</si>
  <si>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</si>
  <si>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</si>
  <si>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</si>
  <si>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</si>
  <si>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</si>
  <si>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</si>
  <si>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</si>
  <si>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</si>
  <si>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</si>
  <si>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</si>
  <si>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</si>
  <si>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</si>
  <si>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</si>
  <si>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</si>
  <si>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</si>
  <si>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</si>
  <si>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</si>
  <si>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</si>
  <si>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</si>
  <si>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</si>
  <si>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</si>
  <si>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</si>
  <si>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</si>
  <si>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</si>
  <si>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</si>
  <si>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</si>
  <si>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</si>
  <si>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</si>
  <si>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</si>
  <si>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</si>
  <si>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</si>
  <si>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</si>
  <si>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</si>
  <si>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</si>
  <si>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</si>
  <si>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</si>
  <si>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</si>
  <si>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</si>
  <si>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</si>
  <si>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</si>
  <si>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</si>
  <si>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</si>
  <si>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</si>
  <si>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</si>
  <si>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</si>
  <si>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</si>
  <si>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</si>
  <si>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</si>
  <si>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</si>
  <si>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</si>
  <si>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</si>
  <si>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</si>
  <si>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</si>
  <si>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</si>
  <si>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</si>
  <si>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</si>
  <si>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</si>
  <si>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</si>
  <si>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</si>
  <si>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</si>
  <si>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</si>
  <si>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</si>
  <si>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</si>
  <si>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</si>
  <si>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</si>
  <si>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</si>
  <si>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</si>
  <si>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</si>
  <si>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</si>
  <si>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</si>
  <si>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</si>
  <si>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</si>
  <si>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</si>
  <si>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</si>
  <si>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</si>
  <si>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</si>
  <si>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</si>
  <si>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</si>
  <si>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</si>
  <si>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</si>
  <si>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</si>
  <si>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</si>
  <si>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</si>
  <si>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</si>
  <si>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</si>
  <si>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</si>
  <si>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</si>
  <si>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</si>
  <si>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</si>
  <si>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</si>
  <si>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</si>
  <si>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</si>
  <si>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</si>
  <si>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</si>
  <si>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</si>
  <si>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</si>
  <si>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</si>
  <si>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</si>
  <si>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</si>
  <si>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</si>
  <si>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</si>
  <si>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</si>
  <si>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</si>
  <si>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</si>
  <si>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</si>
  <si>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</si>
  <si>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</si>
  <si>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</si>
  <si>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</si>
  <si>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</si>
  <si>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</si>
  <si>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</si>
  <si>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</si>
  <si>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</si>
  <si>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</si>
  <si>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</si>
  <si>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</si>
  <si>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</si>
  <si>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</si>
  <si>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</si>
  <si>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</si>
  <si>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</si>
  <si>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</si>
  <si>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</si>
  <si>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</si>
  <si>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</si>
  <si>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</si>
  <si>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</si>
  <si>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</si>
  <si>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</si>
  <si>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</si>
  <si>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</si>
  <si>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</si>
  <si>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</si>
  <si>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</si>
  <si>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</si>
  <si>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</si>
  <si>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</si>
  <si>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</si>
  <si>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</si>
  <si>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</si>
  <si>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</si>
  <si>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</si>
  <si>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</si>
  <si>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</si>
  <si>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</si>
  <si>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</si>
  <si>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</si>
  <si>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</si>
  <si>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</si>
  <si>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</si>
  <si>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</si>
  <si>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</si>
  <si>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</si>
  <si>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</si>
  <si>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</si>
  <si>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</si>
  <si>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</si>
  <si>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</si>
  <si>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</si>
  <si>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</si>
  <si>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</si>
  <si>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</si>
  <si>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</si>
  <si>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</si>
  <si>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</si>
  <si>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</si>
  <si>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</si>
  <si>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</si>
  <si>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</si>
  <si>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</si>
  <si>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</si>
  <si>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</si>
  <si>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</si>
  <si>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</si>
  <si>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</si>
  <si>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</si>
  <si>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</si>
  <si>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</si>
  <si>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</si>
  <si>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</si>
  <si>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</si>
  <si>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</si>
  <si>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</si>
  <si>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</si>
  <si>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</si>
  <si>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</si>
  <si>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</si>
  <si>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</si>
  <si>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</si>
  <si>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</si>
  <si>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</si>
  <si>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</si>
  <si>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</si>
  <si>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</si>
  <si>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</si>
  <si>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</si>
  <si>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</si>
  <si>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</si>
  <si>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</si>
  <si>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</si>
  <si>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</si>
  <si>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</si>
  <si>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</si>
  <si>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</si>
  <si>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</si>
  <si>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</si>
  <si>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</si>
  <si>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</si>
  <si>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</si>
  <si>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</si>
  <si>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</si>
  <si>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</si>
  <si>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</si>
  <si>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</si>
  <si>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</si>
  <si>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</si>
  <si>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</si>
  <si>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</si>
  <si>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</si>
  <si>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</si>
  <si>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</si>
  <si>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</si>
  <si>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</si>
  <si>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</si>
  <si>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</si>
  <si>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</si>
  <si>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</si>
  <si>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</si>
  <si>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</si>
  <si>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</si>
  <si>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</si>
  <si>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</si>
  <si>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</si>
  <si>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</si>
  <si>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</si>
  <si>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</si>
  <si>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</si>
  <si>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</si>
  <si>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</si>
  <si>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</si>
  <si>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</si>
  <si>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</si>
  <si>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</si>
  <si>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</si>
  <si>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</si>
  <si>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</si>
  <si>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</si>
  <si>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</si>
  <si>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</si>
  <si>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</si>
  <si>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</si>
  <si>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</si>
  <si>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</si>
  <si>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</si>
  <si>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</si>
  <si>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</si>
  <si>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</si>
  <si>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</si>
  <si>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</si>
  <si>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</si>
  <si>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</si>
  <si>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</si>
  <si>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</si>
  <si>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</si>
  <si>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</si>
  <si>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</si>
  <si>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</si>
  <si>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</si>
  <si>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</si>
  <si>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</si>
  <si>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</si>
  <si>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</si>
  <si>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</si>
  <si>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</si>
  <si>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</si>
  <si>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</si>
  <si>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</si>
  <si>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</si>
  <si>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</si>
  <si>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</si>
  <si>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</si>
  <si>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</si>
  <si>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</si>
  <si>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</si>
  <si>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</si>
  <si>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</si>
  <si>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</si>
  <si>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</si>
  <si>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</si>
  <si>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</si>
  <si>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</si>
  <si>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</si>
  <si>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</si>
  <si>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</si>
  <si>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</si>
  <si>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</si>
  <si>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</si>
  <si>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</si>
  <si>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</si>
  <si>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</si>
  <si>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</si>
  <si>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</si>
  <si>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</si>
  <si>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</si>
  <si>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</si>
  <si>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</si>
  <si>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</si>
  <si>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</si>
  <si>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</si>
  <si>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</si>
  <si>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</si>
  <si>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</si>
  <si>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</si>
  <si>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</si>
  <si>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</si>
  <si>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</si>
  <si>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</si>
  <si>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</si>
  <si>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</si>
  <si>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</si>
  <si>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</si>
  <si>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</si>
  <si>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</si>
  <si>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</si>
  <si>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</si>
  <si>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</si>
  <si>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</si>
  <si>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</si>
  <si>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</si>
  <si>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</si>
  <si>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</si>
  <si>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</si>
  <si>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</si>
  <si>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</si>
  <si>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</si>
  <si>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</si>
  <si>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</si>
  <si>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</si>
  <si>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</si>
  <si>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</si>
  <si>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</si>
  <si>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</si>
  <si>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</si>
  <si>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</si>
  <si>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</si>
  <si>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</si>
  <si>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</si>
  <si>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</si>
  <si>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</si>
  <si>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</si>
  <si>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</si>
  <si>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</si>
  <si>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</si>
  <si>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</si>
  <si>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</si>
  <si>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</si>
  <si>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</si>
  <si>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</si>
  <si>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</si>
  <si>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</si>
  <si>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</si>
  <si>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</si>
  <si>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</si>
  <si>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</si>
  <si>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</si>
  <si>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</si>
  <si>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</si>
  <si>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</si>
  <si>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</si>
  <si>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</si>
  <si>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</si>
  <si>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</si>
  <si>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</si>
  <si>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</si>
  <si>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</si>
  <si>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</si>
  <si>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</si>
  <si>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</si>
  <si>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</si>
  <si>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</si>
  <si>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</si>
  <si>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</si>
  <si>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</si>
  <si>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</si>
  <si>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</si>
  <si>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</si>
  <si>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</si>
  <si>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</si>
  <si>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</si>
  <si>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</si>
  <si>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</si>
  <si>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</si>
  <si>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</si>
  <si>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</si>
  <si>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</si>
  <si>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</si>
  <si>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</si>
  <si>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</si>
  <si>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</si>
  <si>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</si>
  <si>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</si>
  <si>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</si>
  <si>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</si>
  <si>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</si>
  <si>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</si>
  <si>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</si>
  <si>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</si>
  <si>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</si>
  <si>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</si>
  <si>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</si>
  <si>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</si>
  <si>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</si>
  <si>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</si>
  <si>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</si>
  <si>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</si>
  <si>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</si>
  <si>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</si>
  <si>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</si>
  <si>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</si>
  <si>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</si>
  <si>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</si>
  <si>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</si>
  <si>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</si>
  <si>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</si>
  <si>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</si>
  <si>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</si>
  <si>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</si>
  <si>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</si>
  <si>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</si>
  <si>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</si>
  <si>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</si>
  <si>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</si>
  <si>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</si>
  <si>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</si>
  <si>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</si>
  <si>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</si>
  <si>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</si>
  <si>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</si>
  <si>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</si>
  <si>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</si>
  <si>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</si>
  <si>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</si>
  <si>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</si>
  <si>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</si>
  <si>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</si>
  <si>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</si>
  <si>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</si>
  <si>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</si>
  <si>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</si>
  <si>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</si>
  <si>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</si>
  <si>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</si>
  <si>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</si>
  <si>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</si>
  <si>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</si>
  <si>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</si>
  <si>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</si>
  <si>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</si>
  <si>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</si>
  <si>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</si>
  <si>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</si>
  <si>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</si>
  <si>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</si>
  <si>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</si>
  <si>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</si>
  <si>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</si>
  <si>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</si>
  <si>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</si>
  <si>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</si>
  <si>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</si>
  <si>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</si>
  <si>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</si>
  <si>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</si>
  <si>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</si>
  <si>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</si>
  <si>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</si>
  <si>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</si>
  <si>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</si>
  <si>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</si>
  <si>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</si>
  <si>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</si>
  <si>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</si>
  <si>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</si>
  <si>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</si>
  <si>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</si>
  <si>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</si>
  <si>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</si>
  <si>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</si>
  <si>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</si>
  <si>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</si>
  <si>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</si>
  <si>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</si>
  <si>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</si>
  <si>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</si>
  <si>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</si>
  <si>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</si>
  <si>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</si>
  <si>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</si>
  <si>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</si>
  <si>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</si>
  <si>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</si>
  <si>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</si>
  <si>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</si>
  <si>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</si>
  <si>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</si>
  <si>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</si>
  <si>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</si>
  <si>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</si>
  <si>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</si>
  <si>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</si>
  <si>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</si>
  <si>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</si>
  <si>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</si>
  <si>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</si>
  <si>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</si>
  <si>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</si>
  <si>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</si>
  <si>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</si>
  <si>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</si>
  <si>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</si>
  <si>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</si>
  <si>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</si>
  <si>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</si>
  <si>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</si>
  <si>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</si>
  <si>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</si>
  <si>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</si>
  <si>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</si>
  <si>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</si>
  <si>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</si>
  <si>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</si>
  <si>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</si>
  <si>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</si>
  <si>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</si>
  <si>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</si>
  <si>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</si>
  <si>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</si>
  <si>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</si>
  <si>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</si>
  <si>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</si>
  <si>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</si>
  <si>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</si>
  <si>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</si>
  <si>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</si>
  <si>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</si>
  <si>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</si>
  <si>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</si>
  <si>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</si>
  <si>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</si>
  <si>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</si>
  <si>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</si>
  <si>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</si>
  <si>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</si>
  <si>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</si>
  <si>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</si>
  <si>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</si>
  <si>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</si>
  <si>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</si>
  <si>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</si>
  <si>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</si>
  <si>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</si>
  <si>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</si>
  <si>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</si>
  <si>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</si>
  <si>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</si>
  <si>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</si>
  <si>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</si>
  <si>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</si>
  <si>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</si>
  <si>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</si>
  <si>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</si>
  <si>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</si>
  <si>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</si>
  <si>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</si>
  <si>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</si>
  <si>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</si>
  <si>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</si>
  <si>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</si>
  <si>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</si>
  <si>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</si>
  <si>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</si>
  <si>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</si>
  <si>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</si>
  <si>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</si>
  <si>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</si>
  <si>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</si>
  <si>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</si>
  <si>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</si>
  <si>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</si>
  <si>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</si>
  <si>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</si>
  <si>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</si>
  <si>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</si>
  <si>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</si>
  <si>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</si>
  <si>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</si>
  <si>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</si>
  <si>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</si>
  <si>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</si>
  <si>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</si>
  <si>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</si>
  <si>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</si>
  <si>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</si>
  <si>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</si>
  <si>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</si>
  <si>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</si>
  <si>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</si>
  <si>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</si>
  <si>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</si>
  <si>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</si>
  <si>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</si>
  <si>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</si>
  <si>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</si>
  <si>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</si>
  <si>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</si>
  <si>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</si>
  <si>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</si>
  <si>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</si>
  <si>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</si>
  <si>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</si>
  <si>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</si>
  <si>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</si>
  <si>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</si>
  <si>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</si>
  <si>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</si>
  <si>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</si>
  <si>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</si>
  <si>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</si>
  <si>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</si>
  <si>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</si>
  <si>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</si>
  <si>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</si>
  <si>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</si>
  <si>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</si>
  <si>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</si>
  <si>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</si>
  <si>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</si>
  <si>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</si>
  <si>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</si>
  <si>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</si>
  <si>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</si>
  <si>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</si>
  <si>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</si>
  <si>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</si>
  <si>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</si>
  <si>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</si>
  <si>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</si>
  <si>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</si>
  <si>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</si>
  <si>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</si>
  <si>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</si>
  <si>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</si>
  <si>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</si>
  <si>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</si>
  <si>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</si>
  <si>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</si>
  <si>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</si>
  <si>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</si>
  <si>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</si>
  <si>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</si>
  <si>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</si>
  <si>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</si>
  <si>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</si>
  <si>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</si>
  <si>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</si>
  <si>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</si>
  <si>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</si>
  <si>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</si>
  <si>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</si>
  <si>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</si>
  <si>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</si>
  <si>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</si>
  <si>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</si>
  <si>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</si>
  <si>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</si>
  <si>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</si>
  <si>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</si>
  <si>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</si>
  <si>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</si>
  <si>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</si>
  <si>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</si>
  <si>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</si>
  <si>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</si>
  <si>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</si>
  <si>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</si>
  <si>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</si>
  <si>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</si>
  <si>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</si>
  <si>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</si>
  <si>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</si>
  <si>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</si>
  <si>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</si>
  <si>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</si>
  <si>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</si>
  <si>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</si>
  <si>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</si>
  <si>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</si>
  <si>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</si>
  <si>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</si>
  <si>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</si>
  <si>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</si>
  <si>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</si>
  <si>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</si>
  <si>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</si>
  <si>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</si>
  <si>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</si>
  <si>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</si>
  <si>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</si>
  <si>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</si>
  <si>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</si>
  <si>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</si>
  <si>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</si>
  <si>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</si>
  <si>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</si>
  <si>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</si>
  <si>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</si>
  <si>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</si>
  <si>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</si>
  <si>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</si>
  <si>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</si>
  <si>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</si>
  <si>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</si>
  <si>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</si>
  <si>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</si>
  <si>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</si>
  <si>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</si>
  <si>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</si>
  <si>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</si>
  <si>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</si>
  <si>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</si>
  <si>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</si>
  <si>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</si>
  <si>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</si>
  <si>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</si>
  <si>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</si>
  <si>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</si>
  <si>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</si>
  <si>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</si>
  <si>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</si>
  <si>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</si>
  <si>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</si>
  <si>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</si>
  <si>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</si>
  <si>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</si>
  <si>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</si>
  <si>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</si>
  <si>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</si>
  <si>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</si>
  <si>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</si>
  <si>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</si>
  <si>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</si>
  <si>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</si>
  <si>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</si>
  <si>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</si>
  <si>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</si>
  <si>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</si>
  <si>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</si>
  <si>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</si>
  <si>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</si>
  <si>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</si>
  <si>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</si>
  <si>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</si>
  <si>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</si>
  <si>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</si>
  <si>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</si>
  <si>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</si>
  <si>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</si>
  <si>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</si>
  <si>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</si>
  <si>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</si>
  <si>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</si>
  <si>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</si>
  <si>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</si>
  <si>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</si>
  <si>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</si>
  <si>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</si>
  <si>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</si>
  <si>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</si>
  <si>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</si>
  <si>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</si>
  <si>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</si>
  <si>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</si>
  <si>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</si>
  <si>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</si>
  <si>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</si>
  <si>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</si>
  <si>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</si>
  <si>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</si>
  <si>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</si>
  <si>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</si>
  <si>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</si>
  <si>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</si>
  <si>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</si>
  <si>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</si>
  <si>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</si>
  <si>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</si>
  <si>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</si>
  <si>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</si>
  <si>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</si>
  <si>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</si>
  <si>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</si>
  <si>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</si>
  <si>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</si>
  <si>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</si>
  <si>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</si>
  <si>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</si>
  <si>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</si>
  <si>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</si>
  <si>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</si>
  <si>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</si>
  <si>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</si>
  <si>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</si>
  <si>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</si>
  <si>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</si>
  <si>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</si>
  <si>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</si>
  <si>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</si>
  <si>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</si>
  <si>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</si>
  <si>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</si>
  <si>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</si>
  <si>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</si>
  <si>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</si>
  <si>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</si>
  <si>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</si>
  <si>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</si>
  <si>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</si>
  <si>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</si>
  <si>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</si>
  <si>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</si>
  <si>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</si>
  <si>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</si>
  <si>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</si>
  <si>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</si>
  <si>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</si>
  <si>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</si>
  <si>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</si>
  <si>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</si>
  <si>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</si>
  <si>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</si>
  <si>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</si>
  <si>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</si>
  <si>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</si>
  <si>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</si>
  <si>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</si>
  <si>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</si>
  <si>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</si>
  <si>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</si>
  <si>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</si>
  <si>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</si>
  <si>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</si>
  <si>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</si>
  <si>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</si>
  <si>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</si>
  <si>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</si>
  <si>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</si>
  <si>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</si>
  <si>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</si>
  <si>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</si>
  <si>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</si>
  <si>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</si>
  <si>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</si>
  <si>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</si>
  <si>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</si>
  <si>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</si>
  <si>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</si>
  <si>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</si>
  <si>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</si>
  <si>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</si>
  <si>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</si>
  <si>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</si>
  <si>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</si>
  <si>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</si>
  <si>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</si>
  <si>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</si>
  <si>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</si>
  <si>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</si>
  <si>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</si>
  <si>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</si>
  <si>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</si>
  <si>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</si>
  <si>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</si>
  <si>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</si>
  <si>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</si>
  <si>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</si>
  <si>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</si>
  <si>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</si>
  <si>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</si>
  <si>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</si>
  <si>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</si>
  <si>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</si>
  <si>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</si>
  <si>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</si>
  <si>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</si>
  <si>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</si>
  <si>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</si>
  <si>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</si>
  <si>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</si>
  <si>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</si>
  <si>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</si>
  <si>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</si>
  <si>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</si>
  <si>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</si>
  <si>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</si>
  <si>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</si>
  <si>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</si>
  <si>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</si>
  <si>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</si>
  <si>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</si>
  <si>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</si>
  <si>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</si>
  <si>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</si>
  <si>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</si>
  <si>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</si>
  <si>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</si>
  <si>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</si>
  <si>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</si>
  <si>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</si>
  <si>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</si>
  <si>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</si>
  <si>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</si>
  <si>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</si>
  <si>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</si>
  <si>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</si>
  <si>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</si>
  <si>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</si>
  <si>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</si>
  <si>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</si>
  <si>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</si>
  <si>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</si>
  <si>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</si>
  <si>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</si>
  <si>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</si>
  <si>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</si>
  <si>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</si>
  <si>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</si>
  <si>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</si>
  <si>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</si>
  <si>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</si>
  <si>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</si>
  <si>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</si>
  <si>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</si>
  <si>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</si>
  <si>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</si>
  <si>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</si>
  <si>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</si>
  <si>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</si>
  <si>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</si>
  <si>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</si>
  <si>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</si>
  <si>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</si>
  <si>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</si>
  <si>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</si>
  <si>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</si>
  <si>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</si>
  <si>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</si>
  <si>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</si>
  <si>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</si>
  <si>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</si>
  <si>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</si>
  <si>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</si>
  <si>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</si>
  <si>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</si>
  <si>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</si>
  <si>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</si>
  <si>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</si>
  <si>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</si>
  <si>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</si>
  <si>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</si>
  <si>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</si>
  <si>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</si>
  <si>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</si>
  <si>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</si>
  <si>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</si>
  <si>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</si>
  <si>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</si>
  <si>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</si>
  <si>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</si>
  <si>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</si>
  <si>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</si>
  <si>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</si>
  <si>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</si>
  <si>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</si>
  <si>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</si>
  <si>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</si>
  <si>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</si>
  <si>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</si>
  <si>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</si>
  <si>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</si>
  <si>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</si>
  <si>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</si>
  <si>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</si>
  <si>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</si>
  <si>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</si>
  <si>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</si>
  <si>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</si>
  <si>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</si>
  <si>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</si>
  <si>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</si>
  <si>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</si>
  <si>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</si>
  <si>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</si>
  <si>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</si>
  <si>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</si>
  <si>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</si>
  <si>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</si>
  <si>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</si>
  <si>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</si>
  <si>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</si>
  <si>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</si>
  <si>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</si>
  <si>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</si>
  <si>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</si>
  <si>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</si>
  <si>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</si>
  <si>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</si>
  <si>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</si>
  <si>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</si>
  <si>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</si>
  <si>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</si>
  <si>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</si>
  <si>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</si>
  <si>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</si>
  <si>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</si>
  <si>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</si>
  <si>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</si>
  <si>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</si>
  <si>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</si>
  <si>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</si>
  <si>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</si>
  <si>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</si>
  <si>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</si>
  <si>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</si>
  <si>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</si>
  <si>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</si>
  <si>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</si>
  <si>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</si>
  <si>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</si>
  <si>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</si>
  <si>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</si>
  <si>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</si>
  <si>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</si>
  <si>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</si>
  <si>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</si>
  <si>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</si>
  <si>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</si>
  <si>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</si>
  <si>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</si>
  <si>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</si>
  <si>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</si>
  <si>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</si>
  <si>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</si>
  <si>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</si>
  <si>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</si>
  <si>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</si>
  <si>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</si>
  <si>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</si>
  <si>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</si>
  <si>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</si>
  <si>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</si>
  <si>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</si>
  <si>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</si>
  <si>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</si>
  <si>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</si>
  <si>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</si>
  <si>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</si>
  <si>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</si>
  <si>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</si>
  <si>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</si>
  <si>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</si>
  <si>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</si>
  <si>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</si>
  <si>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</si>
  <si>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</si>
  <si>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</si>
  <si>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</si>
  <si>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</si>
  <si>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</si>
  <si>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</si>
  <si>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</si>
  <si>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</si>
  <si>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</si>
  <si>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</si>
  <si>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</si>
  <si>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</si>
  <si>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</si>
  <si>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</si>
  <si>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</si>
  <si>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</si>
  <si>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</si>
  <si>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</si>
  <si>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</si>
  <si>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</si>
  <si>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</si>
  <si>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</si>
  <si>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</si>
  <si>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</si>
  <si>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</si>
  <si>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</si>
  <si>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</si>
  <si>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</si>
  <si>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</si>
  <si>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</si>
  <si>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</si>
  <si>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</si>
  <si>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</si>
  <si>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</si>
  <si>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</si>
  <si>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</si>
  <si>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</si>
  <si>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</si>
  <si>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</si>
  <si>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</si>
  <si>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</si>
  <si>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</si>
  <si>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</si>
  <si>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</si>
  <si>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</si>
  <si>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</si>
  <si>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</si>
  <si>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</si>
  <si>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</si>
  <si>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</si>
  <si>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</si>
  <si>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</si>
  <si>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</si>
  <si>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</si>
  <si>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</si>
  <si>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</si>
  <si>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</si>
  <si>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</si>
  <si>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</si>
  <si>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</si>
  <si>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</si>
  <si>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</si>
  <si>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</si>
  <si>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</si>
  <si>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</si>
  <si>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</si>
  <si>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</si>
  <si>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</si>
  <si>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</si>
  <si>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</si>
  <si>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</si>
  <si>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</si>
  <si>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</si>
  <si>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</si>
  <si>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</si>
  <si>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</si>
  <si>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</si>
  <si>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</si>
  <si>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</si>
  <si>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</si>
  <si>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</si>
  <si>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</si>
  <si>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</si>
  <si>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</si>
  <si>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</si>
  <si>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</si>
  <si>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</si>
  <si>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</si>
  <si>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</si>
  <si>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</si>
  <si>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</si>
  <si>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</si>
  <si>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</si>
  <si>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</si>
  <si>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</si>
  <si>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</si>
  <si>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</si>
  <si>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</si>
  <si>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</si>
  <si>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</si>
  <si>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</si>
  <si>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</si>
  <si>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</si>
  <si>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</si>
  <si>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</si>
  <si>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</si>
  <si>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</si>
  <si>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</si>
  <si>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</si>
  <si>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</si>
  <si>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</si>
  <si>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</si>
  <si>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</si>
  <si>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</si>
  <si>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</si>
  <si>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</si>
  <si>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</si>
  <si>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</si>
  <si>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</si>
  <si>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</si>
  <si>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</si>
  <si>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</si>
  <si>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</si>
  <si>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</si>
  <si>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</si>
  <si>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</si>
  <si>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</si>
  <si>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</si>
  <si>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</si>
  <si>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</si>
  <si>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</si>
  <si>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</si>
  <si>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</si>
  <si>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</si>
  <si>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</si>
  <si>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</si>
  <si>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</si>
  <si>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</si>
  <si>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</si>
  <si>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</si>
  <si>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</si>
  <si>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</si>
  <si>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</si>
  <si>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</si>
  <si>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</si>
  <si>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</si>
  <si>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</si>
  <si>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</si>
  <si>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</si>
  <si>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</si>
  <si>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</si>
  <si>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</si>
  <si>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</si>
  <si>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</si>
  <si>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</si>
  <si>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</si>
  <si>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</si>
  <si>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</si>
  <si>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</si>
  <si>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</si>
  <si>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</si>
  <si>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</si>
  <si>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</si>
  <si>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</si>
  <si>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</si>
  <si>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</si>
  <si>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</si>
  <si>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</si>
  <si>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</si>
  <si>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</si>
  <si>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</si>
  <si>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</si>
  <si>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</si>
  <si>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</si>
  <si>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</si>
  <si>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</si>
  <si>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</si>
  <si>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</si>
  <si>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</si>
  <si>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</si>
  <si>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</si>
  <si>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</si>
  <si>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</si>
  <si>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</si>
  <si>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</si>
  <si>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</si>
  <si>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</si>
  <si>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</si>
  <si>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</si>
  <si>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</si>
  <si>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</si>
  <si>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</si>
  <si>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</si>
  <si>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</si>
  <si>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</si>
  <si>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</si>
  <si>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</si>
  <si>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</si>
  <si>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</si>
  <si>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</si>
  <si>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</si>
  <si>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</si>
  <si>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</si>
  <si>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</si>
  <si>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</si>
  <si>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</si>
  <si>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</si>
  <si>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</si>
  <si>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</si>
  <si>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</si>
  <si>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</si>
  <si>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</si>
  <si>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</si>
  <si>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</si>
  <si>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</si>
  <si>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</si>
  <si>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</si>
  <si>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</si>
  <si>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</si>
  <si>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</si>
  <si>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</si>
  <si>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</si>
  <si>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</si>
  <si>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</si>
  <si>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</si>
  <si>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</si>
  <si>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</si>
  <si>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</si>
  <si>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</si>
  <si>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</si>
  <si>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</si>
  <si>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</si>
  <si>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</si>
  <si>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</si>
  <si>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</si>
  <si>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</si>
  <si>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</si>
  <si>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</si>
  <si>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</si>
  <si>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</si>
  <si>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</si>
  <si>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</si>
  <si>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</si>
  <si>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</si>
  <si>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</si>
  <si>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</si>
  <si>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</si>
  <si>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</si>
  <si>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</si>
  <si>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</si>
  <si>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</si>
  <si>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</si>
  <si>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</si>
  <si>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</si>
  <si>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</si>
  <si>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</si>
  <si>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</si>
  <si>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</si>
  <si>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</si>
  <si>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</si>
  <si>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</si>
  <si>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</si>
  <si>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</si>
  <si>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</si>
  <si>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</si>
  <si>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</si>
  <si>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</si>
  <si>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</si>
  <si>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</si>
  <si>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</si>
  <si>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</si>
  <si>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</si>
  <si>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</si>
  <si>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</si>
  <si>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</si>
  <si>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</si>
  <si>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</si>
  <si>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</si>
  <si>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</si>
  <si>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</si>
  <si>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</si>
  <si>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</si>
  <si>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</si>
  <si>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</si>
  <si>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</si>
  <si>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</si>
  <si>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</si>
  <si>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</si>
  <si>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</si>
  <si>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</si>
  <si>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</si>
  <si>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</si>
  <si>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</si>
  <si>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</si>
  <si>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</si>
  <si>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</si>
  <si>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</si>
  <si>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</si>
  <si>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</si>
  <si>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</si>
  <si>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</si>
  <si>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</si>
  <si>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</si>
  <si>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</si>
  <si>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</si>
  <si>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</si>
  <si>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</si>
  <si>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</si>
  <si>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</si>
  <si>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</si>
  <si>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</si>
  <si>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</si>
  <si>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</si>
  <si>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</si>
  <si>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</si>
  <si>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</si>
  <si>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</si>
  <si>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</si>
  <si>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</si>
  <si>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</si>
  <si>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</si>
  <si>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</si>
  <si>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</si>
  <si>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</si>
  <si>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</si>
  <si>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</si>
  <si>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</si>
  <si>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</si>
  <si>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</si>
  <si>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</si>
  <si>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</si>
  <si>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</si>
  <si>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</si>
  <si>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</si>
  <si>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</si>
  <si>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</si>
  <si>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</si>
  <si>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</si>
  <si>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</si>
  <si>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</si>
  <si>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</si>
  <si>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</si>
  <si>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</si>
  <si>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</si>
  <si>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</si>
  <si>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</si>
  <si>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</si>
  <si>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</si>
  <si>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</si>
  <si>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</si>
  <si>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</si>
  <si>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</si>
  <si>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</si>
  <si>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</si>
  <si>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</si>
  <si>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</si>
  <si>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</si>
  <si>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</si>
  <si>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</si>
  <si>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</si>
  <si>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</si>
  <si>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</si>
  <si>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</si>
  <si>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</si>
  <si>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</si>
  <si>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</si>
  <si>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</si>
  <si>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</si>
  <si>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</si>
  <si>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</si>
  <si>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</si>
  <si>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</si>
  <si>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</si>
  <si>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</si>
  <si>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</si>
  <si>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</si>
  <si>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</si>
  <si>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</si>
  <si>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</si>
  <si>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</si>
  <si>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</si>
  <si>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</si>
  <si>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</si>
  <si>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</si>
  <si>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</si>
  <si>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</si>
  <si>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</si>
  <si>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</si>
  <si>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</si>
  <si>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</si>
  <si>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</si>
  <si>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</si>
  <si>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</si>
  <si>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</si>
  <si>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</si>
  <si>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</si>
  <si>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</si>
  <si>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</si>
  <si>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</si>
  <si>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</si>
  <si>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</si>
  <si>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</si>
  <si>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</si>
  <si>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</si>
  <si>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</si>
  <si>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</si>
  <si>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</si>
  <si>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</si>
  <si>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</si>
  <si>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</si>
  <si>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</si>
  <si>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</si>
  <si>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</si>
  <si>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</si>
  <si>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</si>
  <si>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</si>
  <si>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</si>
  <si>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</si>
  <si>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</si>
  <si>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</si>
  <si>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</si>
  <si>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</si>
  <si>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</si>
  <si>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</si>
  <si>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</si>
  <si>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</si>
  <si>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</si>
  <si>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</si>
  <si>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</si>
  <si>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</si>
  <si>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</si>
  <si>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</si>
  <si>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</si>
  <si>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</si>
  <si>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</si>
  <si>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</si>
  <si>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</si>
  <si>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</si>
  <si>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</si>
  <si>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</si>
  <si>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</si>
  <si>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</si>
  <si>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</si>
  <si>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</si>
  <si>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</si>
  <si>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</si>
  <si>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</si>
  <si>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</si>
  <si>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</si>
  <si>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</si>
  <si>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</si>
  <si>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</si>
  <si>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</si>
  <si>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</si>
  <si>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</si>
  <si>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</si>
  <si>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</si>
  <si>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</si>
  <si>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</si>
  <si>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</si>
  <si>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</si>
  <si>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</si>
  <si>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</si>
  <si>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</si>
  <si>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</si>
  <si>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</si>
  <si>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</si>
  <si>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</si>
  <si>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</si>
  <si>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</si>
  <si>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</si>
  <si>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</si>
  <si>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</si>
  <si>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</si>
  <si>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</si>
  <si>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</si>
  <si>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</si>
  <si>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</si>
  <si>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</si>
  <si>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</si>
  <si>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</si>
  <si>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</si>
  <si>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</si>
  <si>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</si>
  <si>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</si>
  <si>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</si>
  <si>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</si>
  <si>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</si>
  <si>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</si>
  <si>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</si>
  <si>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</si>
  <si>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</si>
  <si>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</si>
  <si>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</si>
  <si>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</si>
  <si>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</si>
  <si>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</si>
  <si>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</si>
  <si>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</si>
  <si>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</si>
  <si>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</si>
  <si>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</si>
  <si>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</si>
  <si>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</si>
  <si>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</si>
  <si>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</si>
  <si>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</si>
  <si>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</si>
  <si>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</si>
  <si>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</si>
  <si>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</si>
  <si>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Gary R. Hammond, Jr.</t>
  </si>
  <si>
    <t xml:space="preserve">Principal </t>
  </si>
  <si>
    <t>7000 Peachtree Dunwoody Road, Suite 4-100</t>
  </si>
  <si>
    <t>grh@grhco.com</t>
  </si>
  <si>
    <t>No</t>
  </si>
  <si>
    <t>Yes</t>
  </si>
  <si>
    <t>Family</t>
  </si>
  <si>
    <t>Chase Northcutt</t>
  </si>
  <si>
    <t>President of GP</t>
  </si>
  <si>
    <t>President</t>
  </si>
  <si>
    <t>3060 Peachtree Road, NW, Suite 900</t>
  </si>
  <si>
    <t>chase@rhanet.org</t>
  </si>
  <si>
    <t>3060 Peachtree Road, NE, Suite 900</t>
  </si>
  <si>
    <t>Affordable Equity Partners</t>
  </si>
  <si>
    <t>206 Peach Way</t>
  </si>
  <si>
    <t>RHA/Housing, Inc.</t>
  </si>
  <si>
    <t>Brian Kimes</t>
  </si>
  <si>
    <t>Director</t>
  </si>
  <si>
    <t>bkimes@aepartners.com</t>
  </si>
  <si>
    <t>Manager</t>
  </si>
  <si>
    <t>Fairway Management Company</t>
  </si>
  <si>
    <t>jesmith@jesholding.com</t>
  </si>
  <si>
    <t>Jeffrey E. Smith</t>
  </si>
  <si>
    <t>Peter M. Wright</t>
  </si>
  <si>
    <t>Attorney</t>
  </si>
  <si>
    <t>pwright@rhanet.org</t>
  </si>
  <si>
    <t>Peter M. Wright, Esquire</t>
  </si>
  <si>
    <t>For Profit</t>
  </si>
  <si>
    <t>Thomson Estates</t>
  </si>
  <si>
    <t>Stephen R. Munier</t>
  </si>
  <si>
    <t>The State Limited Partner, Federal Limited Partner, and Management Company all share common principals.</t>
  </si>
  <si>
    <t>The General Partner and the Nonprofit Sponsor are related entities.</t>
  </si>
  <si>
    <t>General Partner</t>
  </si>
  <si>
    <t>AEP</t>
  </si>
  <si>
    <t>Electric Heat Pump</t>
  </si>
  <si>
    <t>DCA Utility Allowances - Middle Region</t>
  </si>
  <si>
    <t>Each house is individually metered for water and sewer; therefore, the resident has their own account and the bill does not pass through the</t>
  </si>
  <si>
    <t>property for reimbursement.  The trash bill is also billed directly to the tenant.</t>
  </si>
  <si>
    <t>Chamber Dues, Bank Fees, Continuing Ed, Etc.</t>
  </si>
  <si>
    <t>Uniforms</t>
  </si>
  <si>
    <t>Screening/Credit</t>
  </si>
  <si>
    <t>This project is a family project and will be marketed as such.</t>
  </si>
  <si>
    <t>Agree</t>
  </si>
  <si>
    <t>There is no identity of interest between the buyer and seller making this section N/A.</t>
  </si>
  <si>
    <t>Geotechnical &amp; Environmental Consultants, Inc.</t>
  </si>
  <si>
    <t>Contract/Option</t>
  </si>
  <si>
    <t xml:space="preserve">Documentation indicating the existence of paved road access is included in Tab 13 </t>
  </si>
  <si>
    <t>Zoning documentation can be found in Tab 14 of the application</t>
  </si>
  <si>
    <t>Georgia Power</t>
  </si>
  <si>
    <t>On-site laundry</t>
  </si>
  <si>
    <t>Applicant agrees to provide the amenities listed above in accordance with the DCA amenities manual for a family project under 50 units.  The additional amenities under Section D do not apply.</t>
  </si>
  <si>
    <t>This section in N/A for this project.</t>
  </si>
  <si>
    <t>Item C is not applicable to this project.</t>
  </si>
  <si>
    <t>Applicant agrees to comply with all Building Sustainability requirements.</t>
  </si>
  <si>
    <t>Applicant agrees to comply with the Accessibility Standards as indicated above.</t>
  </si>
  <si>
    <t>Qualified without Conditions</t>
  </si>
  <si>
    <t>This section is not applicable for this project.</t>
  </si>
  <si>
    <t>The required legal opinion is included in Tab 2</t>
  </si>
  <si>
    <t>This section is not applicable</t>
  </si>
  <si>
    <t>This information is included in Tab 39 of the Application</t>
  </si>
  <si>
    <t>Earth Craft House</t>
  </si>
  <si>
    <t>Pass</t>
  </si>
  <si>
    <t>Washington Estates II</t>
  </si>
  <si>
    <t>Thomson Estates, L.P.</t>
  </si>
  <si>
    <t>Thomson Estates GP, L.L.C.</t>
  </si>
  <si>
    <t>Thomson Estates Development, L.L.C.</t>
  </si>
  <si>
    <t>Thomson Estates Development, LLC</t>
  </si>
  <si>
    <t>Real Property Research Group</t>
  </si>
  <si>
    <t>Statutory Redevelopment Plan</t>
  </si>
  <si>
    <t>DCA Community of Opportunity</t>
  </si>
  <si>
    <t>Mendel Avenue</t>
  </si>
  <si>
    <t>We believe this project is the next step in affordable rural housing; by combining efficient building practices and LIHTC financing.
The following amenitites/services will be provided to our residents:
   Ongoing Social and Recreational Programs
   Community Building with Covered Porch
   Onsite Laundry
   Playground
   Covered Pavillion with Picnic and BBQ Facilities</t>
  </si>
  <si>
    <t>Kenneth Usry</t>
  </si>
  <si>
    <t>Mayor</t>
  </si>
  <si>
    <t>City of Thomson</t>
  </si>
  <si>
    <t>309 Main Street</t>
  </si>
  <si>
    <t>General Construction, Inc.</t>
  </si>
  <si>
    <t>Mason Battle</t>
  </si>
  <si>
    <t>mbattle@gcatlanta.com</t>
  </si>
  <si>
    <t>1635 Beaver Ruin Road</t>
  </si>
  <si>
    <t>Reznick Group, PC</t>
  </si>
  <si>
    <t>2002 Summit Boulevard, Suite 1000</t>
  </si>
  <si>
    <t>Timothy Kemper</t>
  </si>
  <si>
    <t>Partner</t>
  </si>
  <si>
    <t>timothy.kemper@reznickgroup.com</t>
  </si>
  <si>
    <t>Morton M. Gruber, AIA, Architect</t>
  </si>
  <si>
    <t>245 Peachtree Cetner Avenue, Stuie 2445</t>
  </si>
  <si>
    <t>Morton M. Gruber</t>
  </si>
  <si>
    <t>mgruber@mortongruber.com</t>
  </si>
  <si>
    <t>DDA/QCT</t>
  </si>
  <si>
    <t>Thomson Estates is an assemblage of six parcels.  Site Control for all the parcels is included in Tab 12.</t>
  </si>
  <si>
    <t>A letter from the City of Thomson indicating availability of water and sewer to the site is located in Tab 15 of the application.</t>
  </si>
  <si>
    <t>The supporting meeting agendas, newspaper articles and resolutions are included in Tab 16 of the application.</t>
  </si>
  <si>
    <t>Covered Porch</t>
  </si>
  <si>
    <t>Covered Pavillion with picnic and BBQ facilities</t>
  </si>
  <si>
    <t>The Conceptual Site Plan is included in Tab 18</t>
  </si>
  <si>
    <t>Applicant was prequalified without conditions.  Evidence of the qualification is located in Tab 19.</t>
  </si>
  <si>
    <t>The Qualified Nonprofit has no interest in the development entity but will receive a part of the fee.  This agreement is included in Tab 19 of the application.</t>
  </si>
  <si>
    <t>If selected for funding, Applicant agrees to prepare and submit all of the required documentation and to market to populations with disabilities or the homeless.</t>
  </si>
  <si>
    <t xml:space="preserve">We believe that the utilization of resources in the project and the ability to share expenses with Phase I meets and/or exceeds DCA's requirements. </t>
  </si>
  <si>
    <t>Not applicable.</t>
  </si>
  <si>
    <t>The scoring worksheet supporting these points is located in Tab 28 of the application.</t>
  </si>
  <si>
    <t>Applicant agrees to educate the tenants, management and maintenance staff and provide the applicable manuals as stated above.</t>
  </si>
  <si>
    <t>QCT</t>
  </si>
  <si>
    <t>The Redevelopment Plan is located in Tab 31 of the application.  The property is also located in a QCT and we have included that documentation in Tab 31.</t>
  </si>
  <si>
    <t>Applicant agrees to a five year extension of the cancellation option.</t>
  </si>
  <si>
    <t>Not applicable</t>
  </si>
  <si>
    <t>The GP is comprised of 100% non-profit with ownership in 5+ successful LIHTC projects.  The documenation of non-profit status is located in Tab 2 and the experience in Tab 4.</t>
  </si>
  <si>
    <t>Documenation of GP and Developer experience is located in Tab 35 of the application.</t>
  </si>
  <si>
    <t>Rural Documentation is located in Tab 1 of the application.</t>
  </si>
  <si>
    <t>Appropriate documentation is located in Tab 36 of the application</t>
  </si>
  <si>
    <t>This section is not applicable to this project.</t>
  </si>
  <si>
    <t>Documenation of the MITAS System Requirements is located in Tab 39.  Applicant agrees to market to tenants with special needs and comply with all requirements if selected for funding.</t>
  </si>
  <si>
    <t>DCA did not perform a pre-determination of compliance in the pre-application process and therefore no pre-determination letters were issued.  The DCA Compliance History forms are included in Tab 38.</t>
  </si>
  <si>
    <t>Sterling Bank</t>
  </si>
  <si>
    <t>Neither</t>
  </si>
  <si>
    <t>IV - Political Jurisdiction - The City of Thomson does not have a fax number.</t>
  </si>
  <si>
    <t>11 Percent</t>
  </si>
  <si>
    <t>Five Months</t>
  </si>
  <si>
    <t>There are no DCA projects within a 10 mile radius for years 2008-2010.</t>
  </si>
  <si>
    <t>The appropriate utility letters are located in Tab 15 of the application.</t>
  </si>
  <si>
    <t>The units will be equipped with HVAC Systems, Energy Star appliances and a fire suppression system above a range cook top.</t>
  </si>
  <si>
    <t>The spacious homes provide a superior product to qualified residents.  The community will resemble typical single-family neighborhoods in multiple ways.  Resident Parking will be in individual driveways, trash will be collected weekly in individual garbage cans.  While community empowerment services educate the residents on homeownership, property management in conjuction with the Thomson Housing Authority will foster stewardship by promoting tenant efforts to improve their quality of life.</t>
  </si>
  <si>
    <t>Thomson Estates will be a 37 unit, detached, single-family rental subdivision in Thomson, GA.  Low-Income Housing Tax Credits and a Permanent Loan will be used to fund this project.  The development will substantially improve the existing community by adding affordable housing to a neighborhood in need of more housing for the working class.  Rents will range from $434-$601 in keeping with the existing rental market.  We will be working closely with the Thomson Housing Authority to achieve their community goals as determined within the Georgia Institute for Community Housing Designation.</t>
  </si>
  <si>
    <t>The back-up for Hard Construction Costs is located in Tab 8 of the application.</t>
  </si>
  <si>
    <t>The support for the calculation of Real Estate Taxes and Insurance is located in Tab 8 of the application.</t>
  </si>
  <si>
    <t>The manager will schedule semi-monthly parties/potluck dinners or other recreational activities for our residents.</t>
  </si>
  <si>
    <t>Applicant agrees to comply with the Architectural Design &amp; Quality Standards as indicated above.  Please note that Thomson Estates may be a mix of one and two story houses.  In accordance with the QAP, the Exterior Wall Finishes as selected in B.1. will apply to the two story homes; and the single story homes will have a minimum of 35% brick and 65% fiber cement siding or stucco.</t>
  </si>
  <si>
    <t>All of the required compliance history information is included in Tab 38.</t>
  </si>
  <si>
    <t>The documentation of Desirable's are located in Tab 24 of the application.   There is a Wal-Mart Supercenter 0.5 Mile(s) from the site which Applicant has utilized to claim the 2 Bonus points.  We do not believe there are any undesirable conditions and therefore have not deducted any points.</t>
  </si>
  <si>
    <t>The Market Study is included in Tab 9 of the application.</t>
  </si>
  <si>
    <t>The equity amounts above do not match the Equity Check because of different calculation methodology.  The Federal Equity calculation is Annual Credits x 99.98% x $0.75 x 10.  The State Equity Calculation is Annual Credits x 100.0% x $0.75 x 10.</t>
  </si>
  <si>
    <t>MITAS Determination</t>
  </si>
  <si>
    <t>GA Housing Search Verification</t>
  </si>
  <si>
    <t>Property Management Approval</t>
  </si>
  <si>
    <t>Threshold Section XXV</t>
  </si>
  <si>
    <t>Threshold Section XIX</t>
  </si>
  <si>
    <t>DCA Compliance Requirement</t>
  </si>
  <si>
    <t>&lt;65</t>
  </si>
  <si>
    <t>All noise levels are less than 65 DNL and therefore no noise mitigation is required per HUD Noise Guidelines.  Contributing factors are:  Roadway &lt;65, Railway &lt;65 and Aircraft &lt;55.</t>
  </si>
  <si>
    <t>The General Partner will be owned 100% by Thomson Estates, L.P. which is a wholly owned subsidiary of RHA/Housing, Inc., and the Developer will be owned 100% by Bridgeland Development, LLC.</t>
  </si>
  <si>
    <t>2011-038</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</si>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</sst>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cellStyleXfs>
  <cellXfs count="1586">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69" fillId="0" borderId="0" xfId="0" applyFont="1" applyFill="1" applyBorder="1" applyAlignment="1" applyProtection="1">
      <alignment horizontal="left"/>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0"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2" fillId="5" borderId="29" xfId="12" applyFont="1" applyFill="1" applyBorder="1" applyAlignment="1" applyProtection="1">
      <alignment horizontal="left" vertical="top" wrapText="1"/>
    </xf>
    <xf numFmtId="0" fontId="2" fillId="5" borderId="61" xfId="12" applyFont="1" applyFill="1" applyBorder="1" applyAlignment="1" applyProtection="1">
      <alignment horizontal="left" vertical="top" wrapText="1"/>
    </xf>
    <xf numFmtId="0" fontId="2" fillId="5" borderId="30" xfId="12" applyFont="1" applyFill="1" applyBorder="1" applyAlignment="1" applyProtection="1">
      <alignment horizontal="left" vertical="top" wrapText="1"/>
    </xf>
    <xf numFmtId="0" fontId="2" fillId="5" borderId="31" xfId="13" applyFont="1" applyFill="1" applyBorder="1" applyAlignment="1" applyProtection="1">
      <alignment horizontal="left" vertical="top" wrapText="1"/>
    </xf>
    <xf numFmtId="0" fontId="2" fillId="5" borderId="22" xfId="13" applyFont="1" applyFill="1" applyBorder="1" applyAlignment="1" applyProtection="1">
      <alignment horizontal="left" vertical="top" wrapText="1"/>
    </xf>
    <xf numFmtId="0" fontId="2" fillId="5" borderId="32" xfId="13"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0" xfId="0" applyNumberFormat="1" applyFont="1" applyBorder="1" applyAlignment="1" applyProtection="1">
      <alignment horizontal="justify" vertical="top" wrapText="1"/>
    </xf>
  </cellXfs>
  <cellStyles count="16">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 4" xfId="14"/>
    <cellStyle name="Normal 5" xfId="15"/>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F30" sqref="F30"/>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2011-038, Thomson Estates, McDuffie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3826</v>
      </c>
      <c r="B3" s="752"/>
      <c r="C3" s="752"/>
      <c r="D3" s="752"/>
      <c r="E3" s="752"/>
      <c r="F3" s="752"/>
      <c r="G3" s="752"/>
    </row>
    <row r="4" spans="1:9" s="42" customFormat="1" ht="8.25" customHeight="1">
      <c r="A4" s="98"/>
      <c r="B4" s="761" t="s">
        <v>1338</v>
      </c>
      <c r="C4" s="762"/>
      <c r="D4" s="762"/>
      <c r="E4" s="762" t="s">
        <v>3892</v>
      </c>
      <c r="F4" s="767"/>
      <c r="G4" s="99" t="s">
        <v>781</v>
      </c>
    </row>
    <row r="5" spans="1:9" s="42" customFormat="1" ht="8.25" customHeight="1">
      <c r="A5" s="100" t="s">
        <v>783</v>
      </c>
      <c r="B5" s="763"/>
      <c r="C5" s="764"/>
      <c r="D5" s="764"/>
      <c r="E5" s="764"/>
      <c r="F5" s="768"/>
      <c r="G5" s="101" t="s">
        <v>784</v>
      </c>
    </row>
    <row r="6" spans="1:9" s="42" customFormat="1" ht="8.25" customHeight="1">
      <c r="A6" s="102" t="s">
        <v>785</v>
      </c>
      <c r="B6" s="765"/>
      <c r="C6" s="766"/>
      <c r="D6" s="766"/>
      <c r="E6" s="766"/>
      <c r="F6" s="769"/>
      <c r="G6" s="103" t="s">
        <v>786</v>
      </c>
    </row>
    <row r="7" spans="1:9" s="42" customFormat="1" ht="3" customHeight="1">
      <c r="A7" s="100"/>
      <c r="B7" s="394"/>
      <c r="C7" s="394"/>
      <c r="D7" s="394"/>
      <c r="E7" s="306"/>
      <c r="F7" s="710"/>
      <c r="G7" s="311"/>
    </row>
    <row r="8" spans="1:9" s="42" customFormat="1" ht="12.6" customHeight="1" thickBot="1">
      <c r="A8" s="104"/>
      <c r="B8" s="711"/>
      <c r="C8" s="391"/>
      <c r="D8" s="391"/>
      <c r="E8" s="711" t="s">
        <v>1075</v>
      </c>
      <c r="F8" s="391"/>
      <c r="G8" s="1084" t="s">
        <v>3924</v>
      </c>
      <c r="I8" s="1085"/>
    </row>
    <row r="9" spans="1:9" s="42" customFormat="1" ht="12.6" customHeight="1" thickBot="1">
      <c r="A9" s="100"/>
      <c r="B9" s="404" t="s">
        <v>1422</v>
      </c>
      <c r="C9" s="404"/>
      <c r="D9" s="405"/>
      <c r="E9" s="306"/>
      <c r="F9" s="710"/>
      <c r="G9" s="710"/>
    </row>
    <row r="10" spans="1:9" s="42" customFormat="1" ht="12" customHeight="1">
      <c r="A10" s="387">
        <v>1</v>
      </c>
      <c r="B10" s="406" t="s">
        <v>2137</v>
      </c>
      <c r="C10" s="241"/>
      <c r="D10" s="392"/>
      <c r="E10" s="392" t="s">
        <v>2308</v>
      </c>
      <c r="F10" s="392"/>
      <c r="G10" s="1084" t="s">
        <v>3924</v>
      </c>
    </row>
    <row r="11" spans="1:9" s="42" customFormat="1" ht="12" customHeight="1">
      <c r="A11" s="104"/>
      <c r="B11" s="392"/>
      <c r="C11" s="392"/>
      <c r="D11" s="392"/>
      <c r="E11" s="392" t="s">
        <v>2138</v>
      </c>
      <c r="F11" s="392"/>
      <c r="G11" s="1084" t="s">
        <v>3924</v>
      </c>
    </row>
    <row r="12" spans="1:9" s="42" customFormat="1" ht="12" customHeight="1">
      <c r="A12" s="104"/>
      <c r="B12" s="392"/>
      <c r="C12" s="418"/>
      <c r="D12" s="1086"/>
      <c r="E12" s="392" t="s">
        <v>804</v>
      </c>
      <c r="F12" s="391"/>
      <c r="G12" s="1084" t="s">
        <v>3924</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2253</v>
      </c>
    </row>
    <row r="15" spans="1:9" s="42" customFormat="1" ht="12" customHeight="1">
      <c r="A15" s="104"/>
      <c r="B15" s="392"/>
      <c r="C15" s="392"/>
      <c r="D15" s="392"/>
      <c r="E15" s="393" t="s">
        <v>805</v>
      </c>
      <c r="F15" s="392"/>
      <c r="G15" s="1084" t="s">
        <v>3924</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3766</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2253</v>
      </c>
    </row>
    <row r="22" spans="1:7" s="42" customFormat="1" ht="12" customHeight="1">
      <c r="A22" s="100"/>
      <c r="B22" s="394"/>
      <c r="C22" s="394"/>
      <c r="D22" s="394"/>
      <c r="E22" s="753" t="s">
        <v>150</v>
      </c>
      <c r="F22" s="754"/>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11"/>
      <c r="C26" s="407" t="s">
        <v>946</v>
      </c>
      <c r="D26" s="392"/>
      <c r="E26" s="392" t="s">
        <v>3767</v>
      </c>
      <c r="F26" s="392"/>
      <c r="G26" s="1084" t="s">
        <v>2253</v>
      </c>
    </row>
    <row r="27" spans="1:7" s="42" customFormat="1" ht="12" customHeight="1">
      <c r="A27" s="104"/>
      <c r="B27" s="392"/>
      <c r="C27" s="392"/>
      <c r="D27" s="392"/>
      <c r="E27" s="1086" t="s">
        <v>3501</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2854</v>
      </c>
      <c r="F30" s="392"/>
      <c r="G30" s="1084" t="s">
        <v>2253</v>
      </c>
    </row>
    <row r="31" spans="1:7" s="42" customFormat="1" ht="12" customHeight="1">
      <c r="A31" s="104"/>
      <c r="B31" s="392"/>
      <c r="C31" s="392"/>
      <c r="D31" s="392"/>
      <c r="E31" s="1086" t="s">
        <v>2855</v>
      </c>
      <c r="F31" s="392"/>
      <c r="G31" s="1084" t="s">
        <v>2253</v>
      </c>
    </row>
    <row r="32" spans="1:7" s="42" customFormat="1" ht="12" customHeight="1">
      <c r="A32" s="104"/>
      <c r="B32" s="392"/>
      <c r="C32" s="392"/>
      <c r="D32" s="392"/>
      <c r="E32" s="1086" t="s">
        <v>2856</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3573</v>
      </c>
      <c r="F34" s="395"/>
      <c r="G34" s="1084" t="s">
        <v>3924</v>
      </c>
    </row>
    <row r="35" spans="1:7" s="42" customFormat="1" ht="12" customHeight="1">
      <c r="A35" s="100"/>
      <c r="B35" s="394"/>
      <c r="C35" s="394"/>
      <c r="D35" s="394"/>
      <c r="E35" s="396" t="s">
        <v>3574</v>
      </c>
      <c r="F35" s="395"/>
      <c r="G35" s="1084" t="s">
        <v>3924</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3575</v>
      </c>
      <c r="F37" s="395"/>
      <c r="G37" s="1084" t="s">
        <v>3924</v>
      </c>
    </row>
    <row r="38" spans="1:7" s="42" customFormat="1" ht="12" customHeight="1">
      <c r="A38" s="104"/>
      <c r="B38" s="241"/>
      <c r="C38" s="392"/>
      <c r="D38" s="392"/>
      <c r="E38" s="396" t="s">
        <v>3498</v>
      </c>
      <c r="F38" s="392"/>
      <c r="G38" s="1084" t="s">
        <v>3924</v>
      </c>
    </row>
    <row r="39" spans="1:7" s="42" customFormat="1" ht="12" customHeight="1">
      <c r="A39" s="104"/>
      <c r="B39" s="241"/>
      <c r="C39" s="392"/>
      <c r="D39" s="392"/>
      <c r="E39" s="396" t="s">
        <v>3908</v>
      </c>
      <c r="F39" s="392"/>
      <c r="G39" s="1084" t="s">
        <v>3924</v>
      </c>
    </row>
    <row r="40" spans="1:7" s="42" customFormat="1" ht="12" customHeight="1">
      <c r="A40" s="100"/>
      <c r="B40" s="394"/>
      <c r="C40" s="394"/>
      <c r="D40" s="394"/>
      <c r="E40" s="396" t="s">
        <v>1905</v>
      </c>
      <c r="F40" s="395"/>
      <c r="G40" s="1084" t="s">
        <v>3924</v>
      </c>
    </row>
    <row r="41" spans="1:7" s="42" customFormat="1" ht="12" customHeight="1">
      <c r="A41" s="100"/>
      <c r="B41" s="394"/>
      <c r="C41" s="394"/>
      <c r="D41" s="394"/>
      <c r="E41" s="396" t="s">
        <v>1904</v>
      </c>
      <c r="F41" s="395"/>
      <c r="G41" s="1084" t="s">
        <v>3924</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4" t="s">
        <v>3924</v>
      </c>
    </row>
    <row r="44" spans="1:7" s="42" customFormat="1" ht="12" customHeight="1">
      <c r="A44" s="104"/>
      <c r="B44" s="241"/>
      <c r="C44" s="711"/>
      <c r="D44" s="392"/>
      <c r="E44" s="396" t="s">
        <v>3419</v>
      </c>
      <c r="F44" s="392"/>
      <c r="G44" s="1084" t="s">
        <v>3924</v>
      </c>
    </row>
    <row r="45" spans="1:7" s="42" customFormat="1" ht="12" customHeight="1">
      <c r="A45" s="104"/>
      <c r="B45" s="241"/>
      <c r="C45" s="711"/>
      <c r="D45" s="392"/>
      <c r="E45" s="392" t="s">
        <v>3420</v>
      </c>
      <c r="F45" s="392"/>
      <c r="G45" s="1084" t="s">
        <v>2253</v>
      </c>
    </row>
    <row r="46" spans="1:7" s="42" customFormat="1" ht="12" customHeight="1">
      <c r="A46" s="104"/>
      <c r="B46" s="241"/>
      <c r="C46" s="392"/>
      <c r="D46" s="392"/>
      <c r="E46" s="392" t="s">
        <v>3421</v>
      </c>
      <c r="F46" s="392"/>
      <c r="G46" s="1084" t="s">
        <v>2253</v>
      </c>
    </row>
    <row r="47" spans="1:7" s="42" customFormat="1" ht="24.6" customHeight="1">
      <c r="A47" s="104"/>
      <c r="B47" s="241"/>
      <c r="C47" s="392"/>
      <c r="D47" s="392"/>
      <c r="E47" s="755" t="s">
        <v>3857</v>
      </c>
      <c r="F47" s="756"/>
      <c r="G47" s="1084" t="s">
        <v>2253</v>
      </c>
    </row>
    <row r="48" spans="1:7" s="42" customFormat="1" ht="12" customHeight="1">
      <c r="A48" s="104"/>
      <c r="B48" s="241"/>
      <c r="C48" s="392"/>
      <c r="D48" s="392"/>
      <c r="E48" s="392" t="s">
        <v>3482</v>
      </c>
      <c r="F48" s="396"/>
      <c r="G48" s="1084" t="s">
        <v>3924</v>
      </c>
    </row>
    <row r="49" spans="1:7" s="42" customFormat="1" ht="12" customHeight="1">
      <c r="A49" s="104"/>
      <c r="B49" s="241"/>
      <c r="C49" s="392"/>
      <c r="D49" s="392"/>
      <c r="E49" s="396" t="s">
        <v>3422</v>
      </c>
      <c r="F49" s="396"/>
      <c r="G49" s="1084" t="s">
        <v>3924</v>
      </c>
    </row>
    <row r="50" spans="1:7" s="42" customFormat="1" ht="12" customHeight="1">
      <c r="A50" s="107"/>
      <c r="B50" s="241"/>
      <c r="C50" s="392"/>
      <c r="D50" s="392"/>
      <c r="E50" s="750" t="s">
        <v>466</v>
      </c>
      <c r="F50" s="751"/>
      <c r="G50" s="1084" t="s">
        <v>2253</v>
      </c>
    </row>
    <row r="51" spans="1:7" s="42" customFormat="1" ht="12" customHeight="1">
      <c r="A51" s="387">
        <v>4</v>
      </c>
      <c r="B51" s="1087" t="s">
        <v>1022</v>
      </c>
      <c r="C51" s="392"/>
      <c r="D51" s="392"/>
      <c r="E51" s="1086" t="s">
        <v>1411</v>
      </c>
      <c r="F51" s="392"/>
      <c r="G51" s="1084" t="s">
        <v>3924</v>
      </c>
    </row>
    <row r="52" spans="1:7" s="42" customFormat="1" ht="12" customHeight="1">
      <c r="A52" s="387"/>
      <c r="B52" s="1087"/>
      <c r="C52" s="392"/>
      <c r="D52" s="392"/>
      <c r="E52" s="1086" t="s">
        <v>3581</v>
      </c>
      <c r="F52" s="392"/>
      <c r="G52" s="1084" t="s">
        <v>2253</v>
      </c>
    </row>
    <row r="53" spans="1:7" s="42" customFormat="1" ht="12.6" customHeight="1">
      <c r="A53" s="104"/>
      <c r="B53" s="392"/>
      <c r="C53" s="392"/>
      <c r="D53" s="1086"/>
      <c r="E53" s="397" t="s">
        <v>3544</v>
      </c>
      <c r="F53" s="396"/>
      <c r="G53" s="1084" t="s">
        <v>2253</v>
      </c>
    </row>
    <row r="54" spans="1:7" s="42" customFormat="1" ht="12.6" customHeight="1">
      <c r="A54" s="104"/>
      <c r="B54" s="392"/>
      <c r="C54" s="392"/>
      <c r="D54" s="1086"/>
      <c r="E54" s="397" t="s">
        <v>3764</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3502</v>
      </c>
      <c r="F56" s="392"/>
      <c r="G56" s="1084" t="s">
        <v>2253</v>
      </c>
    </row>
    <row r="57" spans="1:7" s="42" customFormat="1" ht="12" customHeight="1">
      <c r="A57" s="387"/>
      <c r="B57" s="1087"/>
      <c r="C57" s="392"/>
      <c r="D57" s="392"/>
      <c r="E57" s="1086" t="s">
        <v>2656</v>
      </c>
      <c r="F57" s="392"/>
      <c r="G57" s="1084" t="s">
        <v>3924</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2689</v>
      </c>
      <c r="F59" s="398"/>
      <c r="G59" s="1084" t="s">
        <v>3924</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2253</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70" t="s">
        <v>1846</v>
      </c>
      <c r="F66" s="771"/>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2253</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3511</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3503</v>
      </c>
      <c r="F76" s="392"/>
      <c r="G76" s="1084" t="s">
        <v>2253</v>
      </c>
    </row>
    <row r="77" spans="1:7" s="42" customFormat="1" ht="12" customHeight="1">
      <c r="A77" s="104"/>
      <c r="B77" s="392"/>
      <c r="C77" s="413"/>
      <c r="D77" s="413"/>
      <c r="E77" s="396" t="s">
        <v>3858</v>
      </c>
      <c r="F77" s="400"/>
      <c r="G77" s="1084" t="s">
        <v>2253</v>
      </c>
    </row>
    <row r="78" spans="1:7" s="42" customFormat="1" ht="12" customHeight="1">
      <c r="A78" s="104"/>
      <c r="B78" s="392"/>
      <c r="C78" s="413"/>
      <c r="D78" s="413"/>
      <c r="E78" s="396" t="s">
        <v>3859</v>
      </c>
      <c r="F78" s="400"/>
      <c r="G78" s="1084" t="s">
        <v>2253</v>
      </c>
    </row>
    <row r="79" spans="1:7" s="42" customFormat="1" ht="12" customHeight="1">
      <c r="A79" s="104"/>
      <c r="B79" s="392"/>
      <c r="C79" s="392"/>
      <c r="D79" s="392"/>
      <c r="E79" s="392" t="s">
        <v>3860</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3924</v>
      </c>
    </row>
    <row r="82" spans="1:7" s="42" customFormat="1" ht="6" customHeight="1">
      <c r="A82" s="104"/>
      <c r="B82" s="241"/>
      <c r="C82" s="711"/>
      <c r="D82" s="392"/>
      <c r="E82" s="398"/>
      <c r="F82" s="398"/>
      <c r="G82" s="147"/>
    </row>
    <row r="83" spans="1:7" s="42" customFormat="1" ht="12" customHeight="1">
      <c r="A83" s="387">
        <v>8</v>
      </c>
      <c r="B83" s="408" t="s">
        <v>3424</v>
      </c>
      <c r="C83" s="241"/>
      <c r="D83" s="392"/>
      <c r="E83" s="398" t="s">
        <v>1902</v>
      </c>
      <c r="F83" s="398"/>
      <c r="G83" s="1084" t="s">
        <v>3924</v>
      </c>
    </row>
    <row r="84" spans="1:7" s="42" customFormat="1" ht="12" customHeight="1">
      <c r="A84" s="104"/>
      <c r="B84" s="241"/>
      <c r="C84" s="711"/>
      <c r="D84" s="392"/>
      <c r="E84" s="398" t="s">
        <v>3794</v>
      </c>
      <c r="F84" s="398"/>
      <c r="G84" s="1084" t="s">
        <v>2253</v>
      </c>
    </row>
    <row r="85" spans="1:7" s="42" customFormat="1" ht="6" customHeight="1">
      <c r="A85" s="104"/>
      <c r="B85" s="711"/>
      <c r="C85" s="392"/>
      <c r="D85" s="392"/>
      <c r="E85" s="1086"/>
      <c r="F85" s="398"/>
      <c r="G85" s="314"/>
    </row>
    <row r="86" spans="1:7" s="42" customFormat="1" ht="12" customHeight="1">
      <c r="A86" s="387">
        <v>9</v>
      </c>
      <c r="B86" s="406" t="s">
        <v>3701</v>
      </c>
      <c r="C86" s="241"/>
      <c r="D86" s="392"/>
      <c r="E86" s="1086" t="s">
        <v>3879</v>
      </c>
      <c r="F86" s="398"/>
      <c r="G86" s="1084" t="s">
        <v>3924</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3884</v>
      </c>
      <c r="F90" s="1088"/>
      <c r="G90" s="1084" t="s">
        <v>3924</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3462</v>
      </c>
      <c r="F92" s="398"/>
      <c r="G92" s="1084" t="s">
        <v>3924</v>
      </c>
    </row>
    <row r="93" spans="1:7" s="42" customFormat="1" ht="12" customHeight="1">
      <c r="A93" s="104"/>
      <c r="B93" s="396"/>
      <c r="C93" s="241"/>
      <c r="D93" s="396"/>
      <c r="E93" s="396" t="s">
        <v>724</v>
      </c>
      <c r="F93" s="402"/>
      <c r="G93" s="1084" t="s">
        <v>3924</v>
      </c>
    </row>
    <row r="94" spans="1:7" s="42" customFormat="1" ht="12" customHeight="1">
      <c r="A94" s="104"/>
      <c r="B94" s="392"/>
      <c r="C94" s="241"/>
      <c r="D94" s="392"/>
      <c r="E94" s="396" t="s">
        <v>3880</v>
      </c>
      <c r="F94" s="398"/>
      <c r="G94" s="1084"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3924</v>
      </c>
    </row>
    <row r="97" spans="1:7" s="42" customFormat="1" ht="12" customHeight="1">
      <c r="A97" s="104"/>
      <c r="B97" s="241"/>
      <c r="C97" s="241"/>
      <c r="D97" s="392"/>
      <c r="E97" s="392" t="s">
        <v>3329</v>
      </c>
      <c r="F97" s="392"/>
      <c r="G97" s="1084" t="s">
        <v>2253</v>
      </c>
    </row>
    <row r="98" spans="1:7" s="42" customFormat="1" ht="12" customHeight="1">
      <c r="A98" s="104"/>
      <c r="B98" s="392"/>
      <c r="C98" s="241"/>
      <c r="D98" s="392"/>
      <c r="E98" s="392" t="s">
        <v>3269</v>
      </c>
      <c r="F98" s="392"/>
      <c r="G98" s="1084" t="s">
        <v>2253</v>
      </c>
    </row>
    <row r="99" spans="1:7" s="42" customFormat="1" ht="12" customHeight="1">
      <c r="A99" s="104"/>
      <c r="B99" s="391"/>
      <c r="C99" s="241"/>
      <c r="D99" s="392"/>
      <c r="E99" s="396" t="s">
        <v>3270</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3924</v>
      </c>
    </row>
    <row r="102" spans="1:7" s="42" customFormat="1" ht="12" customHeight="1">
      <c r="A102" s="104"/>
      <c r="B102" s="391"/>
      <c r="C102" s="241"/>
      <c r="D102" s="396"/>
      <c r="E102" s="750" t="s">
        <v>908</v>
      </c>
      <c r="F102" s="751"/>
      <c r="G102" s="1084" t="s">
        <v>3924</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3504</v>
      </c>
      <c r="F104" s="402"/>
      <c r="G104" s="1084" t="s">
        <v>3924</v>
      </c>
    </row>
    <row r="105" spans="1:7" s="42" customFormat="1" ht="12" customHeight="1">
      <c r="A105" s="104"/>
      <c r="B105" s="396"/>
      <c r="C105" s="241"/>
      <c r="D105" s="396"/>
      <c r="E105" s="397" t="s">
        <v>3765</v>
      </c>
      <c r="F105" s="392"/>
      <c r="G105" s="1084" t="s">
        <v>2253</v>
      </c>
    </row>
    <row r="106" spans="1:7" s="42" customFormat="1" ht="12" customHeight="1">
      <c r="A106" s="104"/>
      <c r="B106" s="392"/>
      <c r="C106" s="241"/>
      <c r="D106" s="1086"/>
      <c r="E106" s="392" t="s">
        <v>3505</v>
      </c>
      <c r="F106" s="392"/>
      <c r="G106" s="1084" t="s">
        <v>3924</v>
      </c>
    </row>
    <row r="107" spans="1:7" s="42" customFormat="1" ht="12" customHeight="1">
      <c r="A107" s="104"/>
      <c r="B107" s="391"/>
      <c r="C107" s="241"/>
      <c r="D107" s="392"/>
      <c r="E107" s="392" t="s">
        <v>1651</v>
      </c>
      <c r="F107" s="392"/>
      <c r="G107" s="1084" t="s">
        <v>3924</v>
      </c>
    </row>
    <row r="108" spans="1:7" s="42" customFormat="1" ht="12" customHeight="1">
      <c r="A108" s="104"/>
      <c r="B108" s="392"/>
      <c r="C108" s="241"/>
      <c r="D108" s="392"/>
      <c r="E108" s="396" t="s">
        <v>1652</v>
      </c>
      <c r="F108" s="402"/>
      <c r="G108" s="1084" t="s">
        <v>3924</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3463</v>
      </c>
      <c r="F110" s="402"/>
      <c r="G110" s="1084" t="s">
        <v>2253</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1909</v>
      </c>
      <c r="F112" s="396"/>
      <c r="G112" s="1084" t="s">
        <v>3924</v>
      </c>
    </row>
    <row r="113" spans="1:7" s="42" customFormat="1" ht="12" customHeight="1">
      <c r="A113" s="104"/>
      <c r="B113" s="772"/>
      <c r="C113" s="773"/>
      <c r="D113" s="773"/>
      <c r="E113" s="396" t="s">
        <v>1910</v>
      </c>
      <c r="F113" s="396"/>
      <c r="G113" s="1084" t="s">
        <v>3924</v>
      </c>
    </row>
    <row r="114" spans="1:7" s="42" customFormat="1" ht="12" customHeight="1">
      <c r="A114" s="104"/>
      <c r="B114" s="772"/>
      <c r="C114" s="773"/>
      <c r="D114" s="773"/>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3545</v>
      </c>
      <c r="F116" s="398"/>
      <c r="G116" s="1084" t="s">
        <v>2253</v>
      </c>
    </row>
    <row r="117" spans="1:7" s="42" customFormat="1" ht="12" customHeight="1">
      <c r="A117" s="104"/>
      <c r="B117" s="602" t="s">
        <v>3079</v>
      </c>
      <c r="C117" s="241"/>
      <c r="D117" s="1089"/>
      <c r="E117" s="403" t="s">
        <v>3546</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4" t="s">
        <v>3924</v>
      </c>
    </row>
    <row r="120" spans="1:7" s="42" customFormat="1" ht="12" customHeight="1">
      <c r="A120" s="387"/>
      <c r="B120" s="602" t="s">
        <v>3394</v>
      </c>
      <c r="C120" s="406"/>
      <c r="D120" s="392"/>
      <c r="E120" s="393" t="s">
        <v>2527</v>
      </c>
      <c r="F120" s="392"/>
      <c r="G120" s="1084" t="s">
        <v>3924</v>
      </c>
    </row>
    <row r="121" spans="1:7" s="42" customFormat="1" ht="12" customHeight="1">
      <c r="A121" s="104"/>
      <c r="B121" s="241"/>
      <c r="C121" s="392"/>
      <c r="D121" s="392"/>
      <c r="E121" s="392" t="s">
        <v>3303</v>
      </c>
      <c r="F121" s="392"/>
      <c r="G121" s="1084" t="s">
        <v>3924</v>
      </c>
    </row>
    <row r="122" spans="1:7" s="42" customFormat="1" ht="12" customHeight="1">
      <c r="A122" s="104"/>
      <c r="B122" s="392"/>
      <c r="C122" s="392"/>
      <c r="D122" s="392"/>
      <c r="E122" s="392" t="s">
        <v>3881</v>
      </c>
      <c r="F122" s="392"/>
      <c r="G122" s="1084" t="s">
        <v>3924</v>
      </c>
    </row>
    <row r="123" spans="1:7" s="42" customFormat="1" ht="6" customHeight="1">
      <c r="A123" s="100"/>
      <c r="B123" s="394"/>
      <c r="C123" s="394"/>
      <c r="D123" s="394"/>
      <c r="E123" s="394"/>
      <c r="F123" s="395"/>
      <c r="G123" s="311"/>
    </row>
    <row r="124" spans="1:7" s="42" customFormat="1" ht="12.6" customHeight="1">
      <c r="A124" s="387">
        <v>19</v>
      </c>
      <c r="B124" s="414" t="s">
        <v>2865</v>
      </c>
      <c r="C124" s="1086"/>
      <c r="D124" s="1086"/>
      <c r="E124" s="396" t="s">
        <v>3518</v>
      </c>
      <c r="F124" s="396"/>
      <c r="G124" s="1084" t="s">
        <v>3924</v>
      </c>
    </row>
    <row r="125" spans="1:7" s="42" customFormat="1" ht="12" customHeight="1">
      <c r="A125" s="104"/>
      <c r="B125" s="396"/>
      <c r="C125" s="391"/>
      <c r="D125" s="396"/>
      <c r="E125" s="396" t="s">
        <v>890</v>
      </c>
      <c r="F125" s="396"/>
      <c r="G125" s="1084" t="s">
        <v>3924</v>
      </c>
    </row>
    <row r="126" spans="1:7" s="42" customFormat="1" ht="12" customHeight="1">
      <c r="A126" s="104"/>
      <c r="B126" s="396"/>
      <c r="C126" s="391"/>
      <c r="D126" s="396"/>
      <c r="E126" s="396" t="s">
        <v>3519</v>
      </c>
      <c r="F126" s="396"/>
      <c r="G126" s="1084" t="s">
        <v>3924</v>
      </c>
    </row>
    <row r="127" spans="1:7" s="42" customFormat="1" ht="12" customHeight="1">
      <c r="A127" s="104"/>
      <c r="B127" s="396"/>
      <c r="C127" s="415"/>
      <c r="D127" s="396"/>
      <c r="E127" s="396" t="s">
        <v>3520</v>
      </c>
      <c r="F127" s="396"/>
      <c r="G127" s="1084" t="s">
        <v>3924</v>
      </c>
    </row>
    <row r="128" spans="1:7" s="42" customFormat="1" ht="12" customHeight="1">
      <c r="A128" s="104"/>
      <c r="B128" s="396"/>
      <c r="C128" s="396"/>
      <c r="D128" s="416"/>
      <c r="E128" s="396" t="s">
        <v>3521</v>
      </c>
      <c r="F128" s="396"/>
      <c r="G128" s="1084" t="s">
        <v>2253</v>
      </c>
    </row>
    <row r="129" spans="1:7" s="42" customFormat="1" ht="12" customHeight="1">
      <c r="A129" s="104"/>
      <c r="B129" s="396"/>
      <c r="C129" s="396"/>
      <c r="D129" s="416"/>
      <c r="E129" s="396" t="s">
        <v>3522</v>
      </c>
      <c r="F129" s="396"/>
      <c r="G129" s="1084" t="s">
        <v>2253</v>
      </c>
    </row>
    <row r="130" spans="1:7" s="1090" customFormat="1" ht="12" customHeight="1">
      <c r="A130" s="104"/>
      <c r="B130" s="396"/>
      <c r="C130" s="396"/>
      <c r="D130" s="416"/>
      <c r="E130" s="396" t="s">
        <v>3542</v>
      </c>
      <c r="F130" s="396"/>
      <c r="G130" s="1084" t="s">
        <v>2253</v>
      </c>
    </row>
    <row r="131" spans="1:7" s="42" customFormat="1" ht="24.6" customHeight="1">
      <c r="A131" s="107"/>
      <c r="B131" s="396"/>
      <c r="C131" s="396"/>
      <c r="D131" s="396"/>
      <c r="E131" s="750" t="s">
        <v>3543</v>
      </c>
      <c r="F131" s="751"/>
      <c r="G131" s="1084" t="s">
        <v>3924</v>
      </c>
    </row>
    <row r="132" spans="1:7" s="42" customFormat="1" ht="12.6" customHeight="1">
      <c r="A132" s="387">
        <v>20</v>
      </c>
      <c r="B132" s="414" t="s">
        <v>823</v>
      </c>
      <c r="C132" s="1086"/>
      <c r="D132" s="1086"/>
      <c r="E132" s="396" t="s">
        <v>467</v>
      </c>
      <c r="F132" s="396"/>
      <c r="G132" s="1084" t="s">
        <v>2253</v>
      </c>
    </row>
    <row r="133" spans="1:7" s="42" customFormat="1" ht="12" customHeight="1">
      <c r="A133" s="104"/>
      <c r="B133" s="396"/>
      <c r="C133" s="391"/>
      <c r="D133" s="396"/>
      <c r="E133" s="396" t="s">
        <v>3662</v>
      </c>
      <c r="F133" s="396"/>
      <c r="G133" s="1084" t="s">
        <v>2253</v>
      </c>
    </row>
    <row r="134" spans="1:7" s="42" customFormat="1" ht="12" customHeight="1">
      <c r="A134" s="104"/>
      <c r="B134" s="396"/>
      <c r="C134" s="415"/>
      <c r="D134" s="396"/>
      <c r="E134" s="396" t="s">
        <v>722</v>
      </c>
      <c r="F134" s="396"/>
      <c r="G134" s="1084" t="s">
        <v>2253</v>
      </c>
    </row>
    <row r="135" spans="1:7" s="42" customFormat="1" ht="12" customHeight="1">
      <c r="A135" s="104"/>
      <c r="B135" s="396"/>
      <c r="C135" s="396"/>
      <c r="D135" s="416"/>
      <c r="E135" s="396" t="s">
        <v>723</v>
      </c>
      <c r="F135" s="396"/>
      <c r="G135" s="1084" t="s">
        <v>2253</v>
      </c>
    </row>
    <row r="136" spans="1:7" s="42" customFormat="1" ht="12" customHeight="1">
      <c r="A136" s="104"/>
      <c r="B136" s="396"/>
      <c r="C136" s="396"/>
      <c r="D136" s="416"/>
      <c r="E136" s="396" t="s">
        <v>989</v>
      </c>
      <c r="F136" s="396"/>
      <c r="G136" s="1084" t="s">
        <v>2253</v>
      </c>
    </row>
    <row r="137" spans="1:7" s="1090" customFormat="1" ht="12" customHeight="1">
      <c r="A137" s="104"/>
      <c r="B137" s="396"/>
      <c r="C137" s="396"/>
      <c r="D137" s="416"/>
      <c r="E137" s="396" t="s">
        <v>2292</v>
      </c>
      <c r="F137" s="396"/>
      <c r="G137" s="1084" t="s">
        <v>2253</v>
      </c>
    </row>
    <row r="138" spans="1:7" s="42" customFormat="1" ht="12" customHeight="1">
      <c r="A138" s="104"/>
      <c r="B138" s="396"/>
      <c r="C138" s="396"/>
      <c r="D138" s="396"/>
      <c r="E138" s="711" t="s">
        <v>3572</v>
      </c>
      <c r="F138" s="402"/>
      <c r="G138" s="1084" t="s">
        <v>2253</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3200</v>
      </c>
      <c r="F140" s="396"/>
      <c r="G140" s="1084" t="s">
        <v>2253</v>
      </c>
    </row>
    <row r="141" spans="1:7" s="42" customFormat="1" ht="11.45" customHeight="1">
      <c r="A141" s="104"/>
      <c r="B141" s="241"/>
      <c r="C141" s="241"/>
      <c r="D141" s="396"/>
      <c r="E141" s="396" t="s">
        <v>2836</v>
      </c>
      <c r="F141" s="396"/>
      <c r="G141" s="1084" t="s">
        <v>2253</v>
      </c>
    </row>
    <row r="142" spans="1:7" s="42" customFormat="1" ht="11.45" customHeight="1">
      <c r="A142" s="104"/>
      <c r="B142" s="396"/>
      <c r="C142" s="396"/>
      <c r="D142" s="396"/>
      <c r="E142" s="396" t="s">
        <v>3076</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3308</v>
      </c>
      <c r="F147" s="392"/>
      <c r="G147" s="1084" t="s">
        <v>2253</v>
      </c>
    </row>
    <row r="148" spans="1:7" s="42" customFormat="1" ht="12" customHeight="1">
      <c r="A148" s="104"/>
      <c r="B148" s="241"/>
      <c r="C148" s="241"/>
      <c r="D148" s="241"/>
      <c r="E148" s="396" t="s">
        <v>3341</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3336</v>
      </c>
      <c r="F151" s="392"/>
      <c r="G151" s="1084" t="s">
        <v>2253</v>
      </c>
    </row>
    <row r="152" spans="1:7" s="42" customFormat="1" ht="12" customHeight="1">
      <c r="A152" s="104"/>
      <c r="B152" s="396"/>
      <c r="C152" s="396"/>
      <c r="D152" s="396"/>
      <c r="E152" s="396" t="s">
        <v>3337</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11"/>
      <c r="C154" s="415"/>
      <c r="D154" s="396"/>
      <c r="E154" s="397" t="s">
        <v>2857</v>
      </c>
      <c r="F154" s="392"/>
      <c r="G154" s="1084" t="s">
        <v>2253</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2253</v>
      </c>
    </row>
    <row r="157" spans="1:7" s="42" customFormat="1" ht="12" customHeight="1">
      <c r="A157" s="104"/>
      <c r="B157" s="1093"/>
      <c r="C157" s="1092"/>
      <c r="D157" s="1092"/>
      <c r="E157" s="1086" t="s">
        <v>1409</v>
      </c>
      <c r="F157" s="392"/>
      <c r="G157" s="1084" t="s">
        <v>2253</v>
      </c>
    </row>
    <row r="158" spans="1:7" s="42" customFormat="1" ht="12" customHeight="1">
      <c r="A158" s="104"/>
      <c r="B158" s="1093"/>
      <c r="C158" s="1092"/>
      <c r="D158" s="1092"/>
      <c r="E158" s="1086" t="s">
        <v>1410</v>
      </c>
      <c r="F158" s="392"/>
      <c r="G158" s="1084" t="s">
        <v>2253</v>
      </c>
    </row>
    <row r="159" spans="1:7" s="42" customFormat="1" ht="24.6" customHeight="1">
      <c r="A159" s="104"/>
      <c r="B159" s="1094"/>
      <c r="C159" s="141"/>
      <c r="D159" s="141"/>
      <c r="E159" s="1095" t="s">
        <v>3506</v>
      </c>
      <c r="F159" s="1096"/>
      <c r="G159" s="1084" t="s">
        <v>2253</v>
      </c>
    </row>
    <row r="160" spans="1:7" s="42" customFormat="1" ht="5.45" customHeight="1">
      <c r="A160" s="100"/>
      <c r="B160" s="394"/>
      <c r="C160" s="394"/>
      <c r="D160" s="394"/>
      <c r="E160" s="394"/>
      <c r="F160" s="395"/>
      <c r="G160" s="312"/>
    </row>
    <row r="161" spans="1:7" s="42" customFormat="1" ht="12.6" customHeight="1">
      <c r="A161" s="104"/>
      <c r="B161" s="409" t="s">
        <v>3499</v>
      </c>
      <c r="C161" s="1097"/>
      <c r="D161" s="1098"/>
      <c r="E161" s="1086"/>
      <c r="F161" s="392"/>
      <c r="G161" s="106"/>
    </row>
    <row r="162" spans="1:7" s="42" customFormat="1" ht="12" customHeight="1">
      <c r="A162" s="387">
        <v>24</v>
      </c>
      <c r="B162" s="1087" t="s">
        <v>1025</v>
      </c>
      <c r="C162" s="241"/>
      <c r="D162" s="1086"/>
      <c r="E162" s="398" t="s">
        <v>3500</v>
      </c>
      <c r="F162" s="392"/>
      <c r="G162" s="1084" t="s">
        <v>3924</v>
      </c>
    </row>
    <row r="163" spans="1:7" s="42" customFormat="1" ht="12" customHeight="1">
      <c r="A163" s="104"/>
      <c r="B163" s="241"/>
      <c r="C163" s="711"/>
      <c r="D163" s="1086"/>
      <c r="E163" s="757" t="s">
        <v>866</v>
      </c>
      <c r="F163" s="751"/>
      <c r="G163" s="1084" t="s">
        <v>3924</v>
      </c>
    </row>
    <row r="164" spans="1:7" s="42" customFormat="1" ht="12" customHeight="1">
      <c r="A164" s="104"/>
      <c r="B164" s="401"/>
      <c r="C164" s="1086"/>
      <c r="D164" s="1086"/>
      <c r="E164" s="398" t="s">
        <v>37</v>
      </c>
      <c r="F164" s="392"/>
      <c r="G164" s="1084" t="s">
        <v>3924</v>
      </c>
    </row>
    <row r="165" spans="1:7" s="42" customFormat="1" ht="24.6" customHeight="1">
      <c r="A165" s="104"/>
      <c r="B165" s="401"/>
      <c r="C165" s="1086"/>
      <c r="D165" s="1086"/>
      <c r="E165" s="757" t="s">
        <v>687</v>
      </c>
      <c r="F165" s="751"/>
      <c r="G165" s="1084" t="s">
        <v>2253</v>
      </c>
    </row>
    <row r="166" spans="1:7" s="42" customFormat="1" ht="12" customHeight="1">
      <c r="A166" s="104"/>
      <c r="B166" s="401"/>
      <c r="C166" s="1086"/>
      <c r="D166" s="1086"/>
      <c r="E166" s="757" t="s">
        <v>688</v>
      </c>
      <c r="F166" s="751"/>
      <c r="G166" s="1084" t="s">
        <v>2253</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2654</v>
      </c>
      <c r="F168" s="751"/>
      <c r="G168" s="1084" t="s">
        <v>2253</v>
      </c>
    </row>
    <row r="169" spans="1:7" s="42" customFormat="1" ht="13.9" customHeight="1">
      <c r="A169" s="389"/>
      <c r="B169" s="1100"/>
      <c r="C169" s="241"/>
      <c r="D169" s="1087"/>
      <c r="E169" s="757" t="s">
        <v>628</v>
      </c>
      <c r="F169" s="751"/>
      <c r="G169" s="1084" t="s">
        <v>2253</v>
      </c>
    </row>
    <row r="170" spans="1:7" s="42" customFormat="1" ht="12" customHeight="1">
      <c r="A170" s="387">
        <v>26</v>
      </c>
      <c r="B170" s="1087" t="s">
        <v>689</v>
      </c>
      <c r="C170" s="241"/>
      <c r="D170" s="1087"/>
      <c r="E170" s="712" t="s">
        <v>690</v>
      </c>
      <c r="F170" s="708"/>
      <c r="G170" s="1084" t="s">
        <v>2253</v>
      </c>
    </row>
    <row r="171" spans="1:7" s="42" customFormat="1" ht="12" customHeight="1">
      <c r="A171" s="104"/>
      <c r="B171" s="1087"/>
      <c r="C171" s="241"/>
      <c r="E171" s="712" t="s">
        <v>629</v>
      </c>
      <c r="F171" s="708"/>
      <c r="G171" s="1084" t="s">
        <v>2253</v>
      </c>
    </row>
    <row r="172" spans="1:7" s="42" customFormat="1" ht="12" customHeight="1">
      <c r="A172" s="104"/>
      <c r="B172" s="408"/>
      <c r="C172" s="241"/>
      <c r="D172" s="1087"/>
      <c r="E172" s="757" t="s">
        <v>630</v>
      </c>
      <c r="F172" s="751"/>
      <c r="G172" s="1084" t="s">
        <v>2253</v>
      </c>
    </row>
    <row r="173" spans="1:7" s="42" customFormat="1" ht="12" customHeight="1">
      <c r="A173" s="104"/>
      <c r="B173" s="408"/>
      <c r="C173" s="241"/>
      <c r="D173" s="1087"/>
      <c r="E173" s="757" t="s">
        <v>631</v>
      </c>
      <c r="F173" s="751"/>
      <c r="G173" s="1084" t="s">
        <v>2253</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2253</v>
      </c>
    </row>
    <row r="176" spans="1:7" s="42" customFormat="1" ht="12" customHeight="1">
      <c r="A176" s="104"/>
      <c r="B176" s="1087"/>
      <c r="C176" s="241"/>
      <c r="D176" s="1087"/>
      <c r="E176" s="757" t="s">
        <v>177</v>
      </c>
      <c r="F176" s="751"/>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3471</v>
      </c>
      <c r="C181" s="1087"/>
      <c r="D181" s="1087"/>
      <c r="E181" s="757" t="s">
        <v>178</v>
      </c>
      <c r="F181" s="1041"/>
      <c r="G181" s="1084" t="s">
        <v>2253</v>
      </c>
    </row>
    <row r="182" spans="1:7" s="42" customFormat="1" ht="12" customHeight="1">
      <c r="A182" s="387"/>
      <c r="B182" s="1101"/>
      <c r="C182" s="1087"/>
      <c r="D182" s="1087"/>
      <c r="E182" s="757" t="s">
        <v>179</v>
      </c>
      <c r="F182" s="1041"/>
      <c r="G182" s="1084" t="s">
        <v>2253</v>
      </c>
    </row>
    <row r="183" spans="1:7" s="42" customFormat="1" ht="25.15" customHeight="1">
      <c r="A183" s="104"/>
      <c r="B183" s="1087"/>
      <c r="C183" s="241"/>
      <c r="D183" s="1087"/>
      <c r="E183" s="757" t="s">
        <v>1619</v>
      </c>
      <c r="F183" s="751"/>
      <c r="G183" s="1084" t="s">
        <v>2253</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3924</v>
      </c>
    </row>
    <row r="186" spans="1:7" s="42" customFormat="1" ht="12" customHeight="1">
      <c r="A186" s="387"/>
      <c r="B186" s="1101"/>
      <c r="C186" s="241"/>
      <c r="D186" s="1087"/>
      <c r="E186" s="393" t="s">
        <v>1636</v>
      </c>
      <c r="F186" s="708"/>
      <c r="G186" s="1084" t="s">
        <v>3924</v>
      </c>
    </row>
    <row r="187" spans="1:7" s="42" customFormat="1" ht="6" customHeight="1">
      <c r="A187" s="100"/>
      <c r="B187" s="394"/>
      <c r="C187" s="1087"/>
      <c r="D187" s="1087"/>
      <c r="E187" s="1086"/>
      <c r="F187" s="396"/>
      <c r="G187" s="396"/>
    </row>
    <row r="188" spans="1:7" s="42" customFormat="1" ht="12" customHeight="1">
      <c r="A188" s="387">
        <v>30</v>
      </c>
      <c r="B188" s="1087" t="s">
        <v>3883</v>
      </c>
      <c r="C188" s="241"/>
      <c r="D188" s="1087"/>
      <c r="E188" s="1086" t="s">
        <v>1637</v>
      </c>
      <c r="F188" s="396"/>
      <c r="G188" s="1084" t="s">
        <v>2253</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3547</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3548</v>
      </c>
      <c r="F193" s="1110"/>
      <c r="G193" s="1084" t="s">
        <v>2253</v>
      </c>
    </row>
    <row r="194" spans="1:7" s="42" customFormat="1" ht="12" customHeight="1">
      <c r="A194" s="104"/>
      <c r="C194" s="241"/>
      <c r="D194" s="1087"/>
      <c r="E194" s="1086" t="s">
        <v>3549</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3795</v>
      </c>
      <c r="F196" s="396"/>
      <c r="G196" s="1084" t="s">
        <v>3924</v>
      </c>
    </row>
    <row r="197" spans="1:7" s="42" customFormat="1" ht="12" customHeight="1">
      <c r="A197" s="104"/>
      <c r="B197" s="241"/>
      <c r="C197" s="241"/>
      <c r="D197" s="1087"/>
      <c r="E197" s="1086" t="s">
        <v>3381</v>
      </c>
      <c r="F197" s="396"/>
      <c r="G197" s="1084" t="s">
        <v>3924</v>
      </c>
    </row>
    <row r="198" spans="1:7" s="42" customFormat="1" ht="12" customHeight="1">
      <c r="A198" s="104"/>
      <c r="B198" s="1086"/>
      <c r="C198" s="408"/>
      <c r="D198" s="1087"/>
      <c r="E198" s="1086" t="s">
        <v>167</v>
      </c>
      <c r="F198" s="396"/>
      <c r="G198" s="1084" t="s">
        <v>3924</v>
      </c>
    </row>
    <row r="199" spans="1:7" s="42" customFormat="1" ht="12" customHeight="1">
      <c r="A199" s="104"/>
      <c r="B199" s="1086"/>
      <c r="C199" s="1087"/>
      <c r="D199" s="1087"/>
      <c r="E199" s="1086" t="s">
        <v>3882</v>
      </c>
      <c r="F199" s="396"/>
      <c r="G199" s="1084" t="s">
        <v>3924</v>
      </c>
    </row>
    <row r="200" spans="1:7" s="42" customFormat="1" ht="12" customHeight="1">
      <c r="A200" s="104"/>
      <c r="B200" s="711"/>
      <c r="C200" s="1087"/>
      <c r="D200" s="1087"/>
      <c r="E200" s="1086" t="s">
        <v>168</v>
      </c>
      <c r="F200" s="396"/>
      <c r="G200" s="1084" t="s">
        <v>3924</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11"/>
      <c r="C203" s="1087"/>
      <c r="D203" s="1087"/>
      <c r="E203" s="1086" t="s">
        <v>2733</v>
      </c>
      <c r="F203" s="396"/>
      <c r="G203" s="1084" t="s">
        <v>3924</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3507</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11"/>
      <c r="C209" s="1087"/>
      <c r="D209" s="1087"/>
      <c r="E209" s="1086" t="s">
        <v>174</v>
      </c>
      <c r="F209" s="396"/>
      <c r="G209" s="1084" t="s">
        <v>2253</v>
      </c>
    </row>
    <row r="210" spans="1:7" s="42" customFormat="1" ht="12" customHeight="1">
      <c r="A210" s="107"/>
      <c r="B210" s="711"/>
      <c r="C210" s="1087"/>
      <c r="D210" s="1087"/>
      <c r="E210" s="1086" t="s">
        <v>175</v>
      </c>
      <c r="F210" s="396"/>
      <c r="G210" s="1084" t="s">
        <v>2253</v>
      </c>
    </row>
    <row r="211" spans="1:7" s="42" customFormat="1" ht="12" customHeight="1">
      <c r="A211" s="387">
        <v>32</v>
      </c>
      <c r="B211" s="1087" t="s">
        <v>3360</v>
      </c>
      <c r="C211" s="241"/>
      <c r="D211" s="1087"/>
      <c r="E211" s="1086" t="s">
        <v>176</v>
      </c>
      <c r="F211" s="396"/>
      <c r="G211" s="1084" t="s">
        <v>2253</v>
      </c>
    </row>
    <row r="212" spans="1:7" s="42" customFormat="1" ht="6" customHeight="1">
      <c r="A212" s="104"/>
      <c r="B212" s="711"/>
      <c r="C212" s="1087"/>
      <c r="D212" s="1087"/>
      <c r="E212" s="1086"/>
      <c r="F212" s="396"/>
      <c r="G212" s="313"/>
    </row>
    <row r="213" spans="1:7" s="42" customFormat="1" ht="12" customHeight="1">
      <c r="A213" s="387">
        <v>33</v>
      </c>
      <c r="B213" s="1087" t="s">
        <v>2840</v>
      </c>
      <c r="C213" s="241"/>
      <c r="D213" s="1087"/>
      <c r="E213" s="757" t="s">
        <v>180</v>
      </c>
      <c r="F213" s="751"/>
      <c r="G213" s="1084" t="s">
        <v>2253</v>
      </c>
    </row>
    <row r="214" spans="1:7" s="42" customFormat="1" ht="12" customHeight="1">
      <c r="A214" s="387"/>
      <c r="B214" s="241"/>
      <c r="C214" s="241"/>
      <c r="D214" s="1087"/>
      <c r="E214" s="757" t="s">
        <v>181</v>
      </c>
      <c r="F214" s="751"/>
      <c r="G214" s="1084" t="s">
        <v>2253</v>
      </c>
    </row>
    <row r="215" spans="1:7" s="42" customFormat="1" ht="12" customHeight="1">
      <c r="A215" s="387"/>
      <c r="B215" s="241"/>
      <c r="C215" s="241"/>
      <c r="D215" s="1087"/>
      <c r="E215" s="393" t="s">
        <v>3508</v>
      </c>
      <c r="F215" s="708"/>
      <c r="G215" s="1084" t="s">
        <v>2253</v>
      </c>
    </row>
    <row r="216" spans="1:7" s="42" customFormat="1" ht="6" customHeight="1">
      <c r="A216" s="104"/>
      <c r="B216" s="711"/>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11" t="s">
        <v>2670</v>
      </c>
      <c r="D220" s="1087"/>
      <c r="E220" s="1086" t="s">
        <v>183</v>
      </c>
      <c r="F220" s="396"/>
      <c r="G220" s="1084" t="s">
        <v>2253</v>
      </c>
    </row>
    <row r="221" spans="1:7" s="42" customFormat="1" ht="6" customHeight="1">
      <c r="A221" s="104"/>
      <c r="B221" s="711"/>
      <c r="C221" s="1087"/>
      <c r="D221" s="1087"/>
      <c r="E221" s="1086"/>
      <c r="F221" s="396"/>
      <c r="G221" s="313"/>
    </row>
    <row r="222" spans="1:7" s="42" customFormat="1" ht="12" customHeight="1">
      <c r="A222" s="387">
        <v>35</v>
      </c>
      <c r="B222" s="1087" t="s">
        <v>1906</v>
      </c>
      <c r="C222" s="241"/>
      <c r="D222" s="1087"/>
      <c r="E222" s="1086" t="s">
        <v>1907</v>
      </c>
      <c r="F222" s="396"/>
      <c r="G222" s="1084" t="s">
        <v>3924</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1908</v>
      </c>
      <c r="F224" s="396"/>
      <c r="G224" s="1084" t="s">
        <v>3924</v>
      </c>
    </row>
    <row r="225" spans="1:7" s="42" customFormat="1" ht="6" customHeight="1">
      <c r="A225" s="104"/>
      <c r="B225" s="711"/>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11"/>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11"/>
      <c r="E231" s="1111" t="s">
        <v>36</v>
      </c>
      <c r="F231" s="396"/>
      <c r="G231" s="1084" t="s">
        <v>2253</v>
      </c>
    </row>
    <row r="232" spans="1:7" s="42" customFormat="1" ht="6" customHeight="1">
      <c r="A232" s="104"/>
      <c r="B232" s="711"/>
      <c r="C232" s="1087"/>
      <c r="D232" s="1087"/>
      <c r="E232" s="1086"/>
      <c r="F232" s="396"/>
      <c r="G232" s="106"/>
    </row>
    <row r="233" spans="1:7" s="42" customFormat="1" ht="12" customHeight="1">
      <c r="A233" s="387">
        <v>38</v>
      </c>
      <c r="B233" s="1087" t="s">
        <v>3550</v>
      </c>
      <c r="C233" s="241"/>
      <c r="D233" s="1087"/>
      <c r="E233" s="1086" t="s">
        <v>3509</v>
      </c>
      <c r="F233" s="396"/>
      <c r="G233" s="1084" t="s">
        <v>3924</v>
      </c>
    </row>
    <row r="234" spans="1:7" s="42" customFormat="1" ht="12" customHeight="1">
      <c r="A234" s="104"/>
      <c r="B234" s="1086"/>
      <c r="C234" s="1087"/>
      <c r="D234" s="1087"/>
      <c r="E234" s="396" t="s">
        <v>3510</v>
      </c>
      <c r="F234" s="396"/>
      <c r="G234" s="1084" t="s">
        <v>3924</v>
      </c>
    </row>
    <row r="235" spans="1:7" s="42" customFormat="1" ht="6" customHeight="1">
      <c r="A235" s="104"/>
      <c r="B235" s="417"/>
      <c r="C235" s="1112"/>
      <c r="D235" s="1112"/>
      <c r="E235" s="1113"/>
      <c r="F235" s="106"/>
      <c r="G235" s="106"/>
    </row>
    <row r="236" spans="1:7" s="42" customFormat="1" ht="13.15" customHeight="1">
      <c r="A236" s="387">
        <v>39</v>
      </c>
      <c r="B236" s="1087" t="s">
        <v>2363</v>
      </c>
      <c r="E236" s="1114" t="s">
        <v>4051</v>
      </c>
      <c r="F236" s="1114" t="s">
        <v>4056</v>
      </c>
      <c r="G236" s="1084"/>
    </row>
    <row r="237" spans="1:7" s="42" customFormat="1" ht="12.6" customHeight="1">
      <c r="A237" s="104"/>
      <c r="C237" s="1115" t="s">
        <v>1026</v>
      </c>
      <c r="D237" s="1116"/>
      <c r="E237" s="1117" t="s">
        <v>4052</v>
      </c>
      <c r="F237" s="1117" t="s">
        <v>4054</v>
      </c>
      <c r="G237" s="1118"/>
    </row>
    <row r="238" spans="1:7" s="42" customFormat="1" ht="12.6" customHeight="1">
      <c r="A238" s="104"/>
      <c r="C238" s="1115"/>
      <c r="D238" s="1116"/>
      <c r="E238" s="1117" t="s">
        <v>4053</v>
      </c>
      <c r="F238" s="1117" t="s">
        <v>4055</v>
      </c>
      <c r="G238" s="1118"/>
    </row>
    <row r="239" spans="1:7" s="42" customFormat="1" ht="12.6" customHeight="1">
      <c r="A239" s="104"/>
      <c r="C239" s="1119"/>
      <c r="D239" s="1116"/>
      <c r="E239" s="1120"/>
      <c r="F239" s="1120"/>
      <c r="G239" s="1118"/>
    </row>
    <row r="240" spans="1:7" s="42" customFormat="1" ht="26.45" customHeight="1">
      <c r="A240" s="1121" t="s">
        <v>3125</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I13" sqref="I13"/>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2011-038 Thomson Estates, Thomson, McDuffie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3570</v>
      </c>
      <c r="C3" s="2"/>
      <c r="D3" s="167" t="s">
        <v>328</v>
      </c>
      <c r="E3" s="2"/>
      <c r="F3" s="2"/>
      <c r="G3" s="167"/>
      <c r="H3" s="167"/>
      <c r="I3" s="167"/>
      <c r="J3" s="167"/>
      <c r="K3" s="167"/>
      <c r="L3" s="167"/>
      <c r="N3" s="707" t="s">
        <v>886</v>
      </c>
      <c r="O3" s="983" t="str">
        <f>'Part I-Project Information'!$J$26</f>
        <v>Augusta-Richmond Co.</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3685</v>
      </c>
      <c r="FA3" s="655" t="s">
        <v>3686</v>
      </c>
      <c r="FB3" s="655" t="s">
        <v>3687</v>
      </c>
      <c r="FC3" s="655" t="s">
        <v>3688</v>
      </c>
      <c r="FD3" s="656"/>
      <c r="FE3" s="656"/>
      <c r="FF3" s="656"/>
      <c r="FG3" s="656"/>
      <c r="FH3" s="656"/>
      <c r="FI3" s="655" t="s">
        <v>716</v>
      </c>
      <c r="FJ3" s="655" t="s">
        <v>3685</v>
      </c>
      <c r="FK3" s="655" t="s">
        <v>3686</v>
      </c>
      <c r="FL3" s="655" t="s">
        <v>3687</v>
      </c>
      <c r="FM3" s="655" t="s">
        <v>3688</v>
      </c>
      <c r="FN3" s="655" t="s">
        <v>716</v>
      </c>
      <c r="FO3" s="655" t="s">
        <v>3685</v>
      </c>
      <c r="FP3" s="655" t="s">
        <v>3686</v>
      </c>
      <c r="FQ3" s="655" t="s">
        <v>3687</v>
      </c>
      <c r="FR3" s="655" t="s">
        <v>3688</v>
      </c>
      <c r="FS3" s="655" t="s">
        <v>716</v>
      </c>
      <c r="FT3" s="655" t="s">
        <v>3685</v>
      </c>
      <c r="FU3" s="655" t="s">
        <v>3686</v>
      </c>
      <c r="FV3" s="655" t="s">
        <v>3687</v>
      </c>
      <c r="FW3" s="655" t="s">
        <v>3688</v>
      </c>
      <c r="FX3" s="655" t="s">
        <v>716</v>
      </c>
      <c r="FY3" s="655" t="s">
        <v>3685</v>
      </c>
      <c r="FZ3" s="655" t="s">
        <v>3686</v>
      </c>
      <c r="GA3" s="655" t="s">
        <v>3687</v>
      </c>
      <c r="GB3" s="655" t="s">
        <v>3688</v>
      </c>
      <c r="GC3" s="655" t="s">
        <v>716</v>
      </c>
      <c r="GD3" s="655" t="s">
        <v>3685</v>
      </c>
      <c r="GE3" s="655" t="s">
        <v>3686</v>
      </c>
      <c r="GF3" s="655" t="s">
        <v>3687</v>
      </c>
      <c r="GG3" s="655" t="s">
        <v>3688</v>
      </c>
      <c r="GH3" s="655" t="s">
        <v>716</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3451</v>
      </c>
      <c r="AA4" s="965" t="s">
        <v>3452</v>
      </c>
      <c r="AB4" s="965" t="s">
        <v>3453</v>
      </c>
      <c r="AC4" s="965" t="s">
        <v>3454</v>
      </c>
      <c r="AD4" s="965" t="s">
        <v>1515</v>
      </c>
      <c r="AE4" s="965" t="s">
        <v>3455</v>
      </c>
      <c r="AF4" s="965" t="s">
        <v>3456</v>
      </c>
      <c r="AG4" s="965" t="s">
        <v>3457</v>
      </c>
      <c r="AH4" s="965" t="s">
        <v>3458</v>
      </c>
      <c r="AI4" s="965" t="s">
        <v>152</v>
      </c>
      <c r="AJ4" s="965" t="s">
        <v>3459</v>
      </c>
      <c r="AK4" s="965" t="s">
        <v>3460</v>
      </c>
      <c r="AL4" s="965" t="s">
        <v>3461</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3675</v>
      </c>
      <c r="BS4" s="965" t="s">
        <v>3676</v>
      </c>
      <c r="BT4" s="965" t="s">
        <v>3677</v>
      </c>
      <c r="BU4" s="965" t="s">
        <v>3678</v>
      </c>
      <c r="BV4" s="965" t="s">
        <v>3679</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3674</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2847</v>
      </c>
      <c r="DT4" s="964" t="s">
        <v>2848</v>
      </c>
      <c r="DU4" s="964" t="s">
        <v>2849</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3320</v>
      </c>
      <c r="EK4" s="964" t="s">
        <v>3321</v>
      </c>
      <c r="EL4" s="964" t="s">
        <v>3322</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3810</v>
      </c>
      <c r="GO4" s="964" t="s">
        <v>3811</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2897</v>
      </c>
      <c r="D5" s="2"/>
      <c r="E5" s="5"/>
      <c r="F5" s="2"/>
      <c r="G5" s="1307"/>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2838</v>
      </c>
      <c r="D6" s="2"/>
      <c r="E6" s="5"/>
      <c r="G6" s="1308"/>
      <c r="J6" s="737" t="s">
        <v>3644</v>
      </c>
      <c r="O6" s="2"/>
      <c r="P6" s="658">
        <f>VLOOKUP('Part I-Project Information'!$J$26,'DCA Underwriting Assumptions'!$C$77:$D$187,2)</f>
        <v>57100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2212</v>
      </c>
      <c r="C8" s="737" t="s">
        <v>228</v>
      </c>
      <c r="D8" s="737" t="s">
        <v>839</v>
      </c>
      <c r="E8" s="737" t="s">
        <v>2210</v>
      </c>
      <c r="F8" s="737" t="s">
        <v>2210</v>
      </c>
      <c r="G8" s="737" t="s">
        <v>3616</v>
      </c>
      <c r="H8" s="737" t="s">
        <v>3614</v>
      </c>
      <c r="I8" s="737" t="s">
        <v>1380</v>
      </c>
      <c r="J8" s="737" t="s">
        <v>3646</v>
      </c>
      <c r="K8" s="981" t="s">
        <v>186</v>
      </c>
      <c r="L8" s="981"/>
      <c r="M8" s="737" t="s">
        <v>3571</v>
      </c>
      <c r="N8" s="737" t="s">
        <v>825</v>
      </c>
      <c r="O8" s="737" t="s">
        <v>487</v>
      </c>
      <c r="P8" s="984" t="s">
        <v>1665</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3685</v>
      </c>
      <c r="EV8" s="445" t="s">
        <v>3686</v>
      </c>
      <c r="EW8" s="445" t="s">
        <v>3687</v>
      </c>
      <c r="EX8" s="445" t="s">
        <v>3688</v>
      </c>
      <c r="EY8" s="964" t="s">
        <v>3775</v>
      </c>
      <c r="EZ8" s="964" t="s">
        <v>3775</v>
      </c>
      <c r="FA8" s="964" t="s">
        <v>3775</v>
      </c>
      <c r="FB8" s="964" t="s">
        <v>3775</v>
      </c>
      <c r="FC8" s="964" t="s">
        <v>3775</v>
      </c>
      <c r="FD8" s="445" t="s">
        <v>716</v>
      </c>
      <c r="FE8" s="445" t="s">
        <v>3685</v>
      </c>
      <c r="FF8" s="445" t="s">
        <v>3686</v>
      </c>
      <c r="FG8" s="445" t="s">
        <v>3687</v>
      </c>
      <c r="FH8" s="445" t="s">
        <v>3688</v>
      </c>
      <c r="FI8" s="964" t="s">
        <v>3777</v>
      </c>
      <c r="FJ8" s="964" t="s">
        <v>3777</v>
      </c>
      <c r="FK8" s="964" t="s">
        <v>3777</v>
      </c>
      <c r="FL8" s="964" t="s">
        <v>3777</v>
      </c>
      <c r="FM8" s="964" t="s">
        <v>3777</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1996</v>
      </c>
      <c r="C9" s="737" t="s">
        <v>227</v>
      </c>
      <c r="D9" s="737" t="s">
        <v>229</v>
      </c>
      <c r="E9" s="737" t="s">
        <v>2211</v>
      </c>
      <c r="F9" s="737" t="s">
        <v>1963</v>
      </c>
      <c r="G9" s="737" t="s">
        <v>1964</v>
      </c>
      <c r="H9" s="737" t="s">
        <v>3615</v>
      </c>
      <c r="I9" s="737" t="s">
        <v>1381</v>
      </c>
      <c r="J9" s="684" t="s">
        <v>450</v>
      </c>
      <c r="K9" s="737" t="s">
        <v>2281</v>
      </c>
      <c r="L9" s="737" t="s">
        <v>832</v>
      </c>
      <c r="M9" s="737" t="s">
        <v>2210</v>
      </c>
      <c r="N9" s="737" t="s">
        <v>1996</v>
      </c>
      <c r="O9" s="737" t="s">
        <v>488</v>
      </c>
      <c r="P9" s="738" t="s">
        <v>1663</v>
      </c>
      <c r="Q9" s="738" t="s">
        <v>1664</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3774</v>
      </c>
      <c r="EV9" s="445" t="s">
        <v>3774</v>
      </c>
      <c r="EW9" s="445" t="s">
        <v>3774</v>
      </c>
      <c r="EX9" s="445" t="s">
        <v>3774</v>
      </c>
      <c r="EY9" s="964"/>
      <c r="EZ9" s="964"/>
      <c r="FA9" s="964"/>
      <c r="FB9" s="964"/>
      <c r="FC9" s="964"/>
      <c r="FD9" s="445" t="s">
        <v>3776</v>
      </c>
      <c r="FE9" s="445" t="s">
        <v>3776</v>
      </c>
      <c r="FF9" s="445" t="s">
        <v>3776</v>
      </c>
      <c r="FG9" s="445" t="s">
        <v>3776</v>
      </c>
      <c r="FH9" s="445" t="s">
        <v>3776</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9" t="s">
        <v>133</v>
      </c>
      <c r="C10" s="1310">
        <v>3</v>
      </c>
      <c r="D10" s="1311">
        <v>2</v>
      </c>
      <c r="E10" s="1312">
        <v>4</v>
      </c>
      <c r="F10" s="1312">
        <v>1280</v>
      </c>
      <c r="G10" s="1312">
        <v>742</v>
      </c>
      <c r="H10" s="1312">
        <v>717</v>
      </c>
      <c r="I10" s="1312">
        <v>283</v>
      </c>
      <c r="J10" s="1313"/>
      <c r="K10" s="226">
        <f>MAX(0,H10-I10)</f>
        <v>434</v>
      </c>
      <c r="L10" s="226">
        <f t="shared" ref="L10:L47" si="0">MAX(0,E10*K10)</f>
        <v>1736</v>
      </c>
      <c r="M10" s="1314" t="s">
        <v>3923</v>
      </c>
      <c r="N10" s="1314" t="s">
        <v>47</v>
      </c>
      <c r="O10" s="1314" t="s">
        <v>3434</v>
      </c>
      <c r="P10" s="581">
        <f>IF(H10="","",H10*12/0.3)</f>
        <v>28680</v>
      </c>
      <c r="Q10" s="582">
        <f>IF(H10="","",P10/($P$6*VLOOKUP(C10,'DCA Underwriting Assumptions'!$J$77:$K$82,2,FALSE)))</f>
        <v>0.48295837262562308</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f t="shared" ref="AB10:AB47" si="9">IF(AND(C10=3,B10="50% AMI",NOT(M10="Common")),E10,"")</f>
        <v>4</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f t="shared" ref="CE10:CE47" si="34">IF(OR(AND(C10=3,B10="50% AMI",NOT(M10="Common")),AND(C10=3,B10="HOME 50% AMI",NOT(M10="Common"))),E10*F10,"")</f>
        <v>5120</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f t="shared" ref="DD10:DD47" si="59">IF(AND($C10=3, $O10="New Construction",NOT($B10="Unrestricted"),NOT($B10="NSP 120% AMI"),NOT($B10="N/A-CS"),NOT($M10="Common")),$E10,"")</f>
        <v>4</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f t="shared" ref="FB10:FB47" si="109">IF(AND($C10=3, $N10="SF Detached"),$E10,"")</f>
        <v>4</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5" t="s">
        <v>133</v>
      </c>
      <c r="C11" s="1316">
        <v>4</v>
      </c>
      <c r="D11" s="1317">
        <v>2</v>
      </c>
      <c r="E11" s="1318">
        <v>2</v>
      </c>
      <c r="F11" s="1318">
        <v>1600</v>
      </c>
      <c r="G11" s="1318">
        <v>828</v>
      </c>
      <c r="H11" s="1318">
        <v>806</v>
      </c>
      <c r="I11" s="1318">
        <v>354</v>
      </c>
      <c r="J11" s="1319"/>
      <c r="K11" s="227">
        <f t="shared" ref="K11:K27" si="172">MAX(0,H11-I11)</f>
        <v>452</v>
      </c>
      <c r="L11" s="227">
        <f t="shared" si="0"/>
        <v>904</v>
      </c>
      <c r="M11" s="1320" t="s">
        <v>3923</v>
      </c>
      <c r="N11" s="1320" t="s">
        <v>47</v>
      </c>
      <c r="O11" s="1320" t="s">
        <v>3434</v>
      </c>
      <c r="P11" s="581">
        <f>IF(H11="","",H11*12/0.3)</f>
        <v>32240</v>
      </c>
      <c r="Q11" s="582">
        <f>IF(H11="","",P11/($P$6*VLOOKUP(C11,'DCA Underwriting Assumptions'!$J$77:$K$82,2,FALSE)))</f>
        <v>0.48674436862129355</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t="str">
        <f t="shared" si="9"/>
        <v/>
      </c>
      <c r="AC11" s="113">
        <f t="shared" si="10"/>
        <v>2</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t="str">
        <f t="shared" si="34"/>
        <v/>
      </c>
      <c r="CF11" s="113">
        <f t="shared" si="35"/>
        <v>3200</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f t="shared" si="60"/>
        <v>2</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f t="shared" si="110"/>
        <v>2</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5" t="s">
        <v>1791</v>
      </c>
      <c r="C12" s="1316">
        <v>3</v>
      </c>
      <c r="D12" s="1317">
        <v>2</v>
      </c>
      <c r="E12" s="1318">
        <v>21</v>
      </c>
      <c r="F12" s="1318">
        <v>1280</v>
      </c>
      <c r="G12" s="1318">
        <v>891</v>
      </c>
      <c r="H12" s="1318">
        <v>851</v>
      </c>
      <c r="I12" s="1318">
        <v>283</v>
      </c>
      <c r="J12" s="1319"/>
      <c r="K12" s="227">
        <f t="shared" si="172"/>
        <v>568</v>
      </c>
      <c r="L12" s="227">
        <f t="shared" si="0"/>
        <v>11928</v>
      </c>
      <c r="M12" s="1320" t="s">
        <v>3923</v>
      </c>
      <c r="N12" s="1320" t="s">
        <v>47</v>
      </c>
      <c r="O12" s="1320" t="s">
        <v>3434</v>
      </c>
      <c r="P12" s="581">
        <f>IF(H12="","",H12*12/0.3)</f>
        <v>34040</v>
      </c>
      <c r="Q12" s="582">
        <f>IF(H12="","",P12/($P$6*VLOOKUP(C12,'DCA Underwriting Assumptions'!$J$77:$K$82,2,FALSE)))</f>
        <v>0.57321837531995146</v>
      </c>
      <c r="R12" s="738"/>
      <c r="S12" s="659"/>
      <c r="T12" s="113" t="str">
        <f t="shared" si="1"/>
        <v/>
      </c>
      <c r="U12" s="113" t="str">
        <f t="shared" si="2"/>
        <v/>
      </c>
      <c r="V12" s="113" t="str">
        <f t="shared" si="3"/>
        <v/>
      </c>
      <c r="W12" s="113">
        <f t="shared" si="4"/>
        <v>21</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f t="shared" si="29"/>
        <v>26880</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21</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f t="shared" si="109"/>
        <v>21</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5" t="s">
        <v>1791</v>
      </c>
      <c r="C13" s="1316">
        <v>4</v>
      </c>
      <c r="D13" s="1317">
        <v>2</v>
      </c>
      <c r="E13" s="1318">
        <v>10</v>
      </c>
      <c r="F13" s="1318">
        <v>1600</v>
      </c>
      <c r="G13" s="1318">
        <v>994</v>
      </c>
      <c r="H13" s="1318">
        <v>955</v>
      </c>
      <c r="I13" s="1318">
        <v>354</v>
      </c>
      <c r="J13" s="1319"/>
      <c r="K13" s="227">
        <f t="shared" si="172"/>
        <v>601</v>
      </c>
      <c r="L13" s="227">
        <f t="shared" si="0"/>
        <v>6010</v>
      </c>
      <c r="M13" s="1320" t="s">
        <v>3923</v>
      </c>
      <c r="N13" s="1320" t="s">
        <v>47</v>
      </c>
      <c r="O13" s="1320" t="s">
        <v>3434</v>
      </c>
      <c r="P13" s="581">
        <f>IF(H13="","",H13*12/0.3)</f>
        <v>38200</v>
      </c>
      <c r="Q13" s="582">
        <f>IF(H13="","",P13/($P$6*VLOOKUP(C13,'DCA Underwriting Assumptions'!$J$77:$K$82,2,FALSE)))</f>
        <v>0.57672564768403889</v>
      </c>
      <c r="R13" s="738"/>
      <c r="S13" s="659"/>
      <c r="T13" s="113" t="str">
        <f t="shared" si="1"/>
        <v/>
      </c>
      <c r="U13" s="113" t="str">
        <f t="shared" si="2"/>
        <v/>
      </c>
      <c r="V13" s="113" t="str">
        <f t="shared" si="3"/>
        <v/>
      </c>
      <c r="W13" s="113" t="str">
        <f t="shared" si="4"/>
        <v/>
      </c>
      <c r="X13" s="113">
        <f t="shared" si="5"/>
        <v>10</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f t="shared" si="30"/>
        <v>16000</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f t="shared" si="60"/>
        <v>10</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f t="shared" si="110"/>
        <v>10</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5"/>
      <c r="C14" s="1316"/>
      <c r="D14" s="1317"/>
      <c r="E14" s="1318"/>
      <c r="F14" s="1318"/>
      <c r="G14" s="1318"/>
      <c r="H14" s="1318"/>
      <c r="I14" s="1318"/>
      <c r="J14" s="1319"/>
      <c r="K14" s="227">
        <f t="shared" si="172"/>
        <v>0</v>
      </c>
      <c r="L14" s="227">
        <f t="shared" si="0"/>
        <v>0</v>
      </c>
      <c r="M14" s="1320"/>
      <c r="N14" s="1320"/>
      <c r="O14" s="1320"/>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5"/>
      <c r="C15" s="1316"/>
      <c r="D15" s="1317"/>
      <c r="E15" s="1318"/>
      <c r="F15" s="1318"/>
      <c r="G15" s="1318"/>
      <c r="H15" s="1318"/>
      <c r="I15" s="1318"/>
      <c r="J15" s="1319"/>
      <c r="K15" s="227">
        <f t="shared" si="172"/>
        <v>0</v>
      </c>
      <c r="L15" s="227">
        <f t="shared" si="0"/>
        <v>0</v>
      </c>
      <c r="M15" s="1320"/>
      <c r="N15" s="1320"/>
      <c r="O15" s="1320"/>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5"/>
      <c r="C16" s="1316"/>
      <c r="D16" s="1317"/>
      <c r="E16" s="1318"/>
      <c r="F16" s="1318"/>
      <c r="G16" s="1318"/>
      <c r="H16" s="1318"/>
      <c r="I16" s="1318"/>
      <c r="J16" s="1319"/>
      <c r="K16" s="227">
        <f t="shared" si="172"/>
        <v>0</v>
      </c>
      <c r="L16" s="227">
        <f t="shared" si="0"/>
        <v>0</v>
      </c>
      <c r="M16" s="1320"/>
      <c r="N16" s="1320"/>
      <c r="O16" s="1320"/>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5"/>
      <c r="C17" s="1316"/>
      <c r="D17" s="1317"/>
      <c r="E17" s="1318"/>
      <c r="F17" s="1318"/>
      <c r="G17" s="1318"/>
      <c r="H17" s="1318"/>
      <c r="I17" s="1318"/>
      <c r="J17" s="1319"/>
      <c r="K17" s="227">
        <f t="shared" si="172"/>
        <v>0</v>
      </c>
      <c r="L17" s="227">
        <f t="shared" si="0"/>
        <v>0</v>
      </c>
      <c r="M17" s="1320"/>
      <c r="N17" s="1320"/>
      <c r="O17" s="1320"/>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5"/>
      <c r="C18" s="1316"/>
      <c r="D18" s="1317"/>
      <c r="E18" s="1318"/>
      <c r="F18" s="1318"/>
      <c r="G18" s="1318"/>
      <c r="H18" s="1318"/>
      <c r="I18" s="1318"/>
      <c r="J18" s="1319"/>
      <c r="K18" s="227">
        <f t="shared" si="172"/>
        <v>0</v>
      </c>
      <c r="L18" s="227">
        <f t="shared" si="0"/>
        <v>0</v>
      </c>
      <c r="M18" s="1320"/>
      <c r="N18" s="1320"/>
      <c r="O18" s="1320"/>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5"/>
      <c r="C19" s="1316"/>
      <c r="D19" s="1317"/>
      <c r="E19" s="1318"/>
      <c r="F19" s="1318"/>
      <c r="G19" s="1318"/>
      <c r="H19" s="1318"/>
      <c r="I19" s="1318"/>
      <c r="J19" s="1319"/>
      <c r="K19" s="227">
        <f t="shared" si="172"/>
        <v>0</v>
      </c>
      <c r="L19" s="227">
        <f t="shared" si="0"/>
        <v>0</v>
      </c>
      <c r="M19" s="1320"/>
      <c r="N19" s="1320"/>
      <c r="O19" s="1320"/>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5"/>
      <c r="C20" s="1316"/>
      <c r="D20" s="1317"/>
      <c r="E20" s="1318"/>
      <c r="F20" s="1318"/>
      <c r="G20" s="1318"/>
      <c r="H20" s="1318"/>
      <c r="I20" s="1318"/>
      <c r="J20" s="1319"/>
      <c r="K20" s="227">
        <f t="shared" si="172"/>
        <v>0</v>
      </c>
      <c r="L20" s="227">
        <f t="shared" si="0"/>
        <v>0</v>
      </c>
      <c r="M20" s="1320"/>
      <c r="N20" s="1320"/>
      <c r="O20" s="1320"/>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5"/>
      <c r="C21" s="1316"/>
      <c r="D21" s="1317"/>
      <c r="E21" s="1318"/>
      <c r="F21" s="1318"/>
      <c r="G21" s="1318"/>
      <c r="H21" s="1318"/>
      <c r="I21" s="1318"/>
      <c r="J21" s="1319"/>
      <c r="K21" s="227">
        <f t="shared" si="172"/>
        <v>0</v>
      </c>
      <c r="L21" s="227">
        <f t="shared" si="0"/>
        <v>0</v>
      </c>
      <c r="M21" s="1320"/>
      <c r="N21" s="1320"/>
      <c r="O21" s="1320"/>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5"/>
      <c r="C22" s="1316"/>
      <c r="D22" s="1317"/>
      <c r="E22" s="1318"/>
      <c r="F22" s="1318"/>
      <c r="G22" s="1318"/>
      <c r="H22" s="1318"/>
      <c r="I22" s="1318"/>
      <c r="J22" s="1319"/>
      <c r="K22" s="227">
        <f t="shared" si="172"/>
        <v>0</v>
      </c>
      <c r="L22" s="227">
        <f t="shared" si="0"/>
        <v>0</v>
      </c>
      <c r="M22" s="1320"/>
      <c r="N22" s="1320"/>
      <c r="O22" s="1320"/>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5"/>
      <c r="C23" s="1316"/>
      <c r="D23" s="1317"/>
      <c r="E23" s="1318"/>
      <c r="F23" s="1318"/>
      <c r="G23" s="1318"/>
      <c r="H23" s="1318"/>
      <c r="I23" s="1318"/>
      <c r="J23" s="1319"/>
      <c r="K23" s="227">
        <f t="shared" si="172"/>
        <v>0</v>
      </c>
      <c r="L23" s="227">
        <f t="shared" si="0"/>
        <v>0</v>
      </c>
      <c r="M23" s="1320"/>
      <c r="N23" s="1320"/>
      <c r="O23" s="1320"/>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5"/>
      <c r="C24" s="1316"/>
      <c r="D24" s="1317"/>
      <c r="E24" s="1318"/>
      <c r="F24" s="1318"/>
      <c r="G24" s="1318"/>
      <c r="H24" s="1318"/>
      <c r="I24" s="1318"/>
      <c r="J24" s="1319"/>
      <c r="K24" s="227">
        <f t="shared" si="172"/>
        <v>0</v>
      </c>
      <c r="L24" s="227">
        <f t="shared" si="0"/>
        <v>0</v>
      </c>
      <c r="M24" s="1320"/>
      <c r="N24" s="1320"/>
      <c r="O24" s="1320"/>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5"/>
      <c r="C25" s="1316"/>
      <c r="D25" s="1317"/>
      <c r="E25" s="1318"/>
      <c r="F25" s="1318"/>
      <c r="G25" s="1318"/>
      <c r="H25" s="1318"/>
      <c r="I25" s="1318"/>
      <c r="J25" s="1319"/>
      <c r="K25" s="227">
        <f t="shared" si="172"/>
        <v>0</v>
      </c>
      <c r="L25" s="227">
        <f t="shared" si="0"/>
        <v>0</v>
      </c>
      <c r="M25" s="1320"/>
      <c r="N25" s="1320"/>
      <c r="O25" s="1320"/>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5"/>
      <c r="C26" s="1316"/>
      <c r="D26" s="1317"/>
      <c r="E26" s="1318"/>
      <c r="F26" s="1318"/>
      <c r="G26" s="1318"/>
      <c r="H26" s="1318"/>
      <c r="I26" s="1318"/>
      <c r="J26" s="1319"/>
      <c r="K26" s="227">
        <f t="shared" si="172"/>
        <v>0</v>
      </c>
      <c r="L26" s="227">
        <f t="shared" si="0"/>
        <v>0</v>
      </c>
      <c r="M26" s="1320"/>
      <c r="N26" s="1320"/>
      <c r="O26" s="1320"/>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5"/>
      <c r="C27" s="1316"/>
      <c r="D27" s="1317"/>
      <c r="E27" s="1318"/>
      <c r="F27" s="1318"/>
      <c r="G27" s="1318"/>
      <c r="H27" s="1318"/>
      <c r="I27" s="1318"/>
      <c r="J27" s="1319"/>
      <c r="K27" s="227">
        <f t="shared" si="172"/>
        <v>0</v>
      </c>
      <c r="L27" s="227">
        <f t="shared" si="0"/>
        <v>0</v>
      </c>
      <c r="M27" s="1320"/>
      <c r="N27" s="1320"/>
      <c r="O27" s="1320"/>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5"/>
      <c r="C28" s="1316"/>
      <c r="D28" s="1317"/>
      <c r="E28" s="1318"/>
      <c r="F28" s="1318"/>
      <c r="G28" s="1318"/>
      <c r="H28" s="1318"/>
      <c r="I28" s="1318"/>
      <c r="J28" s="1319"/>
      <c r="K28" s="227">
        <f>MAX(0,H28-I28)</f>
        <v>0</v>
      </c>
      <c r="L28" s="227">
        <f t="shared" si="0"/>
        <v>0</v>
      </c>
      <c r="M28" s="1320"/>
      <c r="N28" s="1320"/>
      <c r="O28" s="1320"/>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5"/>
      <c r="C29" s="1316"/>
      <c r="D29" s="1317"/>
      <c r="E29" s="1318"/>
      <c r="F29" s="1318"/>
      <c r="G29" s="1318"/>
      <c r="H29" s="1318"/>
      <c r="I29" s="1318"/>
      <c r="J29" s="1319"/>
      <c r="K29" s="227">
        <f t="shared" ref="K29:K47" si="204">MAX(0,H29-I29)</f>
        <v>0</v>
      </c>
      <c r="L29" s="227">
        <f t="shared" si="0"/>
        <v>0</v>
      </c>
      <c r="M29" s="1320"/>
      <c r="N29" s="1320"/>
      <c r="O29" s="1320"/>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5"/>
      <c r="C30" s="1316"/>
      <c r="D30" s="1317"/>
      <c r="E30" s="1318"/>
      <c r="F30" s="1318"/>
      <c r="G30" s="1318"/>
      <c r="H30" s="1318"/>
      <c r="I30" s="1318"/>
      <c r="J30" s="1319"/>
      <c r="K30" s="227">
        <f t="shared" si="204"/>
        <v>0</v>
      </c>
      <c r="L30" s="227">
        <f t="shared" si="0"/>
        <v>0</v>
      </c>
      <c r="M30" s="1320"/>
      <c r="N30" s="1320"/>
      <c r="O30" s="1320"/>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5"/>
      <c r="C31" s="1316"/>
      <c r="D31" s="1317"/>
      <c r="E31" s="1318"/>
      <c r="F31" s="1318"/>
      <c r="G31" s="1318"/>
      <c r="H31" s="1318"/>
      <c r="I31" s="1318"/>
      <c r="J31" s="1319"/>
      <c r="K31" s="227">
        <f t="shared" si="204"/>
        <v>0</v>
      </c>
      <c r="L31" s="227">
        <f t="shared" si="0"/>
        <v>0</v>
      </c>
      <c r="M31" s="1320"/>
      <c r="N31" s="1320"/>
      <c r="O31" s="1320"/>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5"/>
      <c r="C32" s="1316"/>
      <c r="D32" s="1317"/>
      <c r="E32" s="1318"/>
      <c r="F32" s="1318"/>
      <c r="G32" s="1318"/>
      <c r="H32" s="1318"/>
      <c r="I32" s="1318"/>
      <c r="J32" s="1319"/>
      <c r="K32" s="227">
        <f t="shared" si="204"/>
        <v>0</v>
      </c>
      <c r="L32" s="227">
        <f t="shared" si="0"/>
        <v>0</v>
      </c>
      <c r="M32" s="1320"/>
      <c r="N32" s="1320"/>
      <c r="O32" s="1320"/>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5"/>
      <c r="C33" s="1316"/>
      <c r="D33" s="1317"/>
      <c r="E33" s="1318"/>
      <c r="F33" s="1318"/>
      <c r="G33" s="1318"/>
      <c r="H33" s="1318"/>
      <c r="I33" s="1318"/>
      <c r="J33" s="1319"/>
      <c r="K33" s="227">
        <f t="shared" si="204"/>
        <v>0</v>
      </c>
      <c r="L33" s="227">
        <f t="shared" si="0"/>
        <v>0</v>
      </c>
      <c r="M33" s="1320"/>
      <c r="N33" s="1320"/>
      <c r="O33" s="1320"/>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5"/>
      <c r="C34" s="1316"/>
      <c r="D34" s="1317"/>
      <c r="E34" s="1318"/>
      <c r="F34" s="1318"/>
      <c r="G34" s="1318"/>
      <c r="H34" s="1318"/>
      <c r="I34" s="1318"/>
      <c r="J34" s="1319"/>
      <c r="K34" s="227">
        <f t="shared" si="204"/>
        <v>0</v>
      </c>
      <c r="L34" s="227">
        <f t="shared" si="0"/>
        <v>0</v>
      </c>
      <c r="M34" s="1320"/>
      <c r="N34" s="1320"/>
      <c r="O34" s="1320"/>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5"/>
      <c r="C35" s="1316"/>
      <c r="D35" s="1317"/>
      <c r="E35" s="1318"/>
      <c r="F35" s="1318"/>
      <c r="G35" s="1318"/>
      <c r="H35" s="1318"/>
      <c r="I35" s="1318"/>
      <c r="J35" s="1319"/>
      <c r="K35" s="227">
        <f t="shared" si="204"/>
        <v>0</v>
      </c>
      <c r="L35" s="227">
        <f t="shared" si="0"/>
        <v>0</v>
      </c>
      <c r="M35" s="1320"/>
      <c r="N35" s="1320"/>
      <c r="O35" s="1320"/>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5"/>
      <c r="C36" s="1316"/>
      <c r="D36" s="1317"/>
      <c r="E36" s="1318"/>
      <c r="F36" s="1318"/>
      <c r="G36" s="1318"/>
      <c r="H36" s="1318"/>
      <c r="I36" s="1318"/>
      <c r="J36" s="1319"/>
      <c r="K36" s="227">
        <f t="shared" si="204"/>
        <v>0</v>
      </c>
      <c r="L36" s="227">
        <f t="shared" si="0"/>
        <v>0</v>
      </c>
      <c r="M36" s="1320"/>
      <c r="N36" s="1320"/>
      <c r="O36" s="1320"/>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5"/>
      <c r="C37" s="1316"/>
      <c r="D37" s="1317"/>
      <c r="E37" s="1318"/>
      <c r="F37" s="1318"/>
      <c r="G37" s="1318"/>
      <c r="H37" s="1318"/>
      <c r="I37" s="1318"/>
      <c r="J37" s="1319"/>
      <c r="K37" s="227">
        <f t="shared" si="204"/>
        <v>0</v>
      </c>
      <c r="L37" s="227">
        <f t="shared" si="0"/>
        <v>0</v>
      </c>
      <c r="M37" s="1320"/>
      <c r="N37" s="1320"/>
      <c r="O37" s="1320"/>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5"/>
      <c r="C38" s="1316"/>
      <c r="D38" s="1317"/>
      <c r="E38" s="1318"/>
      <c r="F38" s="1318"/>
      <c r="G38" s="1318"/>
      <c r="H38" s="1318"/>
      <c r="I38" s="1318"/>
      <c r="J38" s="1319"/>
      <c r="K38" s="227">
        <f>MAX(0,H38-I38)</f>
        <v>0</v>
      </c>
      <c r="L38" s="227">
        <f t="shared" si="0"/>
        <v>0</v>
      </c>
      <c r="M38" s="1320"/>
      <c r="N38" s="1320"/>
      <c r="O38" s="1320"/>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5"/>
      <c r="C39" s="1316"/>
      <c r="D39" s="1317"/>
      <c r="E39" s="1318"/>
      <c r="F39" s="1318"/>
      <c r="G39" s="1318"/>
      <c r="H39" s="1318"/>
      <c r="I39" s="1318"/>
      <c r="J39" s="1319"/>
      <c r="K39" s="227">
        <f t="shared" ref="K39:K46" si="205">MAX(0,H39-I39)</f>
        <v>0</v>
      </c>
      <c r="L39" s="227">
        <f t="shared" si="0"/>
        <v>0</v>
      </c>
      <c r="M39" s="1320"/>
      <c r="N39" s="1320"/>
      <c r="O39" s="1320"/>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5"/>
      <c r="C40" s="1316"/>
      <c r="D40" s="1317"/>
      <c r="E40" s="1318"/>
      <c r="F40" s="1318"/>
      <c r="G40" s="1318"/>
      <c r="H40" s="1318"/>
      <c r="I40" s="1318"/>
      <c r="J40" s="1319"/>
      <c r="K40" s="227">
        <f t="shared" si="205"/>
        <v>0</v>
      </c>
      <c r="L40" s="227">
        <f t="shared" si="0"/>
        <v>0</v>
      </c>
      <c r="M40" s="1320"/>
      <c r="N40" s="1320"/>
      <c r="O40" s="1320"/>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5"/>
      <c r="C41" s="1316"/>
      <c r="D41" s="1317"/>
      <c r="E41" s="1318"/>
      <c r="F41" s="1318"/>
      <c r="G41" s="1318"/>
      <c r="H41" s="1318"/>
      <c r="I41" s="1318"/>
      <c r="J41" s="1319"/>
      <c r="K41" s="227">
        <f t="shared" si="205"/>
        <v>0</v>
      </c>
      <c r="L41" s="227">
        <f t="shared" si="0"/>
        <v>0</v>
      </c>
      <c r="M41" s="1320"/>
      <c r="N41" s="1320"/>
      <c r="O41" s="1320"/>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5"/>
      <c r="C42" s="1316"/>
      <c r="D42" s="1317"/>
      <c r="E42" s="1318"/>
      <c r="F42" s="1318"/>
      <c r="G42" s="1318"/>
      <c r="H42" s="1318"/>
      <c r="I42" s="1318"/>
      <c r="J42" s="1319"/>
      <c r="K42" s="227">
        <f t="shared" si="205"/>
        <v>0</v>
      </c>
      <c r="L42" s="227">
        <f t="shared" si="0"/>
        <v>0</v>
      </c>
      <c r="M42" s="1320"/>
      <c r="N42" s="1320"/>
      <c r="O42" s="1320"/>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5"/>
      <c r="C43" s="1316"/>
      <c r="D43" s="1317"/>
      <c r="E43" s="1318"/>
      <c r="F43" s="1318"/>
      <c r="G43" s="1318"/>
      <c r="H43" s="1318"/>
      <c r="I43" s="1318"/>
      <c r="J43" s="1319"/>
      <c r="K43" s="227">
        <f t="shared" si="205"/>
        <v>0</v>
      </c>
      <c r="L43" s="227">
        <f t="shared" si="0"/>
        <v>0</v>
      </c>
      <c r="M43" s="1320"/>
      <c r="N43" s="1320"/>
      <c r="O43" s="1320"/>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5"/>
      <c r="C44" s="1316"/>
      <c r="D44" s="1317"/>
      <c r="E44" s="1318"/>
      <c r="F44" s="1318"/>
      <c r="G44" s="1318"/>
      <c r="H44" s="1318"/>
      <c r="I44" s="1318"/>
      <c r="J44" s="1319"/>
      <c r="K44" s="227">
        <f t="shared" si="205"/>
        <v>0</v>
      </c>
      <c r="L44" s="227">
        <f t="shared" si="0"/>
        <v>0</v>
      </c>
      <c r="M44" s="1320"/>
      <c r="N44" s="1320"/>
      <c r="O44" s="1320"/>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5"/>
      <c r="C45" s="1316"/>
      <c r="D45" s="1317"/>
      <c r="E45" s="1318"/>
      <c r="F45" s="1318"/>
      <c r="G45" s="1318"/>
      <c r="H45" s="1318"/>
      <c r="I45" s="1318"/>
      <c r="J45" s="1319"/>
      <c r="K45" s="227">
        <f t="shared" si="205"/>
        <v>0</v>
      </c>
      <c r="L45" s="227">
        <f t="shared" si="0"/>
        <v>0</v>
      </c>
      <c r="M45" s="1320"/>
      <c r="N45" s="1320"/>
      <c r="O45" s="1320"/>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5"/>
      <c r="C46" s="1316"/>
      <c r="D46" s="1317"/>
      <c r="E46" s="1318"/>
      <c r="F46" s="1318"/>
      <c r="G46" s="1318"/>
      <c r="H46" s="1318"/>
      <c r="I46" s="1318"/>
      <c r="J46" s="1319"/>
      <c r="K46" s="227">
        <f t="shared" si="205"/>
        <v>0</v>
      </c>
      <c r="L46" s="227">
        <f t="shared" si="0"/>
        <v>0</v>
      </c>
      <c r="M46" s="1320"/>
      <c r="N46" s="1320"/>
      <c r="O46" s="1320"/>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21"/>
      <c r="C47" s="1322"/>
      <c r="D47" s="1323"/>
      <c r="E47" s="1324"/>
      <c r="F47" s="1324"/>
      <c r="G47" s="1324"/>
      <c r="H47" s="1324"/>
      <c r="I47" s="1324"/>
      <c r="J47" s="1325"/>
      <c r="K47" s="228">
        <f t="shared" si="204"/>
        <v>0</v>
      </c>
      <c r="L47" s="228">
        <f t="shared" si="0"/>
        <v>0</v>
      </c>
      <c r="M47" s="1326"/>
      <c r="N47" s="1326"/>
      <c r="O47" s="1326"/>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37</v>
      </c>
      <c r="F48" s="171">
        <f>(E10*F10+E11*F11+E12*F12+E13*F13+E14*F14+E15*F15+E16*F16+E17*F17+E18*F18+E19*F19+E20*F20+E21*F21+E22*F22+E23*F23+E24*F24+E25*F25+E26*F26+E27*F27+E28*F28+E29*F29+E30*F30+E31*F31+E32*F32+E33*F33+E34*F34+E35*F35+E36*F36+E37*F37+E38*F38+E39*F39+E40*F40+E41*F41+E42*F42+E43*F43+E44*F44+E45*F45+E46*F46+E47*F47)</f>
        <v>51200</v>
      </c>
      <c r="G48" s="162"/>
      <c r="H48" s="163"/>
      <c r="I48" s="163"/>
      <c r="J48" s="163"/>
      <c r="K48" s="15" t="s">
        <v>2002</v>
      </c>
      <c r="L48" s="169">
        <f>SUM(L10:L47)</f>
        <v>20578</v>
      </c>
      <c r="M48" s="2"/>
      <c r="N48" s="42"/>
      <c r="O48" s="2"/>
      <c r="P48" s="122"/>
      <c r="Q48" s="122"/>
      <c r="R48" s="738"/>
      <c r="S48" s="446"/>
      <c r="T48" s="446">
        <f t="shared" ref="T48:CI48" si="206">SUM(T10:T47)</f>
        <v>0</v>
      </c>
      <c r="U48" s="446">
        <f t="shared" si="206"/>
        <v>0</v>
      </c>
      <c r="V48" s="446">
        <f t="shared" si="206"/>
        <v>0</v>
      </c>
      <c r="W48" s="446">
        <f t="shared" si="206"/>
        <v>21</v>
      </c>
      <c r="X48" s="446">
        <f t="shared" si="206"/>
        <v>10</v>
      </c>
      <c r="Y48" s="446">
        <f t="shared" si="206"/>
        <v>0</v>
      </c>
      <c r="Z48" s="446">
        <f t="shared" si="206"/>
        <v>0</v>
      </c>
      <c r="AA48" s="446">
        <f t="shared" si="206"/>
        <v>0</v>
      </c>
      <c r="AB48" s="446">
        <f t="shared" si="206"/>
        <v>4</v>
      </c>
      <c r="AC48" s="446">
        <f t="shared" si="206"/>
        <v>2</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0</v>
      </c>
      <c r="BZ48" s="446">
        <f t="shared" si="206"/>
        <v>26880</v>
      </c>
      <c r="CA48" s="446">
        <f t="shared" si="206"/>
        <v>16000</v>
      </c>
      <c r="CB48" s="446">
        <f t="shared" si="206"/>
        <v>0</v>
      </c>
      <c r="CC48" s="446">
        <f t="shared" si="206"/>
        <v>0</v>
      </c>
      <c r="CD48" s="446">
        <f t="shared" si="206"/>
        <v>0</v>
      </c>
      <c r="CE48" s="446">
        <f t="shared" si="206"/>
        <v>5120</v>
      </c>
      <c r="CF48" s="446">
        <f t="shared" si="206"/>
        <v>3200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25</v>
      </c>
      <c r="DE48" s="446">
        <f t="shared" si="208"/>
        <v>12</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0</v>
      </c>
      <c r="EW48" s="446">
        <f t="shared" si="209"/>
        <v>0</v>
      </c>
      <c r="EX48" s="446">
        <f t="shared" si="209"/>
        <v>0</v>
      </c>
      <c r="EY48" s="446">
        <f t="shared" si="209"/>
        <v>0</v>
      </c>
      <c r="EZ48" s="446">
        <f t="shared" si="209"/>
        <v>0</v>
      </c>
      <c r="FA48" s="446">
        <f t="shared" si="209"/>
        <v>0</v>
      </c>
      <c r="FB48" s="446">
        <f t="shared" si="209"/>
        <v>25</v>
      </c>
      <c r="FC48" s="446">
        <f t="shared" si="209"/>
        <v>12</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246936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2"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3"/>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0</v>
      </c>
      <c r="J57" s="381">
        <f>V48</f>
        <v>0</v>
      </c>
      <c r="K57" s="381">
        <f>W48</f>
        <v>21</v>
      </c>
      <c r="L57" s="381">
        <f>X48</f>
        <v>10</v>
      </c>
      <c r="M57" s="381">
        <f t="shared" ref="M57:M63" si="211">SUM(H57:L57)</f>
        <v>31</v>
      </c>
      <c r="N57" s="976" t="s">
        <v>1483</v>
      </c>
      <c r="O57" s="977"/>
      <c r="P57" s="739"/>
      <c r="Q57" s="680">
        <f t="shared" ref="Q57:Q63" si="212">ABS(M57-AD57)</f>
        <v>0</v>
      </c>
      <c r="S57" s="207"/>
      <c r="T57" s="447" t="s">
        <v>1778</v>
      </c>
      <c r="U57" s="447"/>
      <c r="V57" s="447"/>
      <c r="W57" s="447"/>
      <c r="X57" s="448" t="s">
        <v>1791</v>
      </c>
      <c r="Y57" s="449">
        <f>T48</f>
        <v>0</v>
      </c>
      <c r="Z57" s="449">
        <f>U48</f>
        <v>0</v>
      </c>
      <c r="AA57" s="449">
        <f>V48</f>
        <v>0</v>
      </c>
      <c r="AB57" s="449">
        <f>W48</f>
        <v>21</v>
      </c>
      <c r="AC57" s="449">
        <f>X48</f>
        <v>10</v>
      </c>
      <c r="AD57" s="449">
        <f t="shared" ref="AD57:AD63" si="213">SUM(Y57:AC57)</f>
        <v>31</v>
      </c>
      <c r="AE57" s="448" t="s">
        <v>1555</v>
      </c>
      <c r="AF57" s="122"/>
      <c r="GU57" s="172"/>
      <c r="HJ57" s="113"/>
    </row>
    <row r="58" spans="1:221" ht="15" customHeight="1">
      <c r="A58" s="963" t="s">
        <v>652</v>
      </c>
      <c r="B58" s="963"/>
      <c r="C58" s="5"/>
      <c r="D58" s="2"/>
      <c r="E58" s="2"/>
      <c r="F58" s="2"/>
      <c r="G58" s="46" t="s">
        <v>133</v>
      </c>
      <c r="H58" s="382">
        <f>Y48</f>
        <v>0</v>
      </c>
      <c r="I58" s="382">
        <f>Z48</f>
        <v>0</v>
      </c>
      <c r="J58" s="382">
        <f>AA48</f>
        <v>0</v>
      </c>
      <c r="K58" s="382">
        <f>AB48</f>
        <v>4</v>
      </c>
      <c r="L58" s="382">
        <f>AC48</f>
        <v>2</v>
      </c>
      <c r="M58" s="382">
        <f t="shared" si="211"/>
        <v>6</v>
      </c>
      <c r="N58" s="976"/>
      <c r="O58" s="977"/>
      <c r="P58" s="739"/>
      <c r="Q58" s="680">
        <f t="shared" si="212"/>
        <v>0</v>
      </c>
      <c r="S58" s="207"/>
      <c r="T58" s="231"/>
      <c r="U58" s="447"/>
      <c r="V58" s="447"/>
      <c r="W58" s="447"/>
      <c r="X58" s="448" t="s">
        <v>133</v>
      </c>
      <c r="Y58" s="449">
        <f>Y48</f>
        <v>0</v>
      </c>
      <c r="Z58" s="449">
        <f>Z48</f>
        <v>0</v>
      </c>
      <c r="AA58" s="449">
        <f>AA48</f>
        <v>0</v>
      </c>
      <c r="AB58" s="449">
        <f>AB48</f>
        <v>4</v>
      </c>
      <c r="AC58" s="449">
        <f>AC48</f>
        <v>2</v>
      </c>
      <c r="AD58" s="449">
        <f t="shared" si="213"/>
        <v>6</v>
      </c>
      <c r="AE58" s="448"/>
      <c r="AF58" s="122"/>
      <c r="GU58" s="172"/>
      <c r="HJ58" s="113"/>
    </row>
    <row r="59" spans="1:221" ht="15" customHeight="1">
      <c r="A59" s="963"/>
      <c r="B59" s="963"/>
      <c r="C59" s="5"/>
      <c r="D59" s="2"/>
      <c r="E59" s="2"/>
      <c r="F59" s="2"/>
      <c r="G59" s="46" t="s">
        <v>832</v>
      </c>
      <c r="H59" s="383">
        <f>SUM(H57:H58)</f>
        <v>0</v>
      </c>
      <c r="I59" s="383">
        <f>SUM(I57:I58)</f>
        <v>0</v>
      </c>
      <c r="J59" s="383">
        <f>SUM(J57:J58)</f>
        <v>0</v>
      </c>
      <c r="K59" s="383">
        <f>SUM(K57:K58)</f>
        <v>25</v>
      </c>
      <c r="L59" s="383">
        <f>SUM(L57:L58)</f>
        <v>12</v>
      </c>
      <c r="M59" s="383">
        <f t="shared" si="211"/>
        <v>37</v>
      </c>
      <c r="N59" s="386"/>
      <c r="O59" s="113"/>
      <c r="Q59" s="680">
        <f t="shared" si="212"/>
        <v>0</v>
      </c>
      <c r="S59" s="207"/>
      <c r="T59" s="231"/>
      <c r="U59" s="447"/>
      <c r="V59" s="447"/>
      <c r="W59" s="447"/>
      <c r="X59" s="448" t="s">
        <v>832</v>
      </c>
      <c r="Y59" s="449">
        <f>SUM(Y57:Y58)</f>
        <v>0</v>
      </c>
      <c r="Z59" s="449">
        <f>SUM(Z57:Z58)</f>
        <v>0</v>
      </c>
      <c r="AA59" s="449">
        <f>SUM(AA57:AA58)</f>
        <v>0</v>
      </c>
      <c r="AB59" s="449">
        <f>SUM(AB57:AB58)</f>
        <v>25</v>
      </c>
      <c r="AC59" s="449">
        <f>SUM(AC57:AC58)</f>
        <v>12</v>
      </c>
      <c r="AD59" s="449">
        <f t="shared" si="213"/>
        <v>37</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1779</v>
      </c>
      <c r="D61" s="2"/>
      <c r="E61" s="2"/>
      <c r="F61" s="2"/>
      <c r="G61" s="46"/>
      <c r="H61" s="383">
        <f>SUM(H59:H60)</f>
        <v>0</v>
      </c>
      <c r="I61" s="383">
        <f>SUM(I59:I60)</f>
        <v>0</v>
      </c>
      <c r="J61" s="383">
        <f>SUM(J59:J60)</f>
        <v>0</v>
      </c>
      <c r="K61" s="383">
        <f>SUM(K59:K60)</f>
        <v>25</v>
      </c>
      <c r="L61" s="383">
        <f>SUM(L59:L60)</f>
        <v>12</v>
      </c>
      <c r="M61" s="383">
        <f t="shared" si="211"/>
        <v>37</v>
      </c>
      <c r="N61" s="68"/>
      <c r="O61" s="113"/>
      <c r="Q61" s="680">
        <f t="shared" si="212"/>
        <v>0</v>
      </c>
      <c r="S61" s="207"/>
      <c r="T61" s="447" t="s">
        <v>1779</v>
      </c>
      <c r="U61" s="447"/>
      <c r="V61" s="447"/>
      <c r="W61" s="447"/>
      <c r="X61" s="448"/>
      <c r="Y61" s="449">
        <f>SUM(Y59:Y60)</f>
        <v>0</v>
      </c>
      <c r="Z61" s="449">
        <f>SUM(Z59:Z60)</f>
        <v>0</v>
      </c>
      <c r="AA61" s="449">
        <f>SUM(AA59:AA60)</f>
        <v>0</v>
      </c>
      <c r="AB61" s="449">
        <f>SUM(AB59:AB60)</f>
        <v>25</v>
      </c>
      <c r="AC61" s="449">
        <f>SUM(AC59:AC60)</f>
        <v>12</v>
      </c>
      <c r="AD61" s="449">
        <f t="shared" si="213"/>
        <v>37</v>
      </c>
      <c r="AE61" s="450"/>
      <c r="AF61" s="122"/>
      <c r="GU61" s="172"/>
      <c r="HJ61" s="113"/>
    </row>
    <row r="62" spans="1:221" ht="15" customHeight="1">
      <c r="A62" s="963"/>
      <c r="B62" s="963"/>
      <c r="C62" s="2" t="s">
        <v>3796</v>
      </c>
      <c r="D62" s="2"/>
      <c r="E62" s="2"/>
      <c r="F62" s="2"/>
      <c r="G62" s="46"/>
      <c r="H62" s="383">
        <f>BR48</f>
        <v>0</v>
      </c>
      <c r="I62" s="383">
        <f>BS48</f>
        <v>0</v>
      </c>
      <c r="J62" s="383">
        <f>BT48</f>
        <v>0</v>
      </c>
      <c r="K62" s="383">
        <f>BU48</f>
        <v>0</v>
      </c>
      <c r="L62" s="383">
        <f>BV48</f>
        <v>0</v>
      </c>
      <c r="M62" s="383">
        <f t="shared" si="211"/>
        <v>0</v>
      </c>
      <c r="N62" s="65" t="s">
        <v>3327</v>
      </c>
      <c r="O62" s="113"/>
      <c r="Q62" s="680">
        <f t="shared" si="212"/>
        <v>0</v>
      </c>
      <c r="S62" s="207"/>
      <c r="T62" s="447" t="s">
        <v>3796</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63"/>
      <c r="B63" s="963"/>
      <c r="C63" s="2" t="s">
        <v>832</v>
      </c>
      <c r="D63" s="2"/>
      <c r="E63" s="2"/>
      <c r="F63" s="2"/>
      <c r="G63" s="46"/>
      <c r="H63" s="383">
        <f>SUM(H61:H62)</f>
        <v>0</v>
      </c>
      <c r="I63" s="383">
        <f>SUM(I61:I62)</f>
        <v>0</v>
      </c>
      <c r="J63" s="383">
        <f>SUM(J61:J62)</f>
        <v>0</v>
      </c>
      <c r="K63" s="383">
        <f>SUM(K61:K62)</f>
        <v>25</v>
      </c>
      <c r="L63" s="383">
        <f>SUM(L61:L62)</f>
        <v>12</v>
      </c>
      <c r="M63" s="383">
        <f t="shared" si="211"/>
        <v>37</v>
      </c>
      <c r="O63" s="113"/>
      <c r="Q63" s="680">
        <f t="shared" si="212"/>
        <v>0</v>
      </c>
      <c r="S63" s="207"/>
      <c r="T63" s="447" t="s">
        <v>832</v>
      </c>
      <c r="U63" s="447"/>
      <c r="V63" s="447"/>
      <c r="W63" s="447"/>
      <c r="X63" s="448"/>
      <c r="Y63" s="449">
        <f>SUM(Y61:Y62)</f>
        <v>0</v>
      </c>
      <c r="Z63" s="449">
        <f>SUM(Z61:Z62)</f>
        <v>0</v>
      </c>
      <c r="AA63" s="449">
        <f>SUM(AA61:AA62)</f>
        <v>0</v>
      </c>
      <c r="AB63" s="449">
        <f>SUM(AB61:AB62)</f>
        <v>25</v>
      </c>
      <c r="AC63" s="449">
        <f>SUM(AC61:AC62)</f>
        <v>12</v>
      </c>
      <c r="AD63" s="449">
        <f t="shared" si="213"/>
        <v>37</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3797</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3797</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3434</v>
      </c>
      <c r="F73" s="2"/>
      <c r="G73" s="46" t="s">
        <v>2154</v>
      </c>
      <c r="H73" s="381">
        <f>DA48</f>
        <v>0</v>
      </c>
      <c r="I73" s="381">
        <f>DB48</f>
        <v>0</v>
      </c>
      <c r="J73" s="381">
        <f>DC48</f>
        <v>0</v>
      </c>
      <c r="K73" s="381">
        <f>DD48</f>
        <v>25</v>
      </c>
      <c r="L73" s="381">
        <f>DE48</f>
        <v>12</v>
      </c>
      <c r="M73" s="381">
        <f t="shared" ref="M73:M83" si="214">SUM(H73:L73)</f>
        <v>37</v>
      </c>
      <c r="N73" s="31"/>
      <c r="O73" s="113"/>
      <c r="Q73" s="680">
        <f t="shared" ref="Q73:Q81" si="215">ABS(M73-AD73)</f>
        <v>0</v>
      </c>
      <c r="S73" s="207"/>
      <c r="T73" s="447"/>
      <c r="U73" s="447"/>
      <c r="V73" s="451" t="s">
        <v>3434</v>
      </c>
      <c r="W73" s="447"/>
      <c r="X73" s="448" t="s">
        <v>2154</v>
      </c>
      <c r="Y73" s="449">
        <f>DA48</f>
        <v>0</v>
      </c>
      <c r="Z73" s="449">
        <f>DB48</f>
        <v>0</v>
      </c>
      <c r="AA73" s="449">
        <f>DC48</f>
        <v>0</v>
      </c>
      <c r="AB73" s="449">
        <f>DD48</f>
        <v>25</v>
      </c>
      <c r="AC73" s="449">
        <f>DE48</f>
        <v>12</v>
      </c>
      <c r="AD73" s="449">
        <f t="shared" ref="AD73:AD81" si="216">SUM(Y73:AC73)</f>
        <v>37</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25</v>
      </c>
      <c r="L75" s="383">
        <f>SUM(L73:L74)+DO48</f>
        <v>12</v>
      </c>
      <c r="M75" s="383">
        <f t="shared" si="214"/>
        <v>37</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25</v>
      </c>
      <c r="AC75" s="449">
        <f>SUM(AC73:AC74)+DO48</f>
        <v>12</v>
      </c>
      <c r="AD75" s="449">
        <f t="shared" si="216"/>
        <v>37</v>
      </c>
      <c r="AE75" s="448"/>
      <c r="AF75" s="122"/>
      <c r="GU75" s="172"/>
      <c r="HJ75" s="113"/>
    </row>
    <row r="76" spans="1:218" ht="15" customHeight="1">
      <c r="A76" s="963"/>
      <c r="B76" s="963"/>
      <c r="C76" s="2"/>
      <c r="D76" s="2"/>
      <c r="E76" s="140" t="s">
        <v>3236</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3236</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7"/>
      <c r="I82" s="1327"/>
      <c r="J82" s="1327"/>
      <c r="K82" s="1327"/>
      <c r="L82" s="1327"/>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8"/>
      <c r="I83" s="1328"/>
      <c r="J83" s="1328"/>
      <c r="K83" s="1328"/>
      <c r="L83" s="1328"/>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0</v>
      </c>
      <c r="K85" s="381">
        <f>EW48</f>
        <v>0</v>
      </c>
      <c r="L85" s="381">
        <f>EX48</f>
        <v>0</v>
      </c>
      <c r="M85" s="381">
        <f>SUM(H85:L85)</f>
        <v>0</v>
      </c>
      <c r="N85" s="31"/>
      <c r="O85" s="113"/>
      <c r="Q85" s="680">
        <f>ABS(M85-AD85)</f>
        <v>0</v>
      </c>
      <c r="S85" s="207"/>
      <c r="T85" s="122"/>
      <c r="U85" s="122"/>
      <c r="V85" s="451" t="s">
        <v>46</v>
      </c>
      <c r="W85" s="122"/>
      <c r="X85" s="448"/>
      <c r="Y85" s="449">
        <f>ET48</f>
        <v>0</v>
      </c>
      <c r="Z85" s="449">
        <f>EU48</f>
        <v>0</v>
      </c>
      <c r="AA85" s="449">
        <f>EV48</f>
        <v>0</v>
      </c>
      <c r="AB85" s="449">
        <f>EW48</f>
        <v>0</v>
      </c>
      <c r="AC85" s="449">
        <f>EX48</f>
        <v>0</v>
      </c>
      <c r="AD85" s="449">
        <f>SUM(Y85:AC85)</f>
        <v>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25</v>
      </c>
      <c r="L86" s="382">
        <f>FC48</f>
        <v>12</v>
      </c>
      <c r="M86" s="382">
        <f>SUM(H86:L86)</f>
        <v>37</v>
      </c>
      <c r="N86" s="68"/>
      <c r="O86" s="113"/>
      <c r="Q86" s="680">
        <f>ABS(M86-AD86)</f>
        <v>0</v>
      </c>
      <c r="S86" s="207"/>
      <c r="T86" s="122"/>
      <c r="U86" s="122"/>
      <c r="V86" s="451" t="s">
        <v>47</v>
      </c>
      <c r="W86" s="122"/>
      <c r="X86" s="448"/>
      <c r="Y86" s="449">
        <f>EY48</f>
        <v>0</v>
      </c>
      <c r="Z86" s="449">
        <f>EZ48</f>
        <v>0</v>
      </c>
      <c r="AA86" s="449">
        <f>FA48</f>
        <v>0</v>
      </c>
      <c r="AB86" s="449">
        <f>FB48</f>
        <v>25</v>
      </c>
      <c r="AC86" s="449">
        <f>FC48</f>
        <v>12</v>
      </c>
      <c r="AD86" s="449">
        <f>SUM(Y86:AC86)</f>
        <v>37</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1791</v>
      </c>
      <c r="H92" s="223">
        <f>BW48</f>
        <v>0</v>
      </c>
      <c r="I92" s="223">
        <f>BX48</f>
        <v>0</v>
      </c>
      <c r="J92" s="223">
        <f>BY48</f>
        <v>0</v>
      </c>
      <c r="K92" s="223">
        <f>BZ48</f>
        <v>26880</v>
      </c>
      <c r="L92" s="223">
        <f>CA48</f>
        <v>16000</v>
      </c>
      <c r="M92" s="223">
        <f t="shared" ref="M92:M98" si="217">SUM(H92:L92)</f>
        <v>42880</v>
      </c>
      <c r="O92" s="113"/>
      <c r="Q92" s="680">
        <f t="shared" ref="Q92:Q98" si="218">ABS(M92-AD92)</f>
        <v>0</v>
      </c>
      <c r="S92" s="207"/>
      <c r="T92" s="447" t="s">
        <v>3235</v>
      </c>
      <c r="U92" s="447"/>
      <c r="V92" s="447"/>
      <c r="W92" s="447"/>
      <c r="X92" s="448" t="s">
        <v>1791</v>
      </c>
      <c r="Y92" s="449">
        <f>BW48</f>
        <v>0</v>
      </c>
      <c r="Z92" s="449">
        <f>BX48</f>
        <v>0</v>
      </c>
      <c r="AA92" s="449">
        <f>BY48</f>
        <v>0</v>
      </c>
      <c r="AB92" s="449">
        <f>BZ48</f>
        <v>26880</v>
      </c>
      <c r="AC92" s="449">
        <f>CA48</f>
        <v>16000</v>
      </c>
      <c r="AD92" s="449">
        <f t="shared" ref="AD92:AD98" si="219">SUM(Y92:AC92)</f>
        <v>42880</v>
      </c>
      <c r="AE92" s="207"/>
      <c r="AF92" s="122"/>
      <c r="GU92" s="172"/>
      <c r="HJ92" s="113"/>
    </row>
    <row r="93" spans="1:218" ht="15" customHeight="1">
      <c r="C93" s="5"/>
      <c r="D93" s="2"/>
      <c r="E93" s="2"/>
      <c r="F93" s="2"/>
      <c r="G93" s="46" t="s">
        <v>133</v>
      </c>
      <c r="H93" s="225">
        <f>CB48</f>
        <v>0</v>
      </c>
      <c r="I93" s="225">
        <f>CC48</f>
        <v>0</v>
      </c>
      <c r="J93" s="225">
        <f>CD48</f>
        <v>0</v>
      </c>
      <c r="K93" s="225">
        <f>CE48</f>
        <v>5120</v>
      </c>
      <c r="L93" s="225">
        <f>CF48</f>
        <v>3200</v>
      </c>
      <c r="M93" s="225">
        <f t="shared" si="217"/>
        <v>8320</v>
      </c>
      <c r="N93" s="6"/>
      <c r="O93" s="113"/>
      <c r="Q93" s="680">
        <f t="shared" si="218"/>
        <v>0</v>
      </c>
      <c r="S93" s="207"/>
      <c r="T93" s="231"/>
      <c r="U93" s="447"/>
      <c r="V93" s="447"/>
      <c r="W93" s="447"/>
      <c r="X93" s="448" t="s">
        <v>133</v>
      </c>
      <c r="Y93" s="449">
        <f>CB48</f>
        <v>0</v>
      </c>
      <c r="Z93" s="449">
        <f>CC48</f>
        <v>0</v>
      </c>
      <c r="AA93" s="449">
        <f>CD48</f>
        <v>0</v>
      </c>
      <c r="AB93" s="449">
        <f>CE48</f>
        <v>5120</v>
      </c>
      <c r="AC93" s="449">
        <f>CF48</f>
        <v>3200</v>
      </c>
      <c r="AD93" s="449">
        <f t="shared" si="219"/>
        <v>8320</v>
      </c>
      <c r="AE93" s="447"/>
      <c r="AF93" s="122"/>
      <c r="GU93" s="172"/>
      <c r="HJ93" s="113"/>
    </row>
    <row r="94" spans="1:218" ht="15" customHeight="1">
      <c r="C94" s="5"/>
      <c r="D94" s="2"/>
      <c r="E94" s="2"/>
      <c r="F94" s="2"/>
      <c r="G94" s="46" t="s">
        <v>832</v>
      </c>
      <c r="H94" s="222">
        <f>SUM(H92:H93)</f>
        <v>0</v>
      </c>
      <c r="I94" s="222">
        <f>SUM(I92:I93)</f>
        <v>0</v>
      </c>
      <c r="J94" s="222">
        <f>SUM(J92:J93)</f>
        <v>0</v>
      </c>
      <c r="K94" s="222">
        <f>SUM(K92:K93)</f>
        <v>32000</v>
      </c>
      <c r="L94" s="222">
        <f>SUM(L92:L93)</f>
        <v>19200</v>
      </c>
      <c r="M94" s="222">
        <f t="shared" si="217"/>
        <v>51200</v>
      </c>
      <c r="N94" s="6"/>
      <c r="O94" s="113"/>
      <c r="Q94" s="680">
        <f t="shared" si="218"/>
        <v>0</v>
      </c>
      <c r="S94" s="207"/>
      <c r="T94" s="231"/>
      <c r="U94" s="447"/>
      <c r="V94" s="447"/>
      <c r="W94" s="447"/>
      <c r="X94" s="448" t="s">
        <v>832</v>
      </c>
      <c r="Y94" s="449">
        <f>SUM(Y92:Y93)</f>
        <v>0</v>
      </c>
      <c r="Z94" s="449">
        <f>SUM(Z92:Z93)</f>
        <v>0</v>
      </c>
      <c r="AA94" s="449">
        <f>SUM(AA92:AA93)</f>
        <v>0</v>
      </c>
      <c r="AB94" s="449">
        <f>SUM(AB92:AB93)</f>
        <v>32000</v>
      </c>
      <c r="AC94" s="449">
        <f>SUM(AC92:AC93)</f>
        <v>19200</v>
      </c>
      <c r="AD94" s="449">
        <f t="shared" si="219"/>
        <v>51200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0</v>
      </c>
      <c r="J96" s="222">
        <f>SUM(J94:J95)</f>
        <v>0</v>
      </c>
      <c r="K96" s="222">
        <f>SUM(K94:K95)</f>
        <v>32000</v>
      </c>
      <c r="L96" s="222">
        <f>SUM(L94:L95)</f>
        <v>19200</v>
      </c>
      <c r="M96" s="222">
        <f t="shared" si="217"/>
        <v>51200</v>
      </c>
      <c r="O96" s="113"/>
      <c r="Q96" s="680">
        <f t="shared" si="218"/>
        <v>0</v>
      </c>
      <c r="S96" s="207"/>
      <c r="T96" s="447" t="s">
        <v>1779</v>
      </c>
      <c r="U96" s="447"/>
      <c r="V96" s="447"/>
      <c r="W96" s="447"/>
      <c r="X96" s="447"/>
      <c r="Y96" s="449">
        <f>SUM(Y94:Y95)</f>
        <v>0</v>
      </c>
      <c r="Z96" s="449">
        <f>SUM(Z94:Z95)</f>
        <v>0</v>
      </c>
      <c r="AA96" s="449">
        <f>SUM(AA94:AA95)</f>
        <v>0</v>
      </c>
      <c r="AB96" s="449">
        <f>SUM(AB94:AB95)</f>
        <v>32000</v>
      </c>
      <c r="AC96" s="449">
        <f>SUM(AC94:AC95)</f>
        <v>19200</v>
      </c>
      <c r="AD96" s="449">
        <f t="shared" si="219"/>
        <v>51200</v>
      </c>
      <c r="AE96" s="207"/>
      <c r="AF96" s="122"/>
      <c r="GU96" s="172"/>
      <c r="HJ96" s="113"/>
    </row>
    <row r="97" spans="1:220" ht="15" customHeight="1">
      <c r="C97" s="6" t="s">
        <v>3796</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0</v>
      </c>
      <c r="J98" s="222">
        <f>SUM(J96:J97)</f>
        <v>0</v>
      </c>
      <c r="K98" s="222">
        <f>SUM(K96:K97)</f>
        <v>32000</v>
      </c>
      <c r="L98" s="222">
        <f>SUM(L96:L97)</f>
        <v>19200</v>
      </c>
      <c r="M98" s="222">
        <f t="shared" si="217"/>
        <v>51200</v>
      </c>
      <c r="O98" s="113"/>
      <c r="Q98" s="680">
        <f t="shared" si="218"/>
        <v>0</v>
      </c>
      <c r="S98" s="207"/>
      <c r="T98" s="447" t="s">
        <v>832</v>
      </c>
      <c r="U98" s="447"/>
      <c r="V98" s="447"/>
      <c r="W98" s="447"/>
      <c r="X98" s="447"/>
      <c r="Y98" s="449">
        <f>SUM(Y96:Y97)</f>
        <v>0</v>
      </c>
      <c r="Z98" s="449">
        <f>SUM(Z96:Z97)</f>
        <v>0</v>
      </c>
      <c r="AA98" s="449">
        <f>SUM(AA96:AA97)</f>
        <v>0</v>
      </c>
      <c r="AB98" s="449">
        <f>SUM(AB96:AB97)</f>
        <v>32000</v>
      </c>
      <c r="AC98" s="449">
        <f>SUM(AC96:AC97)</f>
        <v>19200</v>
      </c>
      <c r="AD98" s="449">
        <f t="shared" si="219"/>
        <v>51200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4">
        <f>0.02*L49</f>
        <v>4938.72</v>
      </c>
      <c r="H102" s="975"/>
      <c r="I102" s="145" t="s">
        <v>3751</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1633</v>
      </c>
      <c r="G107" s="1329"/>
      <c r="H107" s="1329"/>
      <c r="I107" s="1329"/>
      <c r="J107" s="1329"/>
      <c r="K107" s="1330"/>
      <c r="L107" s="1329"/>
      <c r="M107" s="1329"/>
      <c r="N107" s="1329"/>
      <c r="O107" s="1329"/>
      <c r="P107" s="1329"/>
    </row>
    <row r="108" spans="1:220" ht="15" customHeight="1">
      <c r="B108" s="9" t="s">
        <v>1230</v>
      </c>
      <c r="C108" s="1331"/>
      <c r="D108" s="1332"/>
      <c r="E108" s="1332"/>
      <c r="F108" s="1333"/>
      <c r="G108" s="1334"/>
      <c r="H108" s="1334"/>
      <c r="I108" s="1334"/>
      <c r="J108" s="1334"/>
      <c r="K108" s="1335"/>
      <c r="L108" s="1334"/>
      <c r="M108" s="1334"/>
      <c r="N108" s="1334"/>
      <c r="O108" s="1334"/>
      <c r="P108" s="1334"/>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9"/>
      <c r="H113" s="1329"/>
      <c r="I113" s="1329"/>
      <c r="J113" s="1329"/>
      <c r="K113" s="1330"/>
      <c r="L113" s="1329"/>
      <c r="M113" s="1329"/>
      <c r="N113" s="1329"/>
      <c r="O113" s="1329"/>
      <c r="P113" s="1329"/>
    </row>
    <row r="114" spans="2:16" ht="15" customHeight="1">
      <c r="B114" s="9" t="s">
        <v>1230</v>
      </c>
      <c r="C114" s="1331"/>
      <c r="D114" s="1332"/>
      <c r="E114" s="1332"/>
      <c r="F114" s="1333"/>
      <c r="G114" s="1334"/>
      <c r="H114" s="1334"/>
      <c r="I114" s="1334"/>
      <c r="J114" s="1334"/>
      <c r="K114" s="1335"/>
      <c r="L114" s="1334"/>
      <c r="M114" s="1334"/>
      <c r="N114" s="1334"/>
      <c r="O114" s="1334"/>
      <c r="P114" s="1334"/>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9"/>
      <c r="H118" s="1329"/>
      <c r="I118" s="1329"/>
      <c r="J118" s="1329"/>
      <c r="K118" s="1330"/>
      <c r="L118" s="1329"/>
      <c r="M118" s="1329"/>
      <c r="N118" s="1329"/>
      <c r="O118" s="1329"/>
      <c r="P118" s="1329"/>
    </row>
    <row r="119" spans="2:16" ht="15" customHeight="1">
      <c r="B119" s="9" t="s">
        <v>1230</v>
      </c>
      <c r="C119" s="1331"/>
      <c r="D119" s="1332"/>
      <c r="E119" s="1332"/>
      <c r="F119" s="1333"/>
      <c r="G119" s="1334"/>
      <c r="H119" s="1334"/>
      <c r="I119" s="1334"/>
      <c r="J119" s="1334"/>
      <c r="K119" s="1335"/>
      <c r="L119" s="1334"/>
      <c r="M119" s="1334"/>
      <c r="N119" s="1334"/>
      <c r="O119" s="1334"/>
      <c r="P119" s="1334"/>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9"/>
      <c r="H124" s="1329"/>
      <c r="I124" s="1329"/>
      <c r="J124" s="1329"/>
      <c r="K124" s="1330"/>
      <c r="L124" s="1329"/>
      <c r="M124" s="1329"/>
      <c r="N124" s="1329"/>
      <c r="O124" s="1329"/>
      <c r="P124" s="1329"/>
    </row>
    <row r="125" spans="2:16" ht="15" customHeight="1">
      <c r="B125" s="9" t="s">
        <v>1230</v>
      </c>
      <c r="C125" s="1331"/>
      <c r="D125" s="1332"/>
      <c r="E125" s="1332"/>
      <c r="F125" s="1333"/>
      <c r="G125" s="1334"/>
      <c r="H125" s="1334"/>
      <c r="I125" s="1334"/>
      <c r="J125" s="1334"/>
      <c r="K125" s="1335"/>
      <c r="L125" s="1334"/>
      <c r="M125" s="1334"/>
      <c r="N125" s="1334"/>
      <c r="O125" s="1334"/>
      <c r="P125" s="1334"/>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9"/>
      <c r="H129" s="1329"/>
      <c r="I129" s="1329"/>
      <c r="J129" s="1329"/>
      <c r="K129" s="1330"/>
      <c r="L129" s="1329"/>
      <c r="M129" s="1329"/>
      <c r="N129" s="1329"/>
      <c r="O129" s="1329"/>
      <c r="P129" s="1329"/>
    </row>
    <row r="130" spans="1:219" ht="15" customHeight="1">
      <c r="B130" s="9" t="s">
        <v>1230</v>
      </c>
      <c r="C130" s="1331"/>
      <c r="D130" s="1332"/>
      <c r="E130" s="1332"/>
      <c r="F130" s="1333"/>
      <c r="G130" s="1334"/>
      <c r="H130" s="1334"/>
      <c r="I130" s="1334"/>
      <c r="J130" s="1334"/>
      <c r="K130" s="1335"/>
      <c r="L130" s="1334"/>
      <c r="M130" s="1334"/>
      <c r="N130" s="1334"/>
      <c r="O130" s="1334"/>
      <c r="P130" s="1334"/>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9"/>
      <c r="H135" s="1329"/>
      <c r="I135" s="1329"/>
      <c r="J135" s="1329"/>
      <c r="K135" s="1330"/>
      <c r="L135" s="1329"/>
      <c r="M135" s="1329"/>
      <c r="N135" s="1329"/>
      <c r="O135" s="1329"/>
      <c r="P135" s="1329"/>
    </row>
    <row r="136" spans="1:219" ht="15" customHeight="1">
      <c r="B136" s="9" t="s">
        <v>1230</v>
      </c>
      <c r="C136" s="1331"/>
      <c r="D136" s="1332"/>
      <c r="E136" s="1332"/>
      <c r="F136" s="1333"/>
      <c r="G136" s="1334"/>
      <c r="H136" s="1334"/>
      <c r="I136" s="1334"/>
      <c r="J136" s="1334"/>
      <c r="K136" s="1335"/>
      <c r="L136" s="1334"/>
      <c r="M136" s="1334"/>
      <c r="N136" s="1334"/>
      <c r="O136" s="1334"/>
      <c r="P136" s="1334"/>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2822</v>
      </c>
      <c r="B139" s="710" t="s">
        <v>1635</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6">
        <v>29916</v>
      </c>
      <c r="G142" s="1337"/>
      <c r="H142" s="2"/>
      <c r="I142" s="2" t="s">
        <v>2080</v>
      </c>
      <c r="J142" s="2"/>
      <c r="K142" s="1336"/>
      <c r="L142" s="1337"/>
      <c r="M142" s="2"/>
      <c r="N142" s="2" t="s">
        <v>1524</v>
      </c>
      <c r="O142" s="2"/>
      <c r="P142" s="1338">
        <v>25511</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6">
        <v>24741</v>
      </c>
      <c r="G143" s="1337"/>
      <c r="H143" s="2"/>
      <c r="I143" s="2" t="s">
        <v>2081</v>
      </c>
      <c r="J143" s="2"/>
      <c r="K143" s="1336">
        <v>1020</v>
      </c>
      <c r="L143" s="1337"/>
      <c r="M143" s="2"/>
      <c r="N143" s="2" t="s">
        <v>200</v>
      </c>
      <c r="O143" s="2"/>
      <c r="P143" s="1338">
        <v>9056</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6"/>
      <c r="G144" s="1337"/>
      <c r="H144" s="2"/>
      <c r="I144" s="2"/>
      <c r="J144" s="168" t="s">
        <v>249</v>
      </c>
      <c r="K144" s="970">
        <f>SUM(K142:L143)</f>
        <v>1020</v>
      </c>
      <c r="L144" s="971"/>
      <c r="M144" s="2"/>
      <c r="N144" s="1339" t="s">
        <v>60</v>
      </c>
      <c r="O144" s="1340"/>
      <c r="P144" s="1341"/>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42" t="s">
        <v>60</v>
      </c>
      <c r="C145" s="1343"/>
      <c r="D145" s="1343"/>
      <c r="E145" s="1344"/>
      <c r="F145" s="1345"/>
      <c r="G145" s="1346"/>
      <c r="H145" s="2"/>
      <c r="I145" s="2"/>
      <c r="J145" s="2"/>
      <c r="K145" s="2"/>
      <c r="L145" s="2"/>
      <c r="M145" s="2"/>
      <c r="N145" s="13" t="s">
        <v>249</v>
      </c>
      <c r="O145" s="2"/>
      <c r="P145" s="665">
        <f>SUM(P142:P144)</f>
        <v>34567</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54657</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14055</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6">
        <v>1110</v>
      </c>
      <c r="G149" s="1337"/>
      <c r="H149" s="2"/>
      <c r="I149" s="2" t="s">
        <v>2364</v>
      </c>
      <c r="J149" s="2"/>
      <c r="K149" s="1347">
        <v>888</v>
      </c>
      <c r="L149" s="1348"/>
      <c r="M149" s="2"/>
      <c r="N149" s="610">
        <f>+P148/(M63*0.93)</f>
        <v>408.45684394071486</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6">
        <v>3600</v>
      </c>
      <c r="G150" s="1337"/>
      <c r="H150" s="2"/>
      <c r="I150" s="2" t="s">
        <v>3139</v>
      </c>
      <c r="J150" s="2"/>
      <c r="K150" s="1349">
        <v>6500</v>
      </c>
      <c r="L150" s="1350"/>
      <c r="M150" s="2"/>
      <c r="N150" s="610">
        <f>+P148/(M63*0.93)/12</f>
        <v>34.038070328392905</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6">
        <v>270</v>
      </c>
      <c r="G151" s="1337"/>
      <c r="H151" s="2"/>
      <c r="I151" s="2" t="s">
        <v>2365</v>
      </c>
      <c r="J151" s="2"/>
      <c r="K151" s="1349">
        <v>247</v>
      </c>
      <c r="L151" s="1350"/>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6"/>
      <c r="G152" s="1337"/>
      <c r="H152" s="2"/>
      <c r="I152" s="1339" t="s">
        <v>3959</v>
      </c>
      <c r="J152" s="1340"/>
      <c r="K152" s="1347">
        <v>347</v>
      </c>
      <c r="L152" s="1348"/>
      <c r="M152" s="2"/>
      <c r="N152" s="978" t="s">
        <v>3731</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6">
        <v>493</v>
      </c>
      <c r="G153" s="1337"/>
      <c r="H153" s="2"/>
      <c r="I153" s="11"/>
      <c r="J153" s="13" t="s">
        <v>249</v>
      </c>
      <c r="K153" s="968">
        <f>SUM(K149:K152)</f>
        <v>7982</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42" t="s">
        <v>3957</v>
      </c>
      <c r="C154" s="1343"/>
      <c r="D154" s="1343"/>
      <c r="E154" s="1344"/>
      <c r="F154" s="1345">
        <v>1870</v>
      </c>
      <c r="G154" s="1346"/>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7343</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6"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51">
        <v>2775</v>
      </c>
      <c r="G158" s="1352"/>
      <c r="H158" s="2"/>
      <c r="I158" s="2" t="s">
        <v>2070</v>
      </c>
      <c r="J158" s="662">
        <f>K158/12/$M$63</f>
        <v>20</v>
      </c>
      <c r="K158" s="1349">
        <v>8880</v>
      </c>
      <c r="L158" s="1350"/>
      <c r="M158" s="2"/>
      <c r="N158" s="368">
        <f>+$P$158/$M$63</f>
        <v>4350.0270270270266</v>
      </c>
      <c r="O158" s="30" t="s">
        <v>2110</v>
      </c>
      <c r="P158" s="663">
        <f>F146+F155+F166+K144+K153+K163+P145+P148</f>
        <v>160951</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51"/>
      <c r="G159" s="1352"/>
      <c r="H159" s="2"/>
      <c r="I159" s="2" t="s">
        <v>2071</v>
      </c>
      <c r="J159" s="662">
        <f>K159/12/$M$63</f>
        <v>0</v>
      </c>
      <c r="K159" s="1349"/>
      <c r="L159" s="1350"/>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51">
        <v>16300</v>
      </c>
      <c r="G160" s="1352"/>
      <c r="H160" s="2"/>
      <c r="I160" s="2" t="s">
        <v>3552</v>
      </c>
      <c r="J160" s="662">
        <f>K160/12/$M$63</f>
        <v>2.5</v>
      </c>
      <c r="K160" s="1349">
        <v>1110</v>
      </c>
      <c r="L160" s="1350"/>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6">
        <v>4626</v>
      </c>
      <c r="G161" s="1337"/>
      <c r="H161" s="2"/>
      <c r="I161" s="2" t="s">
        <v>2073</v>
      </c>
      <c r="J161" s="2"/>
      <c r="K161" s="1349">
        <v>480</v>
      </c>
      <c r="L161" s="1350"/>
      <c r="M161" s="2"/>
      <c r="N161" s="11" t="s">
        <v>1922</v>
      </c>
      <c r="O161" s="11"/>
      <c r="P161" s="664">
        <f>P162*M63</f>
        <v>15540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6">
        <v>3700</v>
      </c>
      <c r="G162" s="1337"/>
      <c r="H162" s="2"/>
      <c r="I162" s="1339" t="s">
        <v>60</v>
      </c>
      <c r="J162" s="1340"/>
      <c r="K162" s="1347"/>
      <c r="L162" s="1348"/>
      <c r="M162" s="2"/>
      <c r="N162" s="30" t="s">
        <v>679</v>
      </c>
      <c r="O162" s="2"/>
      <c r="P162" s="1353">
        <v>420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6"/>
      <c r="G163" s="1337"/>
      <c r="H163" s="2"/>
      <c r="I163" s="2"/>
      <c r="J163" s="13" t="s">
        <v>249</v>
      </c>
      <c r="K163" s="968">
        <f>SUM(K158:K162)</f>
        <v>10470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6">
        <v>3156</v>
      </c>
      <c r="G164" s="1337"/>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42" t="s">
        <v>3958</v>
      </c>
      <c r="C165" s="1343"/>
      <c r="D165" s="1343"/>
      <c r="E165" s="1344"/>
      <c r="F165" s="1345">
        <v>300</v>
      </c>
      <c r="G165" s="1346"/>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30857</v>
      </c>
      <c r="G166" s="967"/>
      <c r="H166" s="2"/>
      <c r="I166" s="2"/>
      <c r="J166" s="14"/>
      <c r="K166" s="2"/>
      <c r="L166" s="2"/>
      <c r="M166" s="2"/>
      <c r="N166" s="2"/>
      <c r="O166" s="2"/>
      <c r="P166" s="663">
        <f>P158+P161</f>
        <v>176491</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879</v>
      </c>
      <c r="K168" s="16" t="s">
        <v>822</v>
      </c>
      <c r="L168" s="16" t="s">
        <v>2896</v>
      </c>
    </row>
    <row r="169" spans="1:219" ht="51.6" customHeight="1">
      <c r="A169" s="1295" t="s">
        <v>4044</v>
      </c>
      <c r="B169" s="1354"/>
      <c r="C169" s="1354"/>
      <c r="D169" s="1354"/>
      <c r="E169" s="1354"/>
      <c r="F169" s="1354"/>
      <c r="G169" s="1354"/>
      <c r="H169" s="1354"/>
      <c r="I169" s="1354"/>
      <c r="J169" s="1355"/>
      <c r="K169" s="1298"/>
      <c r="L169" s="1356"/>
      <c r="M169" s="1356"/>
      <c r="N169" s="1356"/>
      <c r="O169" s="1356"/>
      <c r="P169" s="1357"/>
    </row>
    <row r="170" spans="1:219" s="122" customFormat="1" ht="51.6" customHeight="1">
      <c r="A170" s="1299"/>
      <c r="B170" s="1358"/>
      <c r="C170" s="1358"/>
      <c r="D170" s="1358"/>
      <c r="E170" s="1358"/>
      <c r="F170" s="1358"/>
      <c r="G170" s="1358"/>
      <c r="H170" s="1358"/>
      <c r="I170" s="1358"/>
      <c r="J170" s="1359"/>
      <c r="K170" s="1302"/>
      <c r="L170" s="1360"/>
      <c r="M170" s="1360"/>
      <c r="N170" s="1360"/>
      <c r="O170" s="1360"/>
      <c r="P170" s="1361"/>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303"/>
      <c r="B171" s="1362"/>
      <c r="C171" s="1362"/>
      <c r="D171" s="1362"/>
      <c r="E171" s="1362"/>
      <c r="F171" s="1362"/>
      <c r="G171" s="1362"/>
      <c r="H171" s="1362"/>
      <c r="I171" s="1362"/>
      <c r="J171" s="1363"/>
      <c r="K171" s="1306"/>
      <c r="L171" s="1364"/>
      <c r="M171" s="1364"/>
      <c r="N171" s="1364"/>
      <c r="O171" s="1364"/>
      <c r="P171" s="1365"/>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7E"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E25" sqref="E25"/>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2011-038 Thomson Estates, Thomson, McDuffie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3294</v>
      </c>
      <c r="B5" s="108">
        <v>0.02</v>
      </c>
      <c r="C5" s="19"/>
      <c r="D5" s="19" t="s">
        <v>1365</v>
      </c>
      <c r="F5" s="19"/>
      <c r="G5" s="1285">
        <v>3500</v>
      </c>
      <c r="H5" s="132" t="s">
        <v>2970</v>
      </c>
      <c r="K5" s="138">
        <f>IF(($B$14+$B$15+$B$16+$B$17)=0,"",-B30/($B$14+$B$15+$B$16+$B$17))</f>
        <v>1.4941717295864602E-2</v>
      </c>
    </row>
    <row r="6" spans="1:15">
      <c r="A6" s="19" t="s">
        <v>3295</v>
      </c>
      <c r="B6" s="108">
        <v>0.03</v>
      </c>
      <c r="C6" s="19"/>
      <c r="D6" s="19" t="s">
        <v>1366</v>
      </c>
      <c r="F6" s="19"/>
      <c r="G6" s="1285"/>
      <c r="H6" s="132" t="s">
        <v>3586</v>
      </c>
      <c r="K6" s="138">
        <f>IF(($B$14+$B$15+$B$16+$B$17)=0,"",-B32/($B$14+$B$15+$B$16+$B$17))</f>
        <v>0</v>
      </c>
    </row>
    <row r="7" spans="1:15">
      <c r="A7" s="19" t="s">
        <v>3297</v>
      </c>
      <c r="B7" s="108">
        <v>0.03</v>
      </c>
      <c r="C7" s="19"/>
      <c r="D7" s="110" t="s">
        <v>357</v>
      </c>
      <c r="G7" s="112"/>
      <c r="H7" s="132" t="s">
        <v>3587</v>
      </c>
      <c r="K7" s="138">
        <f>IF(($B$14+$B$15+$B$16+$B$17)=0,"",-B20/($B$14+$B$15+$B$16+$B$17))</f>
        <v>6.0001667598107711E-2</v>
      </c>
    </row>
    <row r="8" spans="1:15" ht="13.15" customHeight="1">
      <c r="A8" s="19" t="s">
        <v>3296</v>
      </c>
      <c r="B8" s="1286">
        <v>7.0000000000000007E-2</v>
      </c>
      <c r="C8" s="19"/>
      <c r="D8" s="109" t="s">
        <v>3788</v>
      </c>
      <c r="G8" s="1287"/>
      <c r="H8" s="232" t="s">
        <v>2168</v>
      </c>
      <c r="K8" s="1288"/>
    </row>
    <row r="9" spans="1:15">
      <c r="A9" s="19" t="s">
        <v>2129</v>
      </c>
      <c r="B9" s="108">
        <v>0.02</v>
      </c>
      <c r="D9" s="109" t="s">
        <v>2743</v>
      </c>
      <c r="G9" s="1287" t="s">
        <v>3924</v>
      </c>
      <c r="H9" s="232" t="s">
        <v>3560</v>
      </c>
      <c r="K9" s="1289">
        <v>0.06</v>
      </c>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246936</v>
      </c>
      <c r="C14" s="22">
        <f t="shared" ref="C14:K14" si="1">$B$14*(1+$B$5)^(C13-1)</f>
        <v>251874.72</v>
      </c>
      <c r="D14" s="22">
        <f t="shared" si="1"/>
        <v>256912.2144</v>
      </c>
      <c r="E14" s="22">
        <f t="shared" si="1"/>
        <v>262050.45868799998</v>
      </c>
      <c r="F14" s="22">
        <f t="shared" si="1"/>
        <v>267291.46786176</v>
      </c>
      <c r="G14" s="22">
        <f t="shared" si="1"/>
        <v>272637.29721899523</v>
      </c>
      <c r="H14" s="22">
        <f t="shared" si="1"/>
        <v>278090.04316337511</v>
      </c>
      <c r="I14" s="22">
        <f t="shared" si="1"/>
        <v>283651.84402664256</v>
      </c>
      <c r="J14" s="22">
        <f t="shared" si="1"/>
        <v>289324.88090717542</v>
      </c>
      <c r="K14" s="23">
        <f t="shared" si="1"/>
        <v>295111.37852531893</v>
      </c>
    </row>
    <row r="15" spans="1:15" ht="13.15" customHeight="1">
      <c r="A15" s="24" t="s">
        <v>1632</v>
      </c>
      <c r="B15" s="25">
        <f>MIN(B14*B9,'Part VI-Revenues &amp; Expenses'!G102)</f>
        <v>4938.72</v>
      </c>
      <c r="C15" s="25">
        <f t="shared" ref="C15:K15" si="2">$B$15*(1+$B$5)^(C13-1)</f>
        <v>5037.4944000000005</v>
      </c>
      <c r="D15" s="25">
        <f t="shared" si="2"/>
        <v>5138.2442879999999</v>
      </c>
      <c r="E15" s="25">
        <f t="shared" si="2"/>
        <v>5241.0091737599996</v>
      </c>
      <c r="F15" s="25">
        <f t="shared" si="2"/>
        <v>5345.8293572352004</v>
      </c>
      <c r="G15" s="25">
        <f t="shared" si="2"/>
        <v>5452.7459443799044</v>
      </c>
      <c r="H15" s="25">
        <f t="shared" si="2"/>
        <v>5561.8008632675028</v>
      </c>
      <c r="I15" s="25">
        <f t="shared" si="2"/>
        <v>5673.0368805328517</v>
      </c>
      <c r="J15" s="25">
        <f t="shared" si="2"/>
        <v>5786.4976181435095</v>
      </c>
      <c r="K15" s="26">
        <f t="shared" si="2"/>
        <v>5902.2275705063794</v>
      </c>
    </row>
    <row r="16" spans="1:15" ht="13.15" customHeight="1">
      <c r="A16" s="24" t="s">
        <v>3642</v>
      </c>
      <c r="B16" s="25">
        <f t="shared" ref="B16:K16" si="3">-(B14+B15)*$B$8</f>
        <v>-17631.2304</v>
      </c>
      <c r="C16" s="25">
        <f t="shared" si="3"/>
        <v>-17983.855008000002</v>
      </c>
      <c r="D16" s="25">
        <f t="shared" si="3"/>
        <v>-18343.532108160001</v>
      </c>
      <c r="E16" s="25">
        <f t="shared" si="3"/>
        <v>-18710.402750323203</v>
      </c>
      <c r="F16" s="25">
        <f t="shared" si="3"/>
        <v>-19084.610805329667</v>
      </c>
      <c r="G16" s="25">
        <f t="shared" si="3"/>
        <v>-19466.303021436259</v>
      </c>
      <c r="H16" s="25">
        <f t="shared" si="3"/>
        <v>-19855.629081864987</v>
      </c>
      <c r="I16" s="25">
        <f t="shared" si="3"/>
        <v>-20252.741663502282</v>
      </c>
      <c r="J16" s="25">
        <f t="shared" si="3"/>
        <v>-20657.796496772327</v>
      </c>
      <c r="K16" s="26">
        <f t="shared" si="3"/>
        <v>-21070.952426707776</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-146896</v>
      </c>
      <c r="C19" s="25">
        <f t="shared" ref="C19:K19" si="4">$B$19*(1+$B$6)^(C13-1)</f>
        <v>-151302.88</v>
      </c>
      <c r="D19" s="25">
        <f t="shared" si="4"/>
        <v>-155841.9664</v>
      </c>
      <c r="E19" s="25">
        <f t="shared" si="4"/>
        <v>-160517.22539199999</v>
      </c>
      <c r="F19" s="25">
        <f t="shared" si="4"/>
        <v>-165332.74215375999</v>
      </c>
      <c r="G19" s="25">
        <f t="shared" si="4"/>
        <v>-170292.72441837279</v>
      </c>
      <c r="H19" s="25">
        <f t="shared" si="4"/>
        <v>-175401.50615092396</v>
      </c>
      <c r="I19" s="25">
        <f t="shared" si="4"/>
        <v>-180663.55133545169</v>
      </c>
      <c r="J19" s="25">
        <f t="shared" si="4"/>
        <v>-186083.45787551522</v>
      </c>
      <c r="K19" s="26">
        <f t="shared" si="4"/>
        <v>-191665.96161178069</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-14055</v>
      </c>
      <c r="C20" s="25">
        <f>IF(AND('Part VII-Pro Forma'!$G$8="Yes",'Part VII-Pro Forma'!$G$9="Yes"),"Choose One!",IF('Part VII-Pro Forma'!$G$8="Yes",ROUND((-$K$8*(1+'Part VII-Pro Forma'!$B$6)^('Part VII-Pro Forma'!C13-1)),),IF('Part VII-Pro Forma'!$G$9="Yes",ROUND((-(SUM(C14:C17)*'Part VII-Pro Forma'!$K$9)),),"Choose mgt fee")))</f>
        <v>-14336</v>
      </c>
      <c r="D20" s="25">
        <f>IF(AND('Part VII-Pro Forma'!$G$8="Yes",'Part VII-Pro Forma'!$G$9="Yes"),"Choose One!",IF('Part VII-Pro Forma'!$G$8="Yes",ROUND((-$K$8*(1+'Part VII-Pro Forma'!$B$6)^('Part VII-Pro Forma'!D13-1)),),IF('Part VII-Pro Forma'!$G$9="Yes",ROUND((-(SUM(D14:D17)*'Part VII-Pro Forma'!$K$9)),),"Choose mgt fee")))</f>
        <v>-14622</v>
      </c>
      <c r="E20" s="25">
        <f>IF(AND('Part VII-Pro Forma'!$G$8="Yes",'Part VII-Pro Forma'!$G$9="Yes"),"Choose One!",IF('Part VII-Pro Forma'!$G$8="Yes",ROUND((-$K$8*(1+'Part VII-Pro Forma'!$B$6)^('Part VII-Pro Forma'!E13-1)),),IF('Part VII-Pro Forma'!$G$9="Yes",ROUND((-(SUM(E14:E17)*'Part VII-Pro Forma'!$K$9)),),"Choose mgt fee")))</f>
        <v>-14915</v>
      </c>
      <c r="F20" s="25">
        <f>IF(AND('Part VII-Pro Forma'!$G$8="Yes",'Part VII-Pro Forma'!$G$9="Yes"),"Choose One!",IF('Part VII-Pro Forma'!$G$8="Yes",ROUND((-$K$8*(1+'Part VII-Pro Forma'!$B$6)^('Part VII-Pro Forma'!F13-1)),),IF('Part VII-Pro Forma'!$G$9="Yes",ROUND((-(SUM(F14:F17)*'Part VII-Pro Forma'!$K$9)),),"Choose mgt fee")))</f>
        <v>-15213</v>
      </c>
      <c r="G20" s="25">
        <f>IF(AND('Part VII-Pro Forma'!$G$8="Yes",'Part VII-Pro Forma'!$G$9="Yes"),"Choose One!",IF('Part VII-Pro Forma'!$G$8="Yes",ROUND((-$K$8*(1+'Part VII-Pro Forma'!$B$6)^('Part VII-Pro Forma'!G13-1)),),IF('Part VII-Pro Forma'!$G$9="Yes",ROUND((-(SUM(G14:G17)*'Part VII-Pro Forma'!$K$9)),),"Choose mgt fee")))</f>
        <v>-15517</v>
      </c>
      <c r="H20" s="25">
        <f>IF(AND('Part VII-Pro Forma'!$G$8="Yes",'Part VII-Pro Forma'!$G$9="Yes"),"Choose One!",IF('Part VII-Pro Forma'!$G$8="Yes",ROUND((-$K$8*(1+'Part VII-Pro Forma'!$B$6)^('Part VII-Pro Forma'!H13-1)),),IF('Part VII-Pro Forma'!$G$9="Yes",ROUND((-(SUM(H14:H17)*'Part VII-Pro Forma'!$K$9)),),"Choose mgt fee")))</f>
        <v>-15828</v>
      </c>
      <c r="I20" s="25">
        <f>IF(AND('Part VII-Pro Forma'!$G$8="Yes",'Part VII-Pro Forma'!$G$9="Yes"),"Choose One!",IF('Part VII-Pro Forma'!$G$8="Yes",ROUND((-$K$8*(1+'Part VII-Pro Forma'!$B$6)^('Part VII-Pro Forma'!I13-1)),),IF('Part VII-Pro Forma'!$G$9="Yes",ROUND((-(SUM(I14:I17)*'Part VII-Pro Forma'!$K$9)),),"Choose mgt fee")))</f>
        <v>-16144</v>
      </c>
      <c r="J20" s="25">
        <f>IF(AND('Part VII-Pro Forma'!$G$8="Yes",'Part VII-Pro Forma'!$G$9="Yes"),"Choose One!",IF('Part VII-Pro Forma'!$G$8="Yes",ROUND((-$K$8*(1+'Part VII-Pro Forma'!$B$6)^('Part VII-Pro Forma'!J13-1)),),IF('Part VII-Pro Forma'!$G$9="Yes",ROUND((-(SUM(J14:J17)*'Part VII-Pro Forma'!$K$9)),),"Choose mgt fee")))</f>
        <v>-16467</v>
      </c>
      <c r="K20" s="25">
        <f>IF(AND('Part VII-Pro Forma'!$G$8="Yes",'Part VII-Pro Forma'!$G$9="Yes"),"Choose One!",IF('Part VII-Pro Forma'!$G$8="Yes",ROUND((-$K$8*(1+'Part VII-Pro Forma'!$B$6)^('Part VII-Pro Forma'!K13-1)),),IF('Part VII-Pro Forma'!$G$9="Yes",ROUND((-(SUM(K14:K17)*'Part VII-Pro Forma'!$K$9)),),"Choose mgt fee")))</f>
        <v>-16797</v>
      </c>
    </row>
    <row r="21" spans="1:11" ht="13.15" customHeight="1">
      <c r="A21" s="24" t="s">
        <v>1862</v>
      </c>
      <c r="B21" s="25">
        <f>-('Part VI-Revenues &amp; Expenses'!P161)</f>
        <v>-15540</v>
      </c>
      <c r="C21" s="25">
        <f t="shared" ref="C21:K21" si="5">$B$21*(1+$B$7)^(C13-1)</f>
        <v>-16006.2</v>
      </c>
      <c r="D21" s="25">
        <f t="shared" si="5"/>
        <v>-16486.385999999999</v>
      </c>
      <c r="E21" s="25">
        <f t="shared" si="5"/>
        <v>-16980.977579999999</v>
      </c>
      <c r="F21" s="25">
        <f t="shared" si="5"/>
        <v>-17490.4069074</v>
      </c>
      <c r="G21" s="25">
        <f t="shared" si="5"/>
        <v>-18015.119114621997</v>
      </c>
      <c r="H21" s="25">
        <f t="shared" si="5"/>
        <v>-18555.57268806066</v>
      </c>
      <c r="I21" s="25">
        <f t="shared" si="5"/>
        <v>-19112.23986870248</v>
      </c>
      <c r="J21" s="25">
        <f t="shared" si="5"/>
        <v>-19685.607064763553</v>
      </c>
      <c r="K21" s="26">
        <f t="shared" si="5"/>
        <v>-20276.175276706457</v>
      </c>
    </row>
    <row r="22" spans="1:11" ht="13.15" customHeight="1">
      <c r="A22" s="24" t="s">
        <v>1863</v>
      </c>
      <c r="B22" s="25">
        <f t="shared" ref="B22:K22" si="6">SUM(B14:B21)</f>
        <v>57752.489600000001</v>
      </c>
      <c r="C22" s="25">
        <f t="shared" si="6"/>
        <v>57283.279391999982</v>
      </c>
      <c r="D22" s="25">
        <f t="shared" si="6"/>
        <v>56756.574179839983</v>
      </c>
      <c r="E22" s="25">
        <f t="shared" si="6"/>
        <v>56167.862139436802</v>
      </c>
      <c r="F22" s="25">
        <f t="shared" si="6"/>
        <v>55516.537352505577</v>
      </c>
      <c r="G22" s="25">
        <f t="shared" si="6"/>
        <v>54798.896608944066</v>
      </c>
      <c r="H22" s="25">
        <f t="shared" si="6"/>
        <v>54011.136105793041</v>
      </c>
      <c r="I22" s="25">
        <f t="shared" si="6"/>
        <v>53152.348039518954</v>
      </c>
      <c r="J22" s="25">
        <f t="shared" si="6"/>
        <v>52217.517088267836</v>
      </c>
      <c r="K22" s="26">
        <f t="shared" si="6"/>
        <v>51203.516780630394</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90">
        <f>IF('Part III A-Sources of Funds'!$M$33="", 0,-'Part III A-Sources of Funds'!$M$33)</f>
        <v>-35926.334739675862</v>
      </c>
      <c r="C25" s="1290">
        <f>IF('Part III A-Sources of Funds'!$M$33="", 0,-'Part III A-Sources of Funds'!$M$33)</f>
        <v>-35926.334739675862</v>
      </c>
      <c r="D25" s="1290">
        <f>IF('Part III A-Sources of Funds'!$M$33="", 0,-'Part III A-Sources of Funds'!$M$33)</f>
        <v>-35926.334739675862</v>
      </c>
      <c r="E25" s="1290">
        <f>IF('Part III A-Sources of Funds'!$M$33="", 0,-'Part III A-Sources of Funds'!$M$33)</f>
        <v>-35926.334739675862</v>
      </c>
      <c r="F25" s="1290">
        <f>IF('Part III A-Sources of Funds'!$M$33="", 0,-'Part III A-Sources of Funds'!$M$33)</f>
        <v>-35926.334739675862</v>
      </c>
      <c r="G25" s="1290">
        <f>IF('Part III A-Sources of Funds'!$M$33="", 0,-'Part III A-Sources of Funds'!$M$33)</f>
        <v>-35926.334739675862</v>
      </c>
      <c r="H25" s="1290">
        <f>IF('Part III A-Sources of Funds'!$M$33="", 0,-'Part III A-Sources of Funds'!$M$33)</f>
        <v>-35926.334739675862</v>
      </c>
      <c r="I25" s="1290">
        <f>IF('Part III A-Sources of Funds'!$M$33="", 0,-'Part III A-Sources of Funds'!$M$33)</f>
        <v>-35926.334739675862</v>
      </c>
      <c r="J25" s="1290">
        <f>IF('Part III A-Sources of Funds'!$M$33="", 0,-'Part III A-Sources of Funds'!$M$33)</f>
        <v>-35926.334739675862</v>
      </c>
      <c r="K25" s="1290">
        <f>IF('Part III A-Sources of Funds'!$M$33="", 0,-'Part III A-Sources of Funds'!$M$33)</f>
        <v>-35926.334739675862</v>
      </c>
    </row>
    <row r="26" spans="1:11" ht="13.15" customHeight="1">
      <c r="A26" s="24" t="str">
        <f>IF('Part III A-Sources of Funds'!$E$32 = "Neither", "D/S Mortgage B","D/S Mortgage C")</f>
        <v>D/S Mortgage B</v>
      </c>
      <c r="B26" s="1290">
        <f>IF('Part III A-Sources of Funds'!$M$34="", 0,-'Part III A-Sources of Funds'!$M$34)</f>
        <v>0</v>
      </c>
      <c r="C26" s="1290">
        <f>IF('Part III A-Sources of Funds'!$M$34="", 0,-'Part III A-Sources of Funds'!$M$34)</f>
        <v>0</v>
      </c>
      <c r="D26" s="1290">
        <f>IF('Part III A-Sources of Funds'!$M$34="", 0,-'Part III A-Sources of Funds'!$M$34)</f>
        <v>0</v>
      </c>
      <c r="E26" s="1290">
        <f>IF('Part III A-Sources of Funds'!$M$34="", 0,-'Part III A-Sources of Funds'!$M$34)</f>
        <v>0</v>
      </c>
      <c r="F26" s="1290">
        <f>IF('Part III A-Sources of Funds'!$M$34="", 0,-'Part III A-Sources of Funds'!$M$34)</f>
        <v>0</v>
      </c>
      <c r="G26" s="1290">
        <f>IF('Part III A-Sources of Funds'!$M$34="", 0,-'Part III A-Sources of Funds'!$M$34)</f>
        <v>0</v>
      </c>
      <c r="H26" s="1290">
        <f>IF('Part III A-Sources of Funds'!$M$34="", 0,-'Part III A-Sources of Funds'!$M$34)</f>
        <v>0</v>
      </c>
      <c r="I26" s="1290">
        <f>IF('Part III A-Sources of Funds'!$M$34="", 0,-'Part III A-Sources of Funds'!$M$34)</f>
        <v>0</v>
      </c>
      <c r="J26" s="1290">
        <f>IF('Part III A-Sources of Funds'!$M$34="", 0,-'Part III A-Sources of Funds'!$M$34)</f>
        <v>0</v>
      </c>
      <c r="K26" s="1290">
        <f>IF('Part III A-Sources of Funds'!$M$34="", 0,-'Part III A-Sources of Funds'!$M$34)</f>
        <v>0</v>
      </c>
    </row>
    <row r="27" spans="1:11" ht="13.15" customHeight="1">
      <c r="A27" s="24" t="s">
        <v>1362</v>
      </c>
      <c r="B27" s="1290">
        <f>IF('Part III A-Sources of Funds'!$M$35="", 0,-'Part III A-Sources of Funds'!$M$35)</f>
        <v>0</v>
      </c>
      <c r="C27" s="1290">
        <f>IF('Part III A-Sources of Funds'!$M$35="", 0,-'Part III A-Sources of Funds'!$M$35)</f>
        <v>0</v>
      </c>
      <c r="D27" s="1290">
        <f>IF('Part III A-Sources of Funds'!$M$35="", 0,-'Part III A-Sources of Funds'!$M$35)</f>
        <v>0</v>
      </c>
      <c r="E27" s="1290">
        <f>IF('Part III A-Sources of Funds'!$M$35="", 0,-'Part III A-Sources of Funds'!$M$35)</f>
        <v>0</v>
      </c>
      <c r="F27" s="1290">
        <f>IF('Part III A-Sources of Funds'!$M$35="", 0,-'Part III A-Sources of Funds'!$M$35)</f>
        <v>0</v>
      </c>
      <c r="G27" s="1290">
        <f>IF('Part III A-Sources of Funds'!$M$35="", 0,-'Part III A-Sources of Funds'!$M$35)</f>
        <v>0</v>
      </c>
      <c r="H27" s="1290">
        <f>IF('Part III A-Sources of Funds'!$M$35="", 0,-'Part III A-Sources of Funds'!$M$35)</f>
        <v>0</v>
      </c>
      <c r="I27" s="1290">
        <f>IF('Part III A-Sources of Funds'!$M$35="", 0,-'Part III A-Sources of Funds'!$M$35)</f>
        <v>0</v>
      </c>
      <c r="J27" s="1290">
        <f>IF('Part III A-Sources of Funds'!$M$35="", 0,-'Part III A-Sources of Funds'!$M$35)</f>
        <v>0</v>
      </c>
      <c r="K27" s="1290">
        <f>IF('Part III A-Sources of Funds'!$M$35="", 0,-'Part III A-Sources of Funds'!$M$35)</f>
        <v>0</v>
      </c>
    </row>
    <row r="28" spans="1:11" ht="13.15" customHeight="1">
      <c r="A28" s="24" t="s">
        <v>807</v>
      </c>
      <c r="B28" s="1290">
        <f>IF('Part III A-Sources of Funds'!$M$36="", 0,-'Part III A-Sources of Funds'!$M$36)</f>
        <v>0</v>
      </c>
      <c r="C28" s="1290">
        <f>IF('Part III A-Sources of Funds'!$M$36="", 0,-'Part III A-Sources of Funds'!$M$36)</f>
        <v>0</v>
      </c>
      <c r="D28" s="1290">
        <f>IF('Part III A-Sources of Funds'!$M$36="", 0,-'Part III A-Sources of Funds'!$M$36)</f>
        <v>0</v>
      </c>
      <c r="E28" s="1290">
        <f>IF('Part III A-Sources of Funds'!$M$36="", 0,-'Part III A-Sources of Funds'!$M$36)</f>
        <v>0</v>
      </c>
      <c r="F28" s="1290">
        <f>IF('Part III A-Sources of Funds'!$M$36="", 0,-'Part III A-Sources of Funds'!$M$36)</f>
        <v>0</v>
      </c>
      <c r="G28" s="1290">
        <f>IF('Part III A-Sources of Funds'!$M$36="", 0,-'Part III A-Sources of Funds'!$M$36)</f>
        <v>0</v>
      </c>
      <c r="H28" s="1290">
        <f>IF('Part III A-Sources of Funds'!$M$36="", 0,-'Part III A-Sources of Funds'!$M$36)</f>
        <v>0</v>
      </c>
      <c r="I28" s="1290">
        <f>IF('Part III A-Sources of Funds'!$M$36="", 0,-'Part III A-Sources of Funds'!$M$36)</f>
        <v>0</v>
      </c>
      <c r="J28" s="1290">
        <f>IF('Part III A-Sources of Funds'!$M$36="", 0,-'Part III A-Sources of Funds'!$M$36)</f>
        <v>0</v>
      </c>
      <c r="K28" s="1290">
        <f>IF('Part III A-Sources of Funds'!$M$36="", 0,-'Part III A-Sources of Funds'!$M$36)</f>
        <v>0</v>
      </c>
    </row>
    <row r="29" spans="1:11" ht="13.15" customHeight="1">
      <c r="A29" s="24" t="s">
        <v>1336</v>
      </c>
      <c r="B29" s="1291"/>
      <c r="C29" s="1291"/>
      <c r="D29" s="1291"/>
      <c r="E29" s="1291"/>
      <c r="F29" s="1291"/>
      <c r="G29" s="1291"/>
      <c r="H29" s="1291"/>
      <c r="I29" s="1291"/>
      <c r="J29" s="1291"/>
      <c r="K29" s="1291"/>
    </row>
    <row r="30" spans="1:11" ht="13.15" customHeight="1">
      <c r="A30" s="24" t="s">
        <v>1807</v>
      </c>
      <c r="B30" s="1290">
        <f>-$G$5</f>
        <v>-3500</v>
      </c>
      <c r="C30" s="1290">
        <f t="shared" ref="C30:K30" si="7">+B30</f>
        <v>-3500</v>
      </c>
      <c r="D30" s="1290">
        <f t="shared" si="7"/>
        <v>-3500</v>
      </c>
      <c r="E30" s="1290">
        <f t="shared" si="7"/>
        <v>-3500</v>
      </c>
      <c r="F30" s="1290">
        <f t="shared" si="7"/>
        <v>-3500</v>
      </c>
      <c r="G30" s="1290">
        <f t="shared" si="7"/>
        <v>-3500</v>
      </c>
      <c r="H30" s="1290">
        <f t="shared" si="7"/>
        <v>-3500</v>
      </c>
      <c r="I30" s="1290">
        <f t="shared" si="7"/>
        <v>-3500</v>
      </c>
      <c r="J30" s="1290">
        <f t="shared" si="7"/>
        <v>-3500</v>
      </c>
      <c r="K30" s="1290">
        <f t="shared" si="7"/>
        <v>-3500</v>
      </c>
    </row>
    <row r="31" spans="1:11" ht="13.15" customHeight="1">
      <c r="A31" s="24" t="s">
        <v>1864</v>
      </c>
      <c r="B31" s="1290">
        <v>-972</v>
      </c>
      <c r="C31" s="1290">
        <f>IF('Part III A-Sources of Funds'!$M$37="", 0,-'Part III A-Sources of Funds'!$M$37)</f>
        <v>0</v>
      </c>
      <c r="D31" s="1290">
        <f>IF('Part III A-Sources of Funds'!$M$37="", 0,-'Part III A-Sources of Funds'!$M$37)</f>
        <v>0</v>
      </c>
      <c r="E31" s="1290">
        <f>IF('Part III A-Sources of Funds'!$M$37="", 0,-'Part III A-Sources of Funds'!$M$37)</f>
        <v>0</v>
      </c>
      <c r="F31" s="1290">
        <f>IF('Part III A-Sources of Funds'!$M$37="", 0,-'Part III A-Sources of Funds'!$M$37)</f>
        <v>0</v>
      </c>
      <c r="G31" s="1290">
        <f>IF('Part III A-Sources of Funds'!$M$37="", 0,-'Part III A-Sources of Funds'!$M$37)</f>
        <v>0</v>
      </c>
      <c r="H31" s="1290">
        <f>IF('Part III A-Sources of Funds'!$M$37="", 0,-'Part III A-Sources of Funds'!$M$37)</f>
        <v>0</v>
      </c>
      <c r="I31" s="1290">
        <f>IF('Part III A-Sources of Funds'!$M$37="", 0,-'Part III A-Sources of Funds'!$M$37)</f>
        <v>0</v>
      </c>
      <c r="J31" s="1290">
        <f>IF('Part III A-Sources of Funds'!$M$37="", 0,-'Part III A-Sources of Funds'!$M$37)</f>
        <v>0</v>
      </c>
      <c r="K31" s="1290">
        <f>IF('Part III A-Sources of Funds'!$M$37="", 0,-'Part III A-Sources of Funds'!$M$37)</f>
        <v>0</v>
      </c>
    </row>
    <row r="32" spans="1:11" ht="13.15" customHeight="1">
      <c r="A32" s="24" t="s">
        <v>1808</v>
      </c>
      <c r="B32" s="1292">
        <f>-$G$6</f>
        <v>0</v>
      </c>
      <c r="C32" s="1292">
        <f t="shared" ref="C32:K32" si="8">+B32</f>
        <v>0</v>
      </c>
      <c r="D32" s="1292">
        <f t="shared" si="8"/>
        <v>0</v>
      </c>
      <c r="E32" s="1292">
        <f t="shared" si="8"/>
        <v>0</v>
      </c>
      <c r="F32" s="1292">
        <f t="shared" si="8"/>
        <v>0</v>
      </c>
      <c r="G32" s="1292">
        <f t="shared" si="8"/>
        <v>0</v>
      </c>
      <c r="H32" s="1292">
        <f t="shared" si="8"/>
        <v>0</v>
      </c>
      <c r="I32" s="1292">
        <f t="shared" si="8"/>
        <v>0</v>
      </c>
      <c r="J32" s="1292">
        <f t="shared" si="8"/>
        <v>0</v>
      </c>
      <c r="K32" s="1292">
        <f t="shared" si="8"/>
        <v>0</v>
      </c>
    </row>
    <row r="33" spans="1:11" ht="13.15" customHeight="1">
      <c r="A33" s="24" t="s">
        <v>1809</v>
      </c>
      <c r="B33" s="25">
        <f t="shared" ref="B33:K33" si="9">SUM(B22:B32)</f>
        <v>17354.154860324139</v>
      </c>
      <c r="C33" s="25">
        <f t="shared" si="9"/>
        <v>17856.94465232412</v>
      </c>
      <c r="D33" s="25">
        <f t="shared" si="9"/>
        <v>17330.239440164121</v>
      </c>
      <c r="E33" s="25">
        <f t="shared" si="9"/>
        <v>16741.52739976094</v>
      </c>
      <c r="F33" s="25">
        <f t="shared" si="9"/>
        <v>16090.202612829715</v>
      </c>
      <c r="G33" s="25">
        <f t="shared" si="9"/>
        <v>15372.561869268204</v>
      </c>
      <c r="H33" s="25">
        <f t="shared" si="9"/>
        <v>14584.801366117179</v>
      </c>
      <c r="I33" s="25">
        <f t="shared" si="9"/>
        <v>13726.013299843093</v>
      </c>
      <c r="J33" s="25">
        <f t="shared" si="9"/>
        <v>12791.182348591974</v>
      </c>
      <c r="K33" s="23">
        <f t="shared" si="9"/>
        <v>11777.182040954533</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1.6075252323533036</v>
      </c>
      <c r="C36" s="27">
        <f t="shared" ref="C36:K36" si="12">IF(OR(C25=0,AND(C25=0,C24=0,C23=0)),"",-C22/(C23+C24+C25))</f>
        <v>1.5944648906457528</v>
      </c>
      <c r="D36" s="27">
        <f t="shared" si="12"/>
        <v>1.579804190744788</v>
      </c>
      <c r="E36" s="27">
        <f t="shared" si="12"/>
        <v>1.5634175472235654</v>
      </c>
      <c r="F36" s="27">
        <f t="shared" si="12"/>
        <v>1.5452880945073124</v>
      </c>
      <c r="G36" s="27">
        <f t="shared" si="12"/>
        <v>1.5253127547249057</v>
      </c>
      <c r="H36" s="27">
        <f t="shared" si="12"/>
        <v>1.5033856500297238</v>
      </c>
      <c r="I36" s="27">
        <f t="shared" si="12"/>
        <v>1.4794815119511551</v>
      </c>
      <c r="J36" s="27">
        <f t="shared" si="12"/>
        <v>1.4534607403354323</v>
      </c>
      <c r="K36" s="28">
        <f t="shared" si="12"/>
        <v>1.4252363106800015</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1345</v>
      </c>
      <c r="B40" s="379">
        <f>IF(OR(B20="Choose mgt fee",B20="Choose One!"),"",(B14+B15+B16+B17+B18) / -(B19+B20+B21))</f>
        <v>1.3272262585627597</v>
      </c>
      <c r="C40" s="379">
        <f t="shared" ref="C40:K40" si="16">IF(OR(C20="Choose mgt fee",C20="Choose One!"),"",(C14+C15+C16+C17+C18) / -(C19+C20+C21))</f>
        <v>1.3153582766568737</v>
      </c>
      <c r="D40" s="379">
        <f t="shared" si="16"/>
        <v>1.3035916940044237</v>
      </c>
      <c r="E40" s="379">
        <f t="shared" si="16"/>
        <v>1.29191272361705</v>
      </c>
      <c r="F40" s="379">
        <f t="shared" si="16"/>
        <v>1.2803353711718575</v>
      </c>
      <c r="G40" s="379">
        <f t="shared" si="16"/>
        <v>1.2688528820093186</v>
      </c>
      <c r="H40" s="379">
        <f t="shared" si="16"/>
        <v>1.2574593789258384</v>
      </c>
      <c r="I40" s="379">
        <f t="shared" si="16"/>
        <v>1.2461670963235738</v>
      </c>
      <c r="J40" s="379">
        <f t="shared" si="16"/>
        <v>1.2349641904535169</v>
      </c>
      <c r="K40" s="380">
        <f t="shared" si="16"/>
        <v>1.2238511409859549</v>
      </c>
    </row>
    <row r="41" spans="1:11" ht="13.15" customHeight="1">
      <c r="A41" s="24" t="str">
        <f>IF('Part III A-Sources of Funds'!$E$32 = "Neither", "", "Mortgage A Balance")</f>
        <v/>
      </c>
      <c r="B41" s="1293">
        <f>IF('Part III A-Sources of Funds'!$H$32="","",-FV('Part III A-Sources of Funds'!$J$32/12,12,B23/12,'Part III A-Sources of Funds'!H32))</f>
        <v>0</v>
      </c>
      <c r="C41" s="1293">
        <f>IF('Part III A-Sources of Funds'!$H$32="","",-FV('Part III A-Sources of Funds'!$J$32/12,12,C23/12,B41))</f>
        <v>0</v>
      </c>
      <c r="D41" s="1293">
        <f>IF('Part III A-Sources of Funds'!$H$32="","",-FV('Part III A-Sources of Funds'!$J$32/12,12,D23/12,C41))</f>
        <v>0</v>
      </c>
      <c r="E41" s="1293">
        <f>IF('Part III A-Sources of Funds'!$H$32="","",-FV('Part III A-Sources of Funds'!$J$32/12,12,E23/12,D41))</f>
        <v>0</v>
      </c>
      <c r="F41" s="1293">
        <f>IF('Part III A-Sources of Funds'!$H$32="","",-FV('Part III A-Sources of Funds'!$J$32/12,12,F23/12,E41))</f>
        <v>0</v>
      </c>
      <c r="G41" s="1293">
        <f>IF('Part III A-Sources of Funds'!$H$32="","",-FV('Part III A-Sources of Funds'!$J$32/12,12,G23/12,F41))</f>
        <v>0</v>
      </c>
      <c r="H41" s="1293">
        <f>IF('Part III A-Sources of Funds'!$H$32="","",-FV('Part III A-Sources of Funds'!$J$32/12,12,H23/12,G41))</f>
        <v>0</v>
      </c>
      <c r="I41" s="1293">
        <f>IF('Part III A-Sources of Funds'!$H$32="","",-FV('Part III A-Sources of Funds'!$J$32/12,12,I23/12,H41))</f>
        <v>0</v>
      </c>
      <c r="J41" s="1293">
        <f>IF('Part III A-Sources of Funds'!$H$32="","",-FV('Part III A-Sources of Funds'!$J$32/12,12,J23/12,I41))</f>
        <v>0</v>
      </c>
      <c r="K41" s="1293">
        <f>IF('Part III A-Sources of Funds'!$H$32="","",-FV('Part III A-Sources of Funds'!$J$32/12,12,K23/12,J41))</f>
        <v>0</v>
      </c>
    </row>
    <row r="42" spans="1:11" ht="13.15" customHeight="1">
      <c r="A42" s="24" t="str">
        <f>IF('Part III A-Sources of Funds'!$E$32 = "Neither", "Mortgage A Balance", "Mortgage B Balance")</f>
        <v>Mortgage A Balance</v>
      </c>
      <c r="B42" s="1290">
        <f>IF('Part III A-Sources of Funds'!$H$33="","",-FV('Part III A-Sources of Funds'!$J$33/12,12,B25/12,'Part III A-Sources of Funds'!H33))</f>
        <v>445428.85576817236</v>
      </c>
      <c r="C42" s="1290">
        <f>IF('Part III A-Sources of Funds'!$H$33="","",-FV('Part III A-Sources of Funds'!$J$33/12,12,C25/12,B42))</f>
        <v>440527.26315022039</v>
      </c>
      <c r="D42" s="1290">
        <f>IF('Part III A-Sources of Funds'!$H$33="","",-FV('Part III A-Sources of Funds'!$J$33/12,12,D25/12,C42))</f>
        <v>435271.33400559233</v>
      </c>
      <c r="E42" s="1290">
        <f>IF('Part III A-Sources of Funds'!$H$33="","",-FV('Part III A-Sources of Funds'!$J$33/12,12,E25/12,D42))</f>
        <v>429635.45331812446</v>
      </c>
      <c r="F42" s="1290">
        <f>IF('Part III A-Sources of Funds'!$H$33="","",-FV('Part III A-Sources of Funds'!$J$33/12,12,F25/12,E42))</f>
        <v>423592.15436006343</v>
      </c>
      <c r="G42" s="1290">
        <f>IF('Part III A-Sources of Funds'!$H$33="","",-FV('Part III A-Sources of Funds'!$J$33/12,12,G25/12,F42))</f>
        <v>417111.98483168578</v>
      </c>
      <c r="H42" s="1290">
        <f>IF('Part III A-Sources of Funds'!$H$33="","",-FV('Part III A-Sources of Funds'!$J$33/12,12,H25/12,G42))</f>
        <v>410163.36332413962</v>
      </c>
      <c r="I42" s="1290">
        <f>IF('Part III A-Sources of Funds'!$H$33="","",-FV('Part III A-Sources of Funds'!$J$33/12,12,I25/12,H42))</f>
        <v>402712.42540597351</v>
      </c>
      <c r="J42" s="1290">
        <f>IF('Part III A-Sources of Funds'!$H$33="","",-FV('Part III A-Sources of Funds'!$J$33/12,12,J25/12,I42))</f>
        <v>394722.8585832484</v>
      </c>
      <c r="K42" s="1290">
        <f>IF('Part III A-Sources of Funds'!$H$33="","",-FV('Part III A-Sources of Funds'!$J$33/12,12,K25/12,J42))</f>
        <v>386155.72532890219</v>
      </c>
    </row>
    <row r="43" spans="1:11" ht="13.15" customHeight="1">
      <c r="A43" s="24" t="str">
        <f>IF('Part III A-Sources of Funds'!$E$32 = "Neither", "Mortgage B Balance", "Mortgage C Balance")</f>
        <v>Mortgage B Balance</v>
      </c>
      <c r="B43" s="1290">
        <v>0</v>
      </c>
      <c r="C43" s="1290" t="str">
        <f>IF('Part III A-Sources of Funds'!$H$34="","",-FV('Part III A-Sources of Funds'!$J$34/12,12,C26/12,B43))</f>
        <v/>
      </c>
      <c r="D43" s="1290" t="str">
        <f>IF('Part III A-Sources of Funds'!$H$34="","",-FV('Part III A-Sources of Funds'!$J$34/12,12,D26/12,C43))</f>
        <v/>
      </c>
      <c r="E43" s="1290" t="str">
        <f>IF('Part III A-Sources of Funds'!$H$34="","",-FV('Part III A-Sources of Funds'!$J$34/12,12,E26/12,D43))</f>
        <v/>
      </c>
      <c r="F43" s="1290" t="str">
        <f>IF('Part III A-Sources of Funds'!$H$34="","",-FV('Part III A-Sources of Funds'!$J$34/12,12,F26/12,E43))</f>
        <v/>
      </c>
      <c r="G43" s="1290" t="str">
        <f>IF('Part III A-Sources of Funds'!$H$34="","",-FV('Part III A-Sources of Funds'!$J$34/12,12,G26/12,F43))</f>
        <v/>
      </c>
      <c r="H43" s="1290" t="str">
        <f>IF('Part III A-Sources of Funds'!$H$34="","",-FV('Part III A-Sources of Funds'!$J$34/12,12,H26/12,G43))</f>
        <v/>
      </c>
      <c r="I43" s="1290" t="str">
        <f>IF('Part III A-Sources of Funds'!$H$34="","",-FV('Part III A-Sources of Funds'!$J$34/12,12,I26/12,H43))</f>
        <v/>
      </c>
      <c r="J43" s="1290" t="str">
        <f>IF('Part III A-Sources of Funds'!$H$34="","",-FV('Part III A-Sources of Funds'!$J$34/12,12,J26/12,I43))</f>
        <v/>
      </c>
      <c r="K43" s="1290" t="str">
        <f>IF('Part III A-Sources of Funds'!$H$34="","",-FV('Part III A-Sources of Funds'!$J$34/12,12,K26/12,J43))</f>
        <v/>
      </c>
    </row>
    <row r="44" spans="1:11" ht="13.15" customHeight="1">
      <c r="A44" s="24" t="s">
        <v>1364</v>
      </c>
      <c r="B44" s="1290" t="str">
        <f>IF('Part III A-Sources of Funds'!$H$35="","",-FV('Part III A-Sources of Funds'!$J$35/12,12,B27/12,'Part III A-Sources of Funds'!H35))</f>
        <v/>
      </c>
      <c r="C44" s="1290" t="str">
        <f>IF('Part III A-Sources of Funds'!$H$35="","",-FV('Part III A-Sources of Funds'!$J$35/12,12,C27/12,B44))</f>
        <v/>
      </c>
      <c r="D44" s="1290" t="str">
        <f>IF('Part III A-Sources of Funds'!$H$35="","",-FV('Part III A-Sources of Funds'!$J$35/12,12,D27/12,C44))</f>
        <v/>
      </c>
      <c r="E44" s="1290" t="str">
        <f>IF('Part III A-Sources of Funds'!$H$35="","",-FV('Part III A-Sources of Funds'!$J$35/12,12,E27/12,D44))</f>
        <v/>
      </c>
      <c r="F44" s="1290" t="str">
        <f>IF('Part III A-Sources of Funds'!$H$35="","",-FV('Part III A-Sources of Funds'!$J$35/12,12,F27/12,E44))</f>
        <v/>
      </c>
      <c r="G44" s="1290" t="str">
        <f>IF('Part III A-Sources of Funds'!$H$35="","",-FV('Part III A-Sources of Funds'!$J$35/12,12,G27/12,F44))</f>
        <v/>
      </c>
      <c r="H44" s="1290" t="str">
        <f>IF('Part III A-Sources of Funds'!$H$35="","",-FV('Part III A-Sources of Funds'!$J$35/12,12,H27/12,G44))</f>
        <v/>
      </c>
      <c r="I44" s="1290" t="str">
        <f>IF('Part III A-Sources of Funds'!$H$35="","",-FV('Part III A-Sources of Funds'!$J$35/12,12,I27/12,H44))</f>
        <v/>
      </c>
      <c r="J44" s="1290" t="str">
        <f>IF('Part III A-Sources of Funds'!$H$35="","",-FV('Part III A-Sources of Funds'!$J$35/12,12,J27/12,I44))</f>
        <v/>
      </c>
      <c r="K44" s="1290" t="str">
        <f>IF('Part III A-Sources of Funds'!$H$35="","",-FV('Part III A-Sources of Funds'!$J$35/12,12,K27/12,J44))</f>
        <v/>
      </c>
    </row>
    <row r="45" spans="1:11" ht="13.15" customHeight="1">
      <c r="A45" s="24" t="s">
        <v>1364</v>
      </c>
      <c r="B45" s="1290" t="str">
        <f>IF('Part III A-Sources of Funds'!$H$36="","",-FV('Part III A-Sources of Funds'!$J$36/12,12,B28/12,'Part III A-Sources of Funds'!$H$36))</f>
        <v/>
      </c>
      <c r="C45" s="1290" t="str">
        <f>IF('Part III A-Sources of Funds'!$H$36="","",-FV('Part III A-Sources of Funds'!$J$36/12,12,C28/12,B45))</f>
        <v/>
      </c>
      <c r="D45" s="1290" t="str">
        <f>IF('Part III A-Sources of Funds'!$H$36="","",-FV('Part III A-Sources of Funds'!$J$36/12,12,D28/12,C45))</f>
        <v/>
      </c>
      <c r="E45" s="1290" t="str">
        <f>IF('Part III A-Sources of Funds'!$H$36="","",-FV('Part III A-Sources of Funds'!$J$36/12,12,E28/12,D45))</f>
        <v/>
      </c>
      <c r="F45" s="1290" t="str">
        <f>IF('Part III A-Sources of Funds'!$H$36="","",-FV('Part III A-Sources of Funds'!$J$36/12,12,F28/12,E45))</f>
        <v/>
      </c>
      <c r="G45" s="1290" t="str">
        <f>IF('Part III A-Sources of Funds'!$H$36="","",-FV('Part III A-Sources of Funds'!$J$36/12,12,G28/12,F45))</f>
        <v/>
      </c>
      <c r="H45" s="1290" t="str">
        <f>IF('Part III A-Sources of Funds'!$H$36="","",-FV('Part III A-Sources of Funds'!$J$36/12,12,H28/12,G45))</f>
        <v/>
      </c>
      <c r="I45" s="1290" t="str">
        <f>IF('Part III A-Sources of Funds'!$H$36="","",-FV('Part III A-Sources of Funds'!$J$36/12,12,I28/12,H45))</f>
        <v/>
      </c>
      <c r="J45" s="1290" t="str">
        <f>IF('Part III A-Sources of Funds'!$H$36="","",-FV('Part III A-Sources of Funds'!$J$36/12,12,J28/12,I45))</f>
        <v/>
      </c>
      <c r="K45" s="1290" t="str">
        <f>IF('Part III A-Sources of Funds'!$H$36="","",-FV('Part III A-Sources of Funds'!$J$36/12,12,K28/12,J45))</f>
        <v/>
      </c>
    </row>
    <row r="46" spans="1:11" ht="13.15" customHeight="1">
      <c r="A46" s="29" t="s">
        <v>1899</v>
      </c>
      <c r="B46" s="1292">
        <f>IF('Part III A-Sources of Funds'!$H$37="","",-FV('Part III A-Sources of Funds'!$J$37/12,12,B31/12,'Part III A-Sources of Funds'!H37))</f>
        <v>0</v>
      </c>
      <c r="C46" s="1292">
        <f>IF('Part III A-Sources of Funds'!$H$37="","",-FV('Part III A-Sources of Funds'!$J$37/12,12,C31/12,B46))</f>
        <v>0</v>
      </c>
      <c r="D46" s="1292">
        <f>IF('Part III A-Sources of Funds'!$H$37="","",-FV('Part III A-Sources of Funds'!$J$37/12,12,D31/12,C46))</f>
        <v>0</v>
      </c>
      <c r="E46" s="1292">
        <f>IF('Part III A-Sources of Funds'!$H$37="","",-FV('Part III A-Sources of Funds'!$J$37/12,12,E31/12,D46))</f>
        <v>0</v>
      </c>
      <c r="F46" s="1292">
        <f>IF('Part III A-Sources of Funds'!$H$37="","",-FV('Part III A-Sources of Funds'!$J$37/12,12,F31/12,E46))</f>
        <v>0</v>
      </c>
      <c r="G46" s="1292">
        <f>IF('Part III A-Sources of Funds'!$H$37="","",-FV('Part III A-Sources of Funds'!$J$37/12,12,G31/12,F46))</f>
        <v>0</v>
      </c>
      <c r="H46" s="1292">
        <f>IF('Part III A-Sources of Funds'!$H$37="","",-FV('Part III A-Sources of Funds'!$J$37/12,12,H31/12,G46))</f>
        <v>0</v>
      </c>
      <c r="I46" s="1292">
        <f>IF('Part III A-Sources of Funds'!$H$37="","",-FV('Part III A-Sources of Funds'!$J$37/12,12,I31/12,H46))</f>
        <v>0</v>
      </c>
      <c r="J46" s="1292">
        <f>IF('Part III A-Sources of Funds'!$H$37="","",-FV('Part III A-Sources of Funds'!$J$37/12,12,J31/12,I46))</f>
        <v>0</v>
      </c>
      <c r="K46" s="1292">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3641</v>
      </c>
      <c r="B49" s="22">
        <f t="shared" ref="B49:K49" si="18">$B$14*(1+$B$5)^(B48-1)</f>
        <v>301013.60609582532</v>
      </c>
      <c r="C49" s="22">
        <f t="shared" si="18"/>
        <v>307033.87821774179</v>
      </c>
      <c r="D49" s="22">
        <f t="shared" si="18"/>
        <v>313174.55578209669</v>
      </c>
      <c r="E49" s="22">
        <f t="shared" si="18"/>
        <v>319438.04689773859</v>
      </c>
      <c r="F49" s="22">
        <f t="shared" si="18"/>
        <v>325826.80783569341</v>
      </c>
      <c r="G49" s="22">
        <f t="shared" si="18"/>
        <v>332343.3439924072</v>
      </c>
      <c r="H49" s="22">
        <f t="shared" si="18"/>
        <v>338990.21087225538</v>
      </c>
      <c r="I49" s="22">
        <f t="shared" si="18"/>
        <v>345770.01508970052</v>
      </c>
      <c r="J49" s="22">
        <f t="shared" si="18"/>
        <v>352685.41539149446</v>
      </c>
      <c r="K49" s="23">
        <f t="shared" si="18"/>
        <v>359739.12369932438</v>
      </c>
    </row>
    <row r="50" spans="1:11" ht="13.15" customHeight="1">
      <c r="A50" s="24" t="s">
        <v>1632</v>
      </c>
      <c r="B50" s="25">
        <f t="shared" ref="B50:K50" si="19">$B$15*(1+$B$5)^(B48-1)</f>
        <v>6020.2721219165069</v>
      </c>
      <c r="C50" s="25">
        <f t="shared" si="19"/>
        <v>6140.6775643548362</v>
      </c>
      <c r="D50" s="25">
        <f t="shared" si="19"/>
        <v>6263.4911156419339</v>
      </c>
      <c r="E50" s="25">
        <f t="shared" si="19"/>
        <v>6388.7609379547721</v>
      </c>
      <c r="F50" s="25">
        <f t="shared" si="19"/>
        <v>6516.536156713868</v>
      </c>
      <c r="G50" s="25">
        <f t="shared" si="19"/>
        <v>6646.866879848144</v>
      </c>
      <c r="H50" s="25">
        <f t="shared" si="19"/>
        <v>6779.8042174451075</v>
      </c>
      <c r="I50" s="25">
        <f t="shared" si="19"/>
        <v>6915.4003017940104</v>
      </c>
      <c r="J50" s="25">
        <f t="shared" si="19"/>
        <v>7053.7083078298901</v>
      </c>
      <c r="K50" s="26">
        <f t="shared" si="19"/>
        <v>7194.7824739864873</v>
      </c>
    </row>
    <row r="51" spans="1:11" ht="13.15" customHeight="1">
      <c r="A51" s="24" t="s">
        <v>3642</v>
      </c>
      <c r="B51" s="25">
        <f t="shared" ref="B51:K51" si="20">-(B49+B50)*$B$8</f>
        <v>-21492.371475241933</v>
      </c>
      <c r="C51" s="25">
        <f t="shared" si="20"/>
        <v>-21922.218904746765</v>
      </c>
      <c r="D51" s="25">
        <f t="shared" si="20"/>
        <v>-22360.663282841706</v>
      </c>
      <c r="E51" s="25">
        <f t="shared" si="20"/>
        <v>-22807.876548498538</v>
      </c>
      <c r="F51" s="25">
        <f t="shared" si="20"/>
        <v>-23264.034079468511</v>
      </c>
      <c r="G51" s="25">
        <f t="shared" si="20"/>
        <v>-23729.314761057874</v>
      </c>
      <c r="H51" s="25">
        <f t="shared" si="20"/>
        <v>-24203.901056279035</v>
      </c>
      <c r="I51" s="25">
        <f t="shared" si="20"/>
        <v>-24687.97907740462</v>
      </c>
      <c r="J51" s="25">
        <f t="shared" si="20"/>
        <v>-25181.738658952709</v>
      </c>
      <c r="K51" s="26">
        <f t="shared" si="20"/>
        <v>-25685.373432131764</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1">$B$19*(1+$B$6)^(B48-1)</f>
        <v>-197415.94046013412</v>
      </c>
      <c r="C54" s="25">
        <f t="shared" si="21"/>
        <v>-203338.41867393814</v>
      </c>
      <c r="D54" s="25">
        <f t="shared" si="21"/>
        <v>-209438.57123415626</v>
      </c>
      <c r="E54" s="25">
        <f t="shared" si="21"/>
        <v>-215721.72837118094</v>
      </c>
      <c r="F54" s="25">
        <f t="shared" si="21"/>
        <v>-222193.38022231639</v>
      </c>
      <c r="G54" s="25">
        <f t="shared" si="21"/>
        <v>-228859.18162898588</v>
      </c>
      <c r="H54" s="25">
        <f t="shared" si="21"/>
        <v>-235724.95707785542</v>
      </c>
      <c r="I54" s="25">
        <f t="shared" si="21"/>
        <v>-242796.7057901911</v>
      </c>
      <c r="J54" s="25">
        <f t="shared" si="21"/>
        <v>-250080.60696389683</v>
      </c>
      <c r="K54" s="26">
        <f t="shared" si="21"/>
        <v>-257583.02517281371</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-17132</v>
      </c>
      <c r="C55" s="25">
        <f>IF(AND('Part VII-Pro Forma'!$G$8="Yes",'Part VII-Pro Forma'!$G$9="Yes"),"Choose One!",IF('Part VII-Pro Forma'!$G$8="Yes",ROUND((-$K$8*(1+'Part VII-Pro Forma'!$B$6)^('Part VII-Pro Forma'!C48-1)),),IF('Part VII-Pro Forma'!$G$9="Yes",ROUND((-(SUM(C49:C52)*'Part VII-Pro Forma'!$K$9)),),"Choose mgt fee")))</f>
        <v>-17475</v>
      </c>
      <c r="D55" s="25">
        <f>IF(AND('Part VII-Pro Forma'!$G$8="Yes",'Part VII-Pro Forma'!$G$9="Yes"),"Choose One!",IF('Part VII-Pro Forma'!$G$8="Yes",ROUND((-$K$8*(1+'Part VII-Pro Forma'!$B$6)^('Part VII-Pro Forma'!D48-1)),),IF('Part VII-Pro Forma'!$G$9="Yes",ROUND((-(SUM(D49:D52)*'Part VII-Pro Forma'!$K$9)),),"Choose mgt fee")))</f>
        <v>-17825</v>
      </c>
      <c r="E55" s="25">
        <f>IF(AND('Part VII-Pro Forma'!$G$8="Yes",'Part VII-Pro Forma'!$G$9="Yes"),"Choose One!",IF('Part VII-Pro Forma'!$G$8="Yes",ROUND((-$K$8*(1+'Part VII-Pro Forma'!$B$6)^('Part VII-Pro Forma'!E48-1)),),IF('Part VII-Pro Forma'!$G$9="Yes",ROUND((-(SUM(E49:E52)*'Part VII-Pro Forma'!$K$9)),),"Choose mgt fee")))</f>
        <v>-18181</v>
      </c>
      <c r="F55" s="25">
        <f>IF(AND('Part VII-Pro Forma'!$G$8="Yes",'Part VII-Pro Forma'!$G$9="Yes"),"Choose One!",IF('Part VII-Pro Forma'!$G$8="Yes",ROUND((-$K$8*(1+'Part VII-Pro Forma'!$B$6)^('Part VII-Pro Forma'!F48-1)),),IF('Part VII-Pro Forma'!$G$9="Yes",ROUND((-(SUM(F49:F52)*'Part VII-Pro Forma'!$K$9)),),"Choose mgt fee")))</f>
        <v>-18545</v>
      </c>
      <c r="G55" s="25">
        <f>IF(AND('Part VII-Pro Forma'!$G$8="Yes",'Part VII-Pro Forma'!$G$9="Yes"),"Choose One!",IF('Part VII-Pro Forma'!$G$8="Yes",ROUND((-$K$8*(1+'Part VII-Pro Forma'!$B$6)^('Part VII-Pro Forma'!G48-1)),),IF('Part VII-Pro Forma'!$G$9="Yes",ROUND((-(SUM(G49:G52)*'Part VII-Pro Forma'!$K$9)),),"Choose mgt fee")))</f>
        <v>-18916</v>
      </c>
      <c r="H55" s="25">
        <f>IF(AND('Part VII-Pro Forma'!$G$8="Yes",'Part VII-Pro Forma'!$G$9="Yes"),"Choose One!",IF('Part VII-Pro Forma'!$G$8="Yes",ROUND((-$K$8*(1+'Part VII-Pro Forma'!$B$6)^('Part VII-Pro Forma'!H48-1)),),IF('Part VII-Pro Forma'!$G$9="Yes",ROUND((-(SUM(H49:H52)*'Part VII-Pro Forma'!$K$9)),),"Choose mgt fee")))</f>
        <v>-19294</v>
      </c>
      <c r="I55" s="25">
        <f>IF(AND('Part VII-Pro Forma'!$G$8="Yes",'Part VII-Pro Forma'!$G$9="Yes"),"Choose One!",IF('Part VII-Pro Forma'!$G$8="Yes",ROUND((-$K$8*(1+'Part VII-Pro Forma'!$B$6)^('Part VII-Pro Forma'!I48-1)),),IF('Part VII-Pro Forma'!$G$9="Yes",ROUND((-(SUM(I49:I52)*'Part VII-Pro Forma'!$K$9)),),"Choose mgt fee")))</f>
        <v>-19680</v>
      </c>
      <c r="J55" s="25">
        <f>IF(AND('Part VII-Pro Forma'!$G$8="Yes",'Part VII-Pro Forma'!$G$9="Yes"),"Choose One!",IF('Part VII-Pro Forma'!$G$8="Yes",ROUND((-$K$8*(1+'Part VII-Pro Forma'!$B$6)^('Part VII-Pro Forma'!J48-1)),),IF('Part VII-Pro Forma'!$G$9="Yes",ROUND((-(SUM(J49:J52)*'Part VII-Pro Forma'!$K$9)),),"Choose mgt fee")))</f>
        <v>-20073</v>
      </c>
      <c r="K55" s="25">
        <f>IF(AND('Part VII-Pro Forma'!$G$8="Yes",'Part VII-Pro Forma'!$G$9="Yes"),"Choose One!",IF('Part VII-Pro Forma'!$G$8="Yes",ROUND((-$K$8*(1+'Part VII-Pro Forma'!$B$6)^('Part VII-Pro Forma'!K48-1)),),IF('Part VII-Pro Forma'!$G$9="Yes",ROUND((-(SUM(K49:K52)*'Part VII-Pro Forma'!$K$9)),),"Choose mgt fee")))</f>
        <v>-20475</v>
      </c>
    </row>
    <row r="56" spans="1:11" ht="13.15" customHeight="1">
      <c r="A56" s="24" t="s">
        <v>1862</v>
      </c>
      <c r="B56" s="25">
        <f t="shared" ref="B56:K56" si="22">$B$21*(1+$B$7)^(B48-1)</f>
        <v>-20884.460535007653</v>
      </c>
      <c r="C56" s="25">
        <f t="shared" si="22"/>
        <v>-21510.994351057881</v>
      </c>
      <c r="D56" s="25">
        <f t="shared" si="22"/>
        <v>-22156.324181589614</v>
      </c>
      <c r="E56" s="25">
        <f t="shared" si="22"/>
        <v>-22821.013907037304</v>
      </c>
      <c r="F56" s="25">
        <f t="shared" si="22"/>
        <v>-23505.644324248424</v>
      </c>
      <c r="G56" s="25">
        <f t="shared" si="22"/>
        <v>-24210.813653975878</v>
      </c>
      <c r="H56" s="25">
        <f t="shared" si="22"/>
        <v>-24937.13806359515</v>
      </c>
      <c r="I56" s="25">
        <f t="shared" si="22"/>
        <v>-25685.252205503006</v>
      </c>
      <c r="J56" s="25">
        <f t="shared" si="22"/>
        <v>-26455.809771668097</v>
      </c>
      <c r="K56" s="26">
        <f t="shared" si="22"/>
        <v>-27249.484064818138</v>
      </c>
    </row>
    <row r="57" spans="1:11" ht="13.15" customHeight="1">
      <c r="A57" s="24" t="s">
        <v>1863</v>
      </c>
      <c r="B57" s="25">
        <f t="shared" ref="B57:K57" si="23">SUM(B49:B56)</f>
        <v>50109.10574735811</v>
      </c>
      <c r="C57" s="25">
        <f t="shared" si="23"/>
        <v>48927.923852353859</v>
      </c>
      <c r="D57" s="25">
        <f t="shared" si="23"/>
        <v>47657.488199151034</v>
      </c>
      <c r="E57" s="25">
        <f t="shared" si="23"/>
        <v>46295.189008976588</v>
      </c>
      <c r="F57" s="25">
        <f t="shared" si="23"/>
        <v>44835.285366373922</v>
      </c>
      <c r="G57" s="25">
        <f t="shared" si="23"/>
        <v>43274.900828235659</v>
      </c>
      <c r="H57" s="25">
        <f t="shared" si="23"/>
        <v>41610.018891970874</v>
      </c>
      <c r="I57" s="25">
        <f t="shared" si="23"/>
        <v>39835.478318395813</v>
      </c>
      <c r="J57" s="25">
        <f t="shared" si="23"/>
        <v>37947.968304806753</v>
      </c>
      <c r="K57" s="26">
        <f t="shared" si="23"/>
        <v>35941.023503547258</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90">
        <f>IF('Part III A-Sources of Funds'!$M$33="", 0,-'Part III A-Sources of Funds'!$M$33)</f>
        <v>-35926.334739675862</v>
      </c>
      <c r="C60" s="1290">
        <f>IF('Part III A-Sources of Funds'!$M$33="", 0,-'Part III A-Sources of Funds'!$M$33)</f>
        <v>-35926.334739675862</v>
      </c>
      <c r="D60" s="1290">
        <f>IF('Part III A-Sources of Funds'!$M$33="", 0,-'Part III A-Sources of Funds'!$M$33)</f>
        <v>-35926.334739675862</v>
      </c>
      <c r="E60" s="1290">
        <f>IF('Part III A-Sources of Funds'!$M$33="", 0,-'Part III A-Sources of Funds'!$M$33)</f>
        <v>-35926.334739675862</v>
      </c>
      <c r="F60" s="1290">
        <f>IF('Part III A-Sources of Funds'!$M$33="", 0,-'Part III A-Sources of Funds'!$M$33)</f>
        <v>-35926.334739675862</v>
      </c>
      <c r="G60" s="1290">
        <f>IF('Part III A-Sources of Funds'!$M$33="", 0,-'Part III A-Sources of Funds'!$M$33)</f>
        <v>-35926.334739675862</v>
      </c>
      <c r="H60" s="1290">
        <f>IF('Part III A-Sources of Funds'!$M$33="", 0,-'Part III A-Sources of Funds'!$M$33)</f>
        <v>-35926.334739675862</v>
      </c>
      <c r="I60" s="1290">
        <f>IF('Part III A-Sources of Funds'!$M$33="", 0,-'Part III A-Sources of Funds'!$M$33)</f>
        <v>-35926.334739675862</v>
      </c>
      <c r="J60" s="1290">
        <f>IF('Part III A-Sources of Funds'!$M$33="", 0,-'Part III A-Sources of Funds'!$M$33)</f>
        <v>-35926.334739675862</v>
      </c>
      <c r="K60" s="1290">
        <f>IF('Part III A-Sources of Funds'!$M$33="", 0,-'Part III A-Sources of Funds'!$M$33)</f>
        <v>-35926.334739675862</v>
      </c>
    </row>
    <row r="61" spans="1:11" ht="13.15" customHeight="1">
      <c r="A61" s="24" t="str">
        <f t="shared" si="24"/>
        <v>D/S Mortgage B</v>
      </c>
      <c r="B61" s="1290">
        <f>IF('Part III A-Sources of Funds'!$M$34="", 0,-'Part III A-Sources of Funds'!$M$34)</f>
        <v>0</v>
      </c>
      <c r="C61" s="1290">
        <f>IF('Part III A-Sources of Funds'!$M$34="", 0,-'Part III A-Sources of Funds'!$M$34)</f>
        <v>0</v>
      </c>
      <c r="D61" s="1290">
        <f>IF('Part III A-Sources of Funds'!$M$34="", 0,-'Part III A-Sources of Funds'!$M$34)</f>
        <v>0</v>
      </c>
      <c r="E61" s="1290">
        <f>IF('Part III A-Sources of Funds'!$M$34="", 0,-'Part III A-Sources of Funds'!$M$34)</f>
        <v>0</v>
      </c>
      <c r="F61" s="1290">
        <f>IF('Part III A-Sources of Funds'!$M$34="", 0,-'Part III A-Sources of Funds'!$M$34)</f>
        <v>0</v>
      </c>
      <c r="G61" s="1290">
        <f>IF('Part III A-Sources of Funds'!$M$34="", 0,-'Part III A-Sources of Funds'!$M$34)</f>
        <v>0</v>
      </c>
      <c r="H61" s="1290">
        <f>IF('Part III A-Sources of Funds'!$M$34="", 0,-'Part III A-Sources of Funds'!$M$34)</f>
        <v>0</v>
      </c>
      <c r="I61" s="1290">
        <f>IF('Part III A-Sources of Funds'!$M$34="", 0,-'Part III A-Sources of Funds'!$M$34)</f>
        <v>0</v>
      </c>
      <c r="J61" s="1290">
        <f>IF('Part III A-Sources of Funds'!$M$34="", 0,-'Part III A-Sources of Funds'!$M$34)</f>
        <v>0</v>
      </c>
      <c r="K61" s="1290">
        <f>IF('Part III A-Sources of Funds'!$M$34="", 0,-'Part III A-Sources of Funds'!$M$34)</f>
        <v>0</v>
      </c>
    </row>
    <row r="62" spans="1:11" ht="13.15" customHeight="1">
      <c r="A62" s="24" t="str">
        <f t="shared" si="24"/>
        <v>D/S Other Source</v>
      </c>
      <c r="B62" s="1290">
        <f>IF('Part III A-Sources of Funds'!$M$35="", 0,-'Part III A-Sources of Funds'!$M$35)</f>
        <v>0</v>
      </c>
      <c r="C62" s="1290">
        <f>IF('Part III A-Sources of Funds'!$M$35="", 0,-'Part III A-Sources of Funds'!$M$35)</f>
        <v>0</v>
      </c>
      <c r="D62" s="1290">
        <f>IF('Part III A-Sources of Funds'!$M$35="", 0,-'Part III A-Sources of Funds'!$M$35)</f>
        <v>0</v>
      </c>
      <c r="E62" s="1290">
        <f>IF('Part III A-Sources of Funds'!$M$35="", 0,-'Part III A-Sources of Funds'!$M$35)</f>
        <v>0</v>
      </c>
      <c r="F62" s="1290">
        <f>IF('Part III A-Sources of Funds'!$M$35="", 0,-'Part III A-Sources of Funds'!$M$35)</f>
        <v>0</v>
      </c>
      <c r="G62" s="1290">
        <f>IF('Part III A-Sources of Funds'!$M$35="", 0,-'Part III A-Sources of Funds'!$M$35)</f>
        <v>0</v>
      </c>
      <c r="H62" s="1290">
        <f>IF('Part III A-Sources of Funds'!$M$35="", 0,-'Part III A-Sources of Funds'!$M$35)</f>
        <v>0</v>
      </c>
      <c r="I62" s="1290">
        <f>IF('Part III A-Sources of Funds'!$M$35="", 0,-'Part III A-Sources of Funds'!$M$35)</f>
        <v>0</v>
      </c>
      <c r="J62" s="1290">
        <f>IF('Part III A-Sources of Funds'!$M$35="", 0,-'Part III A-Sources of Funds'!$M$35)</f>
        <v>0</v>
      </c>
      <c r="K62" s="1290">
        <f>IF('Part III A-Sources of Funds'!$M$35="", 0,-'Part III A-Sources of Funds'!$M$35)</f>
        <v>0</v>
      </c>
    </row>
    <row r="63" spans="1:11" ht="13.15" customHeight="1">
      <c r="A63" s="24" t="str">
        <f t="shared" si="24"/>
        <v>D/S Grant from fdn / charity</v>
      </c>
      <c r="B63" s="1290">
        <f>IF('Part III A-Sources of Funds'!$M$36="", 0,-'Part III A-Sources of Funds'!$M$36)</f>
        <v>0</v>
      </c>
      <c r="C63" s="1290">
        <f>IF('Part III A-Sources of Funds'!$M$36="", 0,-'Part III A-Sources of Funds'!$M$36)</f>
        <v>0</v>
      </c>
      <c r="D63" s="1290">
        <f>IF('Part III A-Sources of Funds'!$M$36="", 0,-'Part III A-Sources of Funds'!$M$36)</f>
        <v>0</v>
      </c>
      <c r="E63" s="1290">
        <f>IF('Part III A-Sources of Funds'!$M$36="", 0,-'Part III A-Sources of Funds'!$M$36)</f>
        <v>0</v>
      </c>
      <c r="F63" s="1290">
        <f>IF('Part III A-Sources of Funds'!$M$36="", 0,-'Part III A-Sources of Funds'!$M$36)</f>
        <v>0</v>
      </c>
      <c r="G63" s="1290">
        <f>IF('Part III A-Sources of Funds'!$M$36="", 0,-'Part III A-Sources of Funds'!$M$36)</f>
        <v>0</v>
      </c>
      <c r="H63" s="1290">
        <f>IF('Part III A-Sources of Funds'!$M$36="", 0,-'Part III A-Sources of Funds'!$M$36)</f>
        <v>0</v>
      </c>
      <c r="I63" s="1290">
        <f>IF('Part III A-Sources of Funds'!$M$36="", 0,-'Part III A-Sources of Funds'!$M$36)</f>
        <v>0</v>
      </c>
      <c r="J63" s="1290">
        <f>IF('Part III A-Sources of Funds'!$M$36="", 0,-'Part III A-Sources of Funds'!$M$36)</f>
        <v>0</v>
      </c>
      <c r="K63" s="1290">
        <f>IF('Part III A-Sources of Funds'!$M$36="", 0,-'Part III A-Sources of Funds'!$M$36)</f>
        <v>0</v>
      </c>
    </row>
    <row r="64" spans="1:11" ht="13.15" customHeight="1">
      <c r="A64" s="24" t="s">
        <v>1336</v>
      </c>
      <c r="B64" s="1291"/>
      <c r="C64" s="1291"/>
      <c r="D64" s="1291"/>
      <c r="E64" s="1291"/>
      <c r="F64" s="1291"/>
      <c r="G64" s="1291"/>
      <c r="H64" s="1291"/>
      <c r="I64" s="1291"/>
      <c r="J64" s="1291"/>
      <c r="K64" s="1291"/>
    </row>
    <row r="65" spans="1:11" ht="13.15" customHeight="1">
      <c r="A65" s="24" t="s">
        <v>1807</v>
      </c>
      <c r="B65" s="1290">
        <f>+K30</f>
        <v>-3500</v>
      </c>
      <c r="C65" s="1290">
        <f t="shared" ref="C65:K65" si="25">+B65</f>
        <v>-3500</v>
      </c>
      <c r="D65" s="1290">
        <f t="shared" si="25"/>
        <v>-3500</v>
      </c>
      <c r="E65" s="1290">
        <f t="shared" si="25"/>
        <v>-3500</v>
      </c>
      <c r="F65" s="1290">
        <f t="shared" si="25"/>
        <v>-3500</v>
      </c>
      <c r="G65" s="1290">
        <f t="shared" si="25"/>
        <v>-3500</v>
      </c>
      <c r="H65" s="1290">
        <f t="shared" si="25"/>
        <v>-3500</v>
      </c>
      <c r="I65" s="1290">
        <f t="shared" si="25"/>
        <v>-3500</v>
      </c>
      <c r="J65" s="1290">
        <f t="shared" si="25"/>
        <v>-3500</v>
      </c>
      <c r="K65" s="1290">
        <f t="shared" si="25"/>
        <v>-3500</v>
      </c>
    </row>
    <row r="66" spans="1:11" ht="13.15" customHeight="1">
      <c r="A66" s="24" t="s">
        <v>1864</v>
      </c>
      <c r="B66" s="1290">
        <f>IF('Part III A-Sources of Funds'!$M$37="", 0,-'Part III A-Sources of Funds'!$M$37)</f>
        <v>0</v>
      </c>
      <c r="C66" s="1290">
        <f>IF('Part III A-Sources of Funds'!$M$37="", 0,-'Part III A-Sources of Funds'!$M$37)</f>
        <v>0</v>
      </c>
      <c r="D66" s="1290">
        <f>IF('Part III A-Sources of Funds'!$M$37="", 0,-'Part III A-Sources of Funds'!$M$37)</f>
        <v>0</v>
      </c>
      <c r="E66" s="1290">
        <f>IF('Part III A-Sources of Funds'!$M$37="", 0,-'Part III A-Sources of Funds'!$M$37)</f>
        <v>0</v>
      </c>
      <c r="F66" s="1290">
        <f>IF('Part III A-Sources of Funds'!$M$37="", 0,-'Part III A-Sources of Funds'!$M$37)</f>
        <v>0</v>
      </c>
      <c r="G66" s="1290">
        <f>IF('Part III A-Sources of Funds'!$M$37="", 0,-'Part III A-Sources of Funds'!$M$37)</f>
        <v>0</v>
      </c>
      <c r="H66" s="1290">
        <f>IF('Part III A-Sources of Funds'!$M$37="", 0,-'Part III A-Sources of Funds'!$M$37)</f>
        <v>0</v>
      </c>
      <c r="I66" s="1290">
        <f>IF('Part III A-Sources of Funds'!$M$37="", 0,-'Part III A-Sources of Funds'!$M$37)</f>
        <v>0</v>
      </c>
      <c r="J66" s="1290">
        <f>IF('Part III A-Sources of Funds'!$M$37="", 0,-'Part III A-Sources of Funds'!$M$37)</f>
        <v>0</v>
      </c>
      <c r="K66" s="1290">
        <f>IF('Part III A-Sources of Funds'!$M$37="", 0,-'Part III A-Sources of Funds'!$M$37)</f>
        <v>0</v>
      </c>
    </row>
    <row r="67" spans="1:11" ht="13.15" customHeight="1">
      <c r="A67" s="24" t="s">
        <v>1808</v>
      </c>
      <c r="B67" s="1292">
        <f>+K32</f>
        <v>0</v>
      </c>
      <c r="C67" s="1292">
        <f t="shared" ref="C67:K67" si="26">+B67</f>
        <v>0</v>
      </c>
      <c r="D67" s="1292">
        <f t="shared" si="26"/>
        <v>0</v>
      </c>
      <c r="E67" s="1292">
        <f t="shared" si="26"/>
        <v>0</v>
      </c>
      <c r="F67" s="1292">
        <f t="shared" si="26"/>
        <v>0</v>
      </c>
      <c r="G67" s="1292">
        <f t="shared" si="26"/>
        <v>0</v>
      </c>
      <c r="H67" s="1292">
        <f t="shared" si="26"/>
        <v>0</v>
      </c>
      <c r="I67" s="1292">
        <f t="shared" si="26"/>
        <v>0</v>
      </c>
      <c r="J67" s="1292">
        <f t="shared" si="26"/>
        <v>0</v>
      </c>
      <c r="K67" s="1292">
        <f t="shared" si="26"/>
        <v>0</v>
      </c>
    </row>
    <row r="68" spans="1:11" ht="13.15" customHeight="1">
      <c r="A68" s="24" t="s">
        <v>1809</v>
      </c>
      <c r="B68" s="25">
        <f t="shared" ref="B68:K68" si="27">SUM(B57:B67)</f>
        <v>10682.771007682248</v>
      </c>
      <c r="C68" s="25">
        <f t="shared" si="27"/>
        <v>9501.589112677997</v>
      </c>
      <c r="D68" s="25">
        <f t="shared" si="27"/>
        <v>8231.153459475172</v>
      </c>
      <c r="E68" s="25">
        <f t="shared" si="27"/>
        <v>6868.8542693007257</v>
      </c>
      <c r="F68" s="25">
        <f t="shared" si="27"/>
        <v>5408.9506266980607</v>
      </c>
      <c r="G68" s="25">
        <f t="shared" si="27"/>
        <v>3848.5660885597972</v>
      </c>
      <c r="H68" s="25">
        <f t="shared" si="27"/>
        <v>2183.6841522950126</v>
      </c>
      <c r="I68" s="25">
        <f t="shared" si="27"/>
        <v>409.14357871995162</v>
      </c>
      <c r="J68" s="25">
        <f t="shared" si="27"/>
        <v>-1478.3664348691091</v>
      </c>
      <c r="K68" s="23">
        <f t="shared" si="27"/>
        <v>-3485.3112361286039</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1.3947736698010349</v>
      </c>
      <c r="C71" s="27">
        <f t="shared" ref="C71:K71" si="31">IF(OR(C60=0,AND(C60=0,C59=0,C58=0)),"",-C57/(C58+C59+C60))</f>
        <v>1.3618957849969446</v>
      </c>
      <c r="D71" s="27">
        <f t="shared" si="31"/>
        <v>1.3265335455030338</v>
      </c>
      <c r="E71" s="27">
        <f t="shared" si="31"/>
        <v>1.2886143088192545</v>
      </c>
      <c r="F71" s="27">
        <f t="shared" si="31"/>
        <v>1.247978278086334</v>
      </c>
      <c r="G71" s="27">
        <f t="shared" si="31"/>
        <v>1.2045453882731956</v>
      </c>
      <c r="H71" s="27">
        <f t="shared" si="31"/>
        <v>1.1582038410953772</v>
      </c>
      <c r="I71" s="27">
        <f t="shared" si="31"/>
        <v>1.1088099748289331</v>
      </c>
      <c r="J71" s="27">
        <f t="shared" si="31"/>
        <v>1.0562716341586125</v>
      </c>
      <c r="K71" s="28">
        <f t="shared" si="31"/>
        <v>1.0004088578469759</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1345</v>
      </c>
      <c r="B75" s="379">
        <f>IF(OR(B55="Choose mgt fee",B55="Choose One!"),"",(B49+B50+B51+B52+B53) / -(B54+B55+B56))</f>
        <v>1.212838613273082</v>
      </c>
      <c r="C75" s="379">
        <f t="shared" ref="C75:K75" si="35">IF(OR(C55="Choose mgt fee",C55="Choose One!"),"",(C49+C50+C51+C52+C53) / -(C54+C55+C56))</f>
        <v>1.2019108320188394</v>
      </c>
      <c r="D75" s="379">
        <f t="shared" si="35"/>
        <v>1.1910733228386337</v>
      </c>
      <c r="E75" s="379">
        <f t="shared" si="35"/>
        <v>1.1803307656632913</v>
      </c>
      <c r="F75" s="379">
        <f t="shared" si="35"/>
        <v>1.1696737908957828</v>
      </c>
      <c r="G75" s="379">
        <f t="shared" si="35"/>
        <v>1.159107092198679</v>
      </c>
      <c r="H75" s="379">
        <f t="shared" si="35"/>
        <v>1.1486305160491219</v>
      </c>
      <c r="I75" s="379">
        <f t="shared" si="35"/>
        <v>1.1382398932720714</v>
      </c>
      <c r="J75" s="379">
        <f t="shared" si="35"/>
        <v>1.1279391892626198</v>
      </c>
      <c r="K75" s="380">
        <f t="shared" si="35"/>
        <v>1.1177207321015257</v>
      </c>
    </row>
    <row r="76" spans="1:11" ht="13.15" customHeight="1">
      <c r="A76" s="24" t="str">
        <f>IF('Part III A-Sources of Funds'!$E$32 = "Neither", "", "First Mortgage Balance")</f>
        <v/>
      </c>
      <c r="B76" s="1293">
        <f>IF('Part III A-Sources of Funds'!$H$32="","",-FV('Part III A-Sources of Funds'!$J$32/12,12,B58/12,K41))</f>
        <v>0</v>
      </c>
      <c r="C76" s="1293">
        <f>IF('Part III A-Sources of Funds'!$H$32="","",-FV('Part III A-Sources of Funds'!$J$32/12,12,C58/12,B76))</f>
        <v>0</v>
      </c>
      <c r="D76" s="1293">
        <f>IF('Part III A-Sources of Funds'!$H$32="","",-FV('Part III A-Sources of Funds'!$J$32/12,12,D58/12,C76))</f>
        <v>0</v>
      </c>
      <c r="E76" s="1293">
        <f>IF('Part III A-Sources of Funds'!$H$32="","",-FV('Part III A-Sources of Funds'!$J$32/12,12,E58/12,D76))</f>
        <v>0</v>
      </c>
      <c r="F76" s="1293">
        <f>IF('Part III A-Sources of Funds'!$H$32="","",-FV('Part III A-Sources of Funds'!$J$32/12,12,F58/12,E76))</f>
        <v>0</v>
      </c>
      <c r="G76" s="1293">
        <f>IF('Part III A-Sources of Funds'!$H$32="","",-FV('Part III A-Sources of Funds'!$J$32/12,12,G58/12,F76))</f>
        <v>0</v>
      </c>
      <c r="H76" s="1293">
        <f>IF('Part III A-Sources of Funds'!$H$32="","",-FV('Part III A-Sources of Funds'!$J$32/12,12,H58/12,G76))</f>
        <v>0</v>
      </c>
      <c r="I76" s="1293">
        <f>IF('Part III A-Sources of Funds'!$H$32="","",-FV('Part III A-Sources of Funds'!$J$32/12,12,I58/12,H76))</f>
        <v>0</v>
      </c>
      <c r="J76" s="1293">
        <f>IF('Part III A-Sources of Funds'!$H$32="","",-FV('Part III A-Sources of Funds'!$J$32/12,12,J58/12,I76))</f>
        <v>0</v>
      </c>
      <c r="K76" s="1293">
        <f>IF('Part III A-Sources of Funds'!$H$32="","",-FV('Part III A-Sources of Funds'!$J$32/12,12,K58/12,J76))</f>
        <v>0</v>
      </c>
    </row>
    <row r="77" spans="1:11" ht="13.15" customHeight="1">
      <c r="A77" s="24" t="str">
        <f>IF('Part III A-Sources of Funds'!$E$32 = "Neither", "First Mortgage Balance", "Second Mortgage Balance")</f>
        <v>First Mortgage Balance</v>
      </c>
      <c r="B77" s="1290">
        <f>IF('Part III A-Sources of Funds'!$H$33="","",-FV('Part III A-Sources of Funds'!$J$33/12,12,B60/12,K42))</f>
        <v>376969.27331889316</v>
      </c>
      <c r="C77" s="1290">
        <f>IF('Part III A-Sources of Funds'!$H$33="","",-FV('Part III A-Sources of Funds'!$J$33/12,12,C60/12,B77))</f>
        <v>367118.73195029865</v>
      </c>
      <c r="D77" s="1290">
        <f>IF('Part III A-Sources of Funds'!$H$33="","",-FV('Part III A-Sources of Funds'!$J$33/12,12,D60/12,C77))</f>
        <v>356556.09414969076</v>
      </c>
      <c r="E77" s="1290">
        <f>IF('Part III A-Sources of Funds'!$H$33="","",-FV('Part III A-Sources of Funds'!$J$33/12,12,E60/12,D77))</f>
        <v>345229.88240842178</v>
      </c>
      <c r="F77" s="1290">
        <f>IF('Part III A-Sources of Funds'!$H$33="","",-FV('Part III A-Sources of Funds'!$J$33/12,12,F60/12,E77))</f>
        <v>333084.89790458162</v>
      </c>
      <c r="G77" s="1290">
        <f>IF('Part III A-Sources of Funds'!$H$33="","",-FV('Part III A-Sources of Funds'!$J$33/12,12,G60/12,F77))</f>
        <v>320061.95148896112</v>
      </c>
      <c r="H77" s="1290">
        <f>IF('Part III A-Sources of Funds'!$H$33="","",-FV('Part III A-Sources of Funds'!$J$33/12,12,H60/12,G77))</f>
        <v>306097.57522396895</v>
      </c>
      <c r="I77" s="1290">
        <f>IF('Part III A-Sources of Funds'!$H$33="","",-FV('Part III A-Sources of Funds'!$J$33/12,12,I60/12,H77))</f>
        <v>291123.71306967363</v>
      </c>
      <c r="J77" s="1290">
        <f>IF('Part III A-Sources of Funds'!$H$33="","",-FV('Part III A-Sources of Funds'!$J$33/12,12,J60/12,I77))</f>
        <v>275067.38920951413</v>
      </c>
      <c r="K77" s="1290">
        <f>IF('Part III A-Sources of Funds'!$H$33="","",-FV('Part III A-Sources of Funds'!$J$33/12,12,K60/12,J77))</f>
        <v>257850.35239924988</v>
      </c>
    </row>
    <row r="78" spans="1:11" ht="13.15" customHeight="1">
      <c r="A78" s="24" t="str">
        <f>IF('Part III A-Sources of Funds'!$E$32 = "Neither", "Second Mortgage Balance", "Third Mortgage Balance")</f>
        <v>Second Mortgage Balance</v>
      </c>
      <c r="B78" s="1290" t="str">
        <f>IF('Part III A-Sources of Funds'!$H$34="","",-FV('Part III A-Sources of Funds'!$J$34/12,12,B61/12,K43))</f>
        <v/>
      </c>
      <c r="C78" s="1290" t="str">
        <f>IF('Part III A-Sources of Funds'!$H$34="","",-FV('Part III A-Sources of Funds'!$J$34/12,12,C61/12,B78))</f>
        <v/>
      </c>
      <c r="D78" s="1290" t="str">
        <f>IF('Part III A-Sources of Funds'!$H$34="","",-FV('Part III A-Sources of Funds'!$J$34/12,12,D61/12,C78))</f>
        <v/>
      </c>
      <c r="E78" s="1290" t="str">
        <f>IF('Part III A-Sources of Funds'!$H$34="","",-FV('Part III A-Sources of Funds'!$J$34/12,12,E61/12,D78))</f>
        <v/>
      </c>
      <c r="F78" s="1290" t="str">
        <f>IF('Part III A-Sources of Funds'!$H$34="","",-FV('Part III A-Sources of Funds'!$J$34/12,12,F61/12,E78))</f>
        <v/>
      </c>
      <c r="G78" s="1290" t="str">
        <f>IF('Part III A-Sources of Funds'!$H$34="","",-FV('Part III A-Sources of Funds'!$J$34/12,12,G61/12,F78))</f>
        <v/>
      </c>
      <c r="H78" s="1290" t="str">
        <f>IF('Part III A-Sources of Funds'!$H$34="","",-FV('Part III A-Sources of Funds'!$J$34/12,12,H61/12,G78))</f>
        <v/>
      </c>
      <c r="I78" s="1290" t="str">
        <f>IF('Part III A-Sources of Funds'!$H$34="","",-FV('Part III A-Sources of Funds'!$J$34/12,12,I61/12,H78))</f>
        <v/>
      </c>
      <c r="J78" s="1290" t="str">
        <f>IF('Part III A-Sources of Funds'!$H$34="","",-FV('Part III A-Sources of Funds'!$J$34/12,12,J61/12,I78))</f>
        <v/>
      </c>
      <c r="K78" s="1290" t="str">
        <f>IF('Part III A-Sources of Funds'!$H$34="","",-FV('Part III A-Sources of Funds'!$J$34/12,12,K61/12,J78))</f>
        <v/>
      </c>
    </row>
    <row r="79" spans="1:11" ht="13.15" customHeight="1">
      <c r="A79" s="24" t="s">
        <v>1364</v>
      </c>
      <c r="B79" s="1290" t="str">
        <f>IF('Part III A-Sources of Funds'!$H$35="","",-FV('Part III A-Sources of Funds'!$J$35/12,12,B62/12,K44))</f>
        <v/>
      </c>
      <c r="C79" s="1290" t="str">
        <f>IF('Part III A-Sources of Funds'!$H$35="","",-FV('Part III A-Sources of Funds'!$J$35/12,12,C62/12,B79))</f>
        <v/>
      </c>
      <c r="D79" s="1290" t="str">
        <f>IF('Part III A-Sources of Funds'!$H$35="","",-FV('Part III A-Sources of Funds'!$J$35/12,12,D62/12,C79))</f>
        <v/>
      </c>
      <c r="E79" s="1290" t="str">
        <f>IF('Part III A-Sources of Funds'!$H$35="","",-FV('Part III A-Sources of Funds'!$J$35/12,12,E62/12,D79))</f>
        <v/>
      </c>
      <c r="F79" s="1290" t="str">
        <f>IF('Part III A-Sources of Funds'!$H$35="","",-FV('Part III A-Sources of Funds'!$J$35/12,12,F62/12,E79))</f>
        <v/>
      </c>
      <c r="G79" s="1290" t="str">
        <f>IF('Part III A-Sources of Funds'!$H$35="","",-FV('Part III A-Sources of Funds'!$J$35/12,12,G62/12,F79))</f>
        <v/>
      </c>
      <c r="H79" s="1290" t="str">
        <f>IF('Part III A-Sources of Funds'!$H$35="","",-FV('Part III A-Sources of Funds'!$J$35/12,12,H62/12,G79))</f>
        <v/>
      </c>
      <c r="I79" s="1290" t="str">
        <f>IF('Part III A-Sources of Funds'!$H$35="","",-FV('Part III A-Sources of Funds'!$J$35/12,12,I62/12,H79))</f>
        <v/>
      </c>
      <c r="J79" s="1290" t="str">
        <f>IF('Part III A-Sources of Funds'!$H$35="","",-FV('Part III A-Sources of Funds'!$J$35/12,12,J62/12,I79))</f>
        <v/>
      </c>
      <c r="K79" s="1290" t="str">
        <f>IF('Part III A-Sources of Funds'!$H$35="","",-FV('Part III A-Sources of Funds'!$J$35/12,12,K62/12,J79))</f>
        <v/>
      </c>
    </row>
    <row r="80" spans="1:11" ht="13.15" customHeight="1">
      <c r="A80" s="24" t="s">
        <v>1364</v>
      </c>
      <c r="B80" s="1290" t="str">
        <f>IF('Part III A-Sources of Funds'!$H$36="","",-FV('Part III A-Sources of Funds'!$J$36/12,12,B63/12,K45))</f>
        <v/>
      </c>
      <c r="C80" s="1290" t="str">
        <f>IF('Part III A-Sources of Funds'!$H$36="","",-FV('Part III A-Sources of Funds'!$J$36/12,12,C63/12,B80))</f>
        <v/>
      </c>
      <c r="D80" s="1290" t="str">
        <f>IF('Part III A-Sources of Funds'!$H$36="","",-FV('Part III A-Sources of Funds'!$J$36/12,12,D63/12,C80))</f>
        <v/>
      </c>
      <c r="E80" s="1290" t="str">
        <f>IF('Part III A-Sources of Funds'!$H$36="","",-FV('Part III A-Sources of Funds'!$J$36/12,12,E63/12,D80))</f>
        <v/>
      </c>
      <c r="F80" s="1290" t="str">
        <f>IF('Part III A-Sources of Funds'!$H$36="","",-FV('Part III A-Sources of Funds'!$J$36/12,12,F63/12,E80))</f>
        <v/>
      </c>
      <c r="G80" s="1290" t="str">
        <f>IF('Part III A-Sources of Funds'!$H$36="","",-FV('Part III A-Sources of Funds'!$J$36/12,12,G63/12,F80))</f>
        <v/>
      </c>
      <c r="H80" s="1290" t="str">
        <f>IF('Part III A-Sources of Funds'!$H$36="","",-FV('Part III A-Sources of Funds'!$J$36/12,12,H63/12,G80))</f>
        <v/>
      </c>
      <c r="I80" s="1290" t="str">
        <f>IF('Part III A-Sources of Funds'!$H$36="","",-FV('Part III A-Sources of Funds'!$J$36/12,12,I63/12,H80))</f>
        <v/>
      </c>
      <c r="J80" s="1290" t="str">
        <f>IF('Part III A-Sources of Funds'!$H$36="","",-FV('Part III A-Sources of Funds'!$J$36/12,12,J63/12,I80))</f>
        <v/>
      </c>
      <c r="K80" s="1290" t="str">
        <f>IF('Part III A-Sources of Funds'!$H$36="","",-FV('Part III A-Sources of Funds'!$J$36/12,12,K63/12,J80))</f>
        <v/>
      </c>
    </row>
    <row r="81" spans="1:11" ht="13.15" customHeight="1">
      <c r="A81" s="29" t="s">
        <v>1899</v>
      </c>
      <c r="B81" s="1292">
        <f>IF('Part III A-Sources of Funds'!$H$37="","",-FV('Part III A-Sources of Funds'!$J$37/12,12,B66/12,K46))</f>
        <v>0</v>
      </c>
      <c r="C81" s="1292">
        <f>IF('Part III A-Sources of Funds'!$H$37="","",-FV('Part III A-Sources of Funds'!$J$37/12,12,C66/12,B81))</f>
        <v>0</v>
      </c>
      <c r="D81" s="1292">
        <f>IF('Part III A-Sources of Funds'!$H$37="","",-FV('Part III A-Sources of Funds'!$J$37/12,12,D66/12,C81))</f>
        <v>0</v>
      </c>
      <c r="E81" s="1292">
        <f>IF('Part III A-Sources of Funds'!$H$37="","",-FV('Part III A-Sources of Funds'!$J$37/12,12,E66/12,D81))</f>
        <v>0</v>
      </c>
      <c r="F81" s="1292">
        <f>IF('Part III A-Sources of Funds'!$H$37="","",-FV('Part III A-Sources of Funds'!$J$37/12,12,F66/12,E81))</f>
        <v>0</v>
      </c>
      <c r="G81" s="1292">
        <f>IF('Part III A-Sources of Funds'!$H$37="","",-FV('Part III A-Sources of Funds'!$J$37/12,12,G66/12,F81))</f>
        <v>0</v>
      </c>
      <c r="H81" s="1292">
        <f>IF('Part III A-Sources of Funds'!$H$37="","",-FV('Part III A-Sources of Funds'!$J$37/12,12,H66/12,G81))</f>
        <v>0</v>
      </c>
      <c r="I81" s="1292">
        <f>IF('Part III A-Sources of Funds'!$H$37="","",-FV('Part III A-Sources of Funds'!$J$37/12,12,I66/12,H81))</f>
        <v>0</v>
      </c>
      <c r="J81" s="1292">
        <f>IF('Part III A-Sources of Funds'!$H$37="","",-FV('Part III A-Sources of Funds'!$J$37/12,12,J66/12,I81))</f>
        <v>0</v>
      </c>
      <c r="K81" s="1292">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3641</v>
      </c>
      <c r="B84" s="22">
        <f t="shared" ref="B84:K84" si="37">$B$14*(1+$B$5)^(B83-1)</f>
        <v>366933.90617331088</v>
      </c>
      <c r="C84" s="22">
        <f t="shared" si="37"/>
        <v>374272.58429677709</v>
      </c>
      <c r="D84" s="22">
        <f t="shared" si="37"/>
        <v>381758.03598271264</v>
      </c>
      <c r="E84" s="22">
        <f t="shared" si="37"/>
        <v>389393.19670236681</v>
      </c>
      <c r="F84" s="22">
        <f t="shared" si="37"/>
        <v>397181.06063641416</v>
      </c>
      <c r="G84" s="22">
        <f t="shared" si="37"/>
        <v>405124.68184914248</v>
      </c>
      <c r="H84" s="22">
        <f t="shared" si="37"/>
        <v>413227.17548612534</v>
      </c>
      <c r="I84" s="22">
        <f t="shared" si="37"/>
        <v>421491.7189958478</v>
      </c>
      <c r="J84" s="22">
        <f t="shared" si="37"/>
        <v>429921.55337576481</v>
      </c>
      <c r="K84" s="23">
        <f t="shared" si="37"/>
        <v>438519.98444328003</v>
      </c>
    </row>
    <row r="85" spans="1:11" ht="13.15" customHeight="1">
      <c r="A85" s="24" t="s">
        <v>1632</v>
      </c>
      <c r="B85" s="25">
        <f t="shared" ref="B85:K85" si="38">$B$15*(1+$B$5)^(B83-1)</f>
        <v>7338.6781234662176</v>
      </c>
      <c r="C85" s="25">
        <f t="shared" si="38"/>
        <v>7485.4516859355417</v>
      </c>
      <c r="D85" s="25">
        <f t="shared" si="38"/>
        <v>7635.1607196542527</v>
      </c>
      <c r="E85" s="25">
        <f t="shared" si="38"/>
        <v>7787.8639340473364</v>
      </c>
      <c r="F85" s="25">
        <f t="shared" si="38"/>
        <v>7943.6212127282843</v>
      </c>
      <c r="G85" s="25">
        <f t="shared" si="38"/>
        <v>8102.4936369828492</v>
      </c>
      <c r="H85" s="25">
        <f t="shared" si="38"/>
        <v>8264.5435097225072</v>
      </c>
      <c r="I85" s="25">
        <f t="shared" si="38"/>
        <v>8429.8343799169561</v>
      </c>
      <c r="J85" s="25">
        <f t="shared" si="38"/>
        <v>8598.4310675152974</v>
      </c>
      <c r="K85" s="26">
        <f t="shared" si="38"/>
        <v>8770.399688865602</v>
      </c>
    </row>
    <row r="86" spans="1:11" ht="13.15" customHeight="1">
      <c r="A86" s="24" t="s">
        <v>3642</v>
      </c>
      <c r="B86" s="25">
        <f t="shared" ref="B86:K86" si="39">-(B84+B85)*$B$8</f>
        <v>-26199.080900774399</v>
      </c>
      <c r="C86" s="25">
        <f t="shared" si="39"/>
        <v>-26723.062518789888</v>
      </c>
      <c r="D86" s="25">
        <f t="shared" si="39"/>
        <v>-27257.523769165684</v>
      </c>
      <c r="E86" s="25">
        <f t="shared" si="39"/>
        <v>-27802.674244548994</v>
      </c>
      <c r="F86" s="25">
        <f t="shared" si="39"/>
        <v>-28358.727729439972</v>
      </c>
      <c r="G86" s="25">
        <f t="shared" si="39"/>
        <v>-28925.902284028776</v>
      </c>
      <c r="H86" s="25">
        <f t="shared" si="39"/>
        <v>-29504.420329709352</v>
      </c>
      <c r="I86" s="25">
        <f t="shared" si="39"/>
        <v>-30094.508736303535</v>
      </c>
      <c r="J86" s="25">
        <f t="shared" si="39"/>
        <v>-30696.39891102961</v>
      </c>
      <c r="K86" s="26">
        <f t="shared" si="39"/>
        <v>-31310.326889250195</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0">$B$19*(1+$B$6)^(B83-1)</f>
        <v>-265310.51592799812</v>
      </c>
      <c r="C89" s="25">
        <f t="shared" si="40"/>
        <v>-273269.83140583802</v>
      </c>
      <c r="D89" s="25">
        <f t="shared" si="40"/>
        <v>-281467.92634801322</v>
      </c>
      <c r="E89" s="25">
        <f t="shared" si="40"/>
        <v>-289911.96413845359</v>
      </c>
      <c r="F89" s="25">
        <f t="shared" si="40"/>
        <v>-298609.3230626072</v>
      </c>
      <c r="G89" s="25">
        <f t="shared" si="40"/>
        <v>-307567.60275448539</v>
      </c>
      <c r="H89" s="25">
        <f t="shared" si="40"/>
        <v>-316794.63083712</v>
      </c>
      <c r="I89" s="25">
        <f t="shared" si="40"/>
        <v>-326298.46976223355</v>
      </c>
      <c r="J89" s="25">
        <f t="shared" si="40"/>
        <v>-336087.42385510058</v>
      </c>
      <c r="K89" s="26">
        <f t="shared" si="40"/>
        <v>-346170.04657075356</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-20884</v>
      </c>
      <c r="C90" s="25">
        <f>IF(AND('Part VII-Pro Forma'!$G$8="Yes",'Part VII-Pro Forma'!$G$9="Yes"),"Choose One!",IF('Part VII-Pro Forma'!$G$8="Yes",ROUND((-$K$8*(1+'Part VII-Pro Forma'!$B$6)^('Part VII-Pro Forma'!C83-1)),),IF('Part VII-Pro Forma'!$G$9="Yes",ROUND((-(SUM(C84:C87)*'Part VII-Pro Forma'!$K$9)),),"Choose mgt fee")))</f>
        <v>-21302</v>
      </c>
      <c r="D90" s="25">
        <f>IF(AND('Part VII-Pro Forma'!$G$8="Yes",'Part VII-Pro Forma'!$G$9="Yes"),"Choose One!",IF('Part VII-Pro Forma'!$G$8="Yes",ROUND((-$K$8*(1+'Part VII-Pro Forma'!$B$6)^('Part VII-Pro Forma'!D83-1)),),IF('Part VII-Pro Forma'!$G$9="Yes",ROUND((-(SUM(D84:D87)*'Part VII-Pro Forma'!$K$9)),),"Choose mgt fee")))</f>
        <v>-21728</v>
      </c>
      <c r="E90" s="25">
        <f>IF(AND('Part VII-Pro Forma'!$G$8="Yes",'Part VII-Pro Forma'!$G$9="Yes"),"Choose One!",IF('Part VII-Pro Forma'!$G$8="Yes",ROUND((-$K$8*(1+'Part VII-Pro Forma'!$B$6)^('Part VII-Pro Forma'!E83-1)),),IF('Part VII-Pro Forma'!$G$9="Yes",ROUND((-(SUM(E84:E87)*'Part VII-Pro Forma'!$K$9)),),"Choose mgt fee")))</f>
        <v>-22163</v>
      </c>
      <c r="F90" s="25">
        <f>IF(AND('Part VII-Pro Forma'!$G$8="Yes",'Part VII-Pro Forma'!$G$9="Yes"),"Choose One!",IF('Part VII-Pro Forma'!$G$8="Yes",ROUND((-$K$8*(1+'Part VII-Pro Forma'!$B$6)^('Part VII-Pro Forma'!F83-1)),),IF('Part VII-Pro Forma'!$G$9="Yes",ROUND((-(SUM(F84:F87)*'Part VII-Pro Forma'!$K$9)),),"Choose mgt fee")))</f>
        <v>-22606</v>
      </c>
      <c r="G90" s="25">
        <f>IF(AND('Part VII-Pro Forma'!$G$8="Yes",'Part VII-Pro Forma'!$G$9="Yes"),"Choose One!",IF('Part VII-Pro Forma'!$G$8="Yes",ROUND((-$K$8*(1+'Part VII-Pro Forma'!$B$6)^('Part VII-Pro Forma'!G83-1)),),IF('Part VII-Pro Forma'!$G$9="Yes",ROUND((-(SUM(G84:G87)*'Part VII-Pro Forma'!$K$9)),),"Choose mgt fee")))</f>
        <v>-23058</v>
      </c>
      <c r="H90" s="25">
        <f>IF(AND('Part VII-Pro Forma'!$G$8="Yes",'Part VII-Pro Forma'!$G$9="Yes"),"Choose One!",IF('Part VII-Pro Forma'!$G$8="Yes",ROUND((-$K$8*(1+'Part VII-Pro Forma'!$B$6)^('Part VII-Pro Forma'!H83-1)),),IF('Part VII-Pro Forma'!$G$9="Yes",ROUND((-(SUM(H84:H87)*'Part VII-Pro Forma'!$K$9)),),"Choose mgt fee")))</f>
        <v>-23519</v>
      </c>
      <c r="I90" s="25">
        <f>IF(AND('Part VII-Pro Forma'!$G$8="Yes",'Part VII-Pro Forma'!$G$9="Yes"),"Choose One!",IF('Part VII-Pro Forma'!$G$8="Yes",ROUND((-$K$8*(1+'Part VII-Pro Forma'!$B$6)^('Part VII-Pro Forma'!I83-1)),),IF('Part VII-Pro Forma'!$G$9="Yes",ROUND((-(SUM(I84:I87)*'Part VII-Pro Forma'!$K$9)),),"Choose mgt fee")))</f>
        <v>-23990</v>
      </c>
      <c r="J90" s="25">
        <f>IF(AND('Part VII-Pro Forma'!$G$8="Yes",'Part VII-Pro Forma'!$G$9="Yes"),"Choose One!",IF('Part VII-Pro Forma'!$G$8="Yes",ROUND((-$K$8*(1+'Part VII-Pro Forma'!$B$6)^('Part VII-Pro Forma'!J83-1)),),IF('Part VII-Pro Forma'!$G$9="Yes",ROUND((-(SUM(J84:J87)*'Part VII-Pro Forma'!$K$9)),),"Choose mgt fee")))</f>
        <v>-24469</v>
      </c>
      <c r="K90" s="25">
        <f>IF(AND('Part VII-Pro Forma'!$G$8="Yes",'Part VII-Pro Forma'!$G$9="Yes"),"Choose One!",IF('Part VII-Pro Forma'!$G$8="Yes",ROUND((-$K$8*(1+'Part VII-Pro Forma'!$B$6)^('Part VII-Pro Forma'!K83-1)),),IF('Part VII-Pro Forma'!$G$9="Yes",ROUND((-(SUM(K84:K87)*'Part VII-Pro Forma'!$K$9)),),"Choose mgt fee")))</f>
        <v>-24959</v>
      </c>
    </row>
    <row r="91" spans="1:11" ht="13.15" customHeight="1">
      <c r="A91" s="24" t="s">
        <v>1862</v>
      </c>
      <c r="B91" s="25">
        <f t="shared" ref="B91:K91" si="41">$B$21*(1+$B$7)^(B83-1)</f>
        <v>-28066.968586762683</v>
      </c>
      <c r="C91" s="25">
        <f t="shared" si="41"/>
        <v>-28908.977644365557</v>
      </c>
      <c r="D91" s="25">
        <f t="shared" si="41"/>
        <v>-29776.246973696529</v>
      </c>
      <c r="E91" s="25">
        <f t="shared" si="41"/>
        <v>-30669.534382907426</v>
      </c>
      <c r="F91" s="25">
        <f t="shared" si="41"/>
        <v>-31589.620414394645</v>
      </c>
      <c r="G91" s="25">
        <f t="shared" si="41"/>
        <v>-32537.309026826482</v>
      </c>
      <c r="H91" s="25">
        <f t="shared" si="41"/>
        <v>-33513.428297631282</v>
      </c>
      <c r="I91" s="25">
        <f t="shared" si="41"/>
        <v>-34518.831146560216</v>
      </c>
      <c r="J91" s="25">
        <f t="shared" si="41"/>
        <v>-35554.39608095702</v>
      </c>
      <c r="K91" s="26">
        <f t="shared" si="41"/>
        <v>-36621.027963385728</v>
      </c>
    </row>
    <row r="92" spans="1:11" ht="13.15" customHeight="1">
      <c r="A92" s="24" t="s">
        <v>1863</v>
      </c>
      <c r="B92" s="25">
        <f t="shared" ref="B92:K92" si="42">SUM(B84:B91)</f>
        <v>33812.018881241893</v>
      </c>
      <c r="C92" s="25">
        <f t="shared" si="42"/>
        <v>31554.164413719162</v>
      </c>
      <c r="D92" s="25">
        <f t="shared" si="42"/>
        <v>29163.499611491439</v>
      </c>
      <c r="E92" s="25">
        <f t="shared" si="42"/>
        <v>26633.887870504128</v>
      </c>
      <c r="F92" s="25">
        <f t="shared" si="42"/>
        <v>23961.010642700603</v>
      </c>
      <c r="G92" s="25">
        <f t="shared" si="42"/>
        <v>21138.361420784709</v>
      </c>
      <c r="H92" s="25">
        <f t="shared" si="42"/>
        <v>18160.239531387211</v>
      </c>
      <c r="I92" s="25">
        <f t="shared" si="42"/>
        <v>15019.74373066744</v>
      </c>
      <c r="J92" s="25">
        <f t="shared" si="42"/>
        <v>11712.765596192861</v>
      </c>
      <c r="K92" s="26">
        <f t="shared" si="42"/>
        <v>8229.982708756128</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90">
        <f>IF('Part III A-Sources of Funds'!$M$33="", 0,-'Part III A-Sources of Funds'!$M$33)</f>
        <v>-35926.334739675862</v>
      </c>
      <c r="C95" s="1290">
        <f>IF('Part III A-Sources of Funds'!$M$33="", 0,-'Part III A-Sources of Funds'!$M$33)</f>
        <v>-35926.334739675862</v>
      </c>
      <c r="D95" s="1290">
        <f>IF('Part III A-Sources of Funds'!$M$33="", 0,-'Part III A-Sources of Funds'!$M$33)</f>
        <v>-35926.334739675862</v>
      </c>
      <c r="E95" s="1290">
        <f>IF('Part III A-Sources of Funds'!$M$33="", 0,-'Part III A-Sources of Funds'!$M$33)</f>
        <v>-35926.334739675862</v>
      </c>
      <c r="F95" s="1290">
        <f>IF('Part III A-Sources of Funds'!$M$33="", 0,-'Part III A-Sources of Funds'!$M$33)</f>
        <v>-35926.334739675862</v>
      </c>
      <c r="G95" s="1290">
        <f>IF('Part III A-Sources of Funds'!$M$33="", 0,-'Part III A-Sources of Funds'!$M$33)</f>
        <v>-35926.334739675862</v>
      </c>
      <c r="H95" s="1290">
        <f>IF('Part III A-Sources of Funds'!$M$33="", 0,-'Part III A-Sources of Funds'!$M$33)</f>
        <v>-35926.334739675862</v>
      </c>
      <c r="I95" s="1290">
        <f>IF('Part III A-Sources of Funds'!$M$33="", 0,-'Part III A-Sources of Funds'!$M$33)</f>
        <v>-35926.334739675862</v>
      </c>
      <c r="J95" s="1290">
        <f>IF('Part III A-Sources of Funds'!$M$33="", 0,-'Part III A-Sources of Funds'!$M$33)</f>
        <v>-35926.334739675862</v>
      </c>
      <c r="K95" s="1290">
        <f>IF('Part III A-Sources of Funds'!$M$33="", 0,-'Part III A-Sources of Funds'!$M$33)</f>
        <v>-35926.334739675862</v>
      </c>
    </row>
    <row r="96" spans="1:11" ht="13.15" customHeight="1">
      <c r="A96" s="24" t="str">
        <f t="shared" si="43"/>
        <v>D/S Mortgage B</v>
      </c>
      <c r="B96" s="1290">
        <f>IF('Part III A-Sources of Funds'!$M$34="", 0,-'Part III A-Sources of Funds'!$M$34)</f>
        <v>0</v>
      </c>
      <c r="C96" s="1290">
        <f>IF('Part III A-Sources of Funds'!$M$34="", 0,-'Part III A-Sources of Funds'!$M$34)</f>
        <v>0</v>
      </c>
      <c r="D96" s="1290">
        <f>IF('Part III A-Sources of Funds'!$M$34="", 0,-'Part III A-Sources of Funds'!$M$34)</f>
        <v>0</v>
      </c>
      <c r="E96" s="1290">
        <f>IF('Part III A-Sources of Funds'!$M$34="", 0,-'Part III A-Sources of Funds'!$M$34)</f>
        <v>0</v>
      </c>
      <c r="F96" s="1290">
        <f>IF('Part III A-Sources of Funds'!$M$34="", 0,-'Part III A-Sources of Funds'!$M$34)</f>
        <v>0</v>
      </c>
      <c r="G96" s="1290">
        <f>IF('Part III A-Sources of Funds'!$M$34="", 0,-'Part III A-Sources of Funds'!$M$34)</f>
        <v>0</v>
      </c>
      <c r="H96" s="1290">
        <f>IF('Part III A-Sources of Funds'!$M$34="", 0,-'Part III A-Sources of Funds'!$M$34)</f>
        <v>0</v>
      </c>
      <c r="I96" s="1290">
        <f>IF('Part III A-Sources of Funds'!$M$34="", 0,-'Part III A-Sources of Funds'!$M$34)</f>
        <v>0</v>
      </c>
      <c r="J96" s="1290">
        <f>IF('Part III A-Sources of Funds'!$M$34="", 0,-'Part III A-Sources of Funds'!$M$34)</f>
        <v>0</v>
      </c>
      <c r="K96" s="1290">
        <f>IF('Part III A-Sources of Funds'!$M$34="", 0,-'Part III A-Sources of Funds'!$M$34)</f>
        <v>0</v>
      </c>
    </row>
    <row r="97" spans="1:11" ht="13.15" customHeight="1">
      <c r="A97" s="24" t="str">
        <f t="shared" si="43"/>
        <v>D/S Other Source</v>
      </c>
      <c r="B97" s="1290">
        <f>IF('Part III A-Sources of Funds'!$M$35="", 0,-'Part III A-Sources of Funds'!$M$35)</f>
        <v>0</v>
      </c>
      <c r="C97" s="1290">
        <f>IF('Part III A-Sources of Funds'!$M$35="", 0,-'Part III A-Sources of Funds'!$M$35)</f>
        <v>0</v>
      </c>
      <c r="D97" s="1290">
        <f>IF('Part III A-Sources of Funds'!$M$35="", 0,-'Part III A-Sources of Funds'!$M$35)</f>
        <v>0</v>
      </c>
      <c r="E97" s="1290">
        <f>IF('Part III A-Sources of Funds'!$M$35="", 0,-'Part III A-Sources of Funds'!$M$35)</f>
        <v>0</v>
      </c>
      <c r="F97" s="1290">
        <f>IF('Part III A-Sources of Funds'!$M$35="", 0,-'Part III A-Sources of Funds'!$M$35)</f>
        <v>0</v>
      </c>
      <c r="G97" s="1290">
        <f>IF('Part III A-Sources of Funds'!$M$35="", 0,-'Part III A-Sources of Funds'!$M$35)</f>
        <v>0</v>
      </c>
      <c r="H97" s="1290">
        <f>IF('Part III A-Sources of Funds'!$M$35="", 0,-'Part III A-Sources of Funds'!$M$35)</f>
        <v>0</v>
      </c>
      <c r="I97" s="1290">
        <f>IF('Part III A-Sources of Funds'!$M$35="", 0,-'Part III A-Sources of Funds'!$M$35)</f>
        <v>0</v>
      </c>
      <c r="J97" s="1290">
        <f>IF('Part III A-Sources of Funds'!$M$35="", 0,-'Part III A-Sources of Funds'!$M$35)</f>
        <v>0</v>
      </c>
      <c r="K97" s="1290">
        <f>IF('Part III A-Sources of Funds'!$M$35="", 0,-'Part III A-Sources of Funds'!$M$35)</f>
        <v>0</v>
      </c>
    </row>
    <row r="98" spans="1:11" ht="13.15" customHeight="1">
      <c r="A98" s="24" t="str">
        <f t="shared" si="43"/>
        <v>D/S Grant from fdn / charity</v>
      </c>
      <c r="B98" s="1290">
        <f>IF('Part III A-Sources of Funds'!$M$36="", 0,-'Part III A-Sources of Funds'!$M$36)</f>
        <v>0</v>
      </c>
      <c r="C98" s="1290">
        <f>IF('Part III A-Sources of Funds'!$M$36="", 0,-'Part III A-Sources of Funds'!$M$36)</f>
        <v>0</v>
      </c>
      <c r="D98" s="1290">
        <f>IF('Part III A-Sources of Funds'!$M$36="", 0,-'Part III A-Sources of Funds'!$M$36)</f>
        <v>0</v>
      </c>
      <c r="E98" s="1290">
        <f>IF('Part III A-Sources of Funds'!$M$36="", 0,-'Part III A-Sources of Funds'!$M$36)</f>
        <v>0</v>
      </c>
      <c r="F98" s="1290">
        <f>IF('Part III A-Sources of Funds'!$M$36="", 0,-'Part III A-Sources of Funds'!$M$36)</f>
        <v>0</v>
      </c>
      <c r="G98" s="1290">
        <f>IF('Part III A-Sources of Funds'!$M$36="", 0,-'Part III A-Sources of Funds'!$M$36)</f>
        <v>0</v>
      </c>
      <c r="H98" s="1290">
        <f>IF('Part III A-Sources of Funds'!$M$36="", 0,-'Part III A-Sources of Funds'!$M$36)</f>
        <v>0</v>
      </c>
      <c r="I98" s="1290">
        <f>IF('Part III A-Sources of Funds'!$M$36="", 0,-'Part III A-Sources of Funds'!$M$36)</f>
        <v>0</v>
      </c>
      <c r="J98" s="1290">
        <f>IF('Part III A-Sources of Funds'!$M$36="", 0,-'Part III A-Sources of Funds'!$M$36)</f>
        <v>0</v>
      </c>
      <c r="K98" s="1290">
        <f>IF('Part III A-Sources of Funds'!$M$36="", 0,-'Part III A-Sources of Funds'!$M$36)</f>
        <v>0</v>
      </c>
    </row>
    <row r="99" spans="1:11" ht="13.15" customHeight="1">
      <c r="A99" s="24" t="s">
        <v>1336</v>
      </c>
      <c r="B99" s="1291"/>
      <c r="C99" s="1291"/>
      <c r="D99" s="1291"/>
      <c r="E99" s="1291"/>
      <c r="F99" s="1291"/>
      <c r="G99" s="1291"/>
      <c r="H99" s="1291"/>
      <c r="I99" s="1291"/>
      <c r="J99" s="1291"/>
      <c r="K99" s="1291"/>
    </row>
    <row r="100" spans="1:11" ht="13.15" customHeight="1">
      <c r="A100" s="24" t="s">
        <v>1807</v>
      </c>
      <c r="B100" s="1290">
        <f>+K65</f>
        <v>-3500</v>
      </c>
      <c r="C100" s="1290">
        <f t="shared" ref="C100:K100" si="44">+B100</f>
        <v>-3500</v>
      </c>
      <c r="D100" s="1290">
        <f t="shared" si="44"/>
        <v>-3500</v>
      </c>
      <c r="E100" s="1290">
        <f t="shared" si="44"/>
        <v>-3500</v>
      </c>
      <c r="F100" s="1290">
        <f t="shared" si="44"/>
        <v>-3500</v>
      </c>
      <c r="G100" s="1290">
        <f t="shared" si="44"/>
        <v>-3500</v>
      </c>
      <c r="H100" s="1290">
        <f t="shared" si="44"/>
        <v>-3500</v>
      </c>
      <c r="I100" s="1290">
        <f t="shared" si="44"/>
        <v>-3500</v>
      </c>
      <c r="J100" s="1290">
        <f t="shared" si="44"/>
        <v>-3500</v>
      </c>
      <c r="K100" s="1290">
        <f t="shared" si="44"/>
        <v>-3500</v>
      </c>
    </row>
    <row r="101" spans="1:11" ht="13.15" customHeight="1">
      <c r="A101" s="24" t="s">
        <v>1864</v>
      </c>
      <c r="B101" s="1290">
        <f>IF('Part III A-Sources of Funds'!$M$37="", 0,-'Part III A-Sources of Funds'!$M$37)</f>
        <v>0</v>
      </c>
      <c r="C101" s="1290">
        <f>IF('Part III A-Sources of Funds'!$M$37="", 0,-'Part III A-Sources of Funds'!$M$37)</f>
        <v>0</v>
      </c>
      <c r="D101" s="1290">
        <f>IF('Part III A-Sources of Funds'!$M$37="", 0,-'Part III A-Sources of Funds'!$M$37)</f>
        <v>0</v>
      </c>
      <c r="E101" s="1290">
        <f>IF('Part III A-Sources of Funds'!$M$37="", 0,-'Part III A-Sources of Funds'!$M$37)</f>
        <v>0</v>
      </c>
      <c r="F101" s="1290">
        <f>IF('Part III A-Sources of Funds'!$M$37="", 0,-'Part III A-Sources of Funds'!$M$37)</f>
        <v>0</v>
      </c>
      <c r="G101" s="1290">
        <f>IF('Part III A-Sources of Funds'!$M$37="", 0,-'Part III A-Sources of Funds'!$M$37)</f>
        <v>0</v>
      </c>
      <c r="H101" s="1290">
        <f>IF('Part III A-Sources of Funds'!$M$37="", 0,-'Part III A-Sources of Funds'!$M$37)</f>
        <v>0</v>
      </c>
      <c r="I101" s="1290">
        <f>IF('Part III A-Sources of Funds'!$M$37="", 0,-'Part III A-Sources of Funds'!$M$37)</f>
        <v>0</v>
      </c>
      <c r="J101" s="1290">
        <f>IF('Part III A-Sources of Funds'!$M$37="", 0,-'Part III A-Sources of Funds'!$M$37)</f>
        <v>0</v>
      </c>
      <c r="K101" s="1290">
        <f>IF('Part III A-Sources of Funds'!$M$37="", 0,-'Part III A-Sources of Funds'!$M$37)</f>
        <v>0</v>
      </c>
    </row>
    <row r="102" spans="1:11" ht="13.15" customHeight="1">
      <c r="A102" s="24" t="s">
        <v>1808</v>
      </c>
      <c r="B102" s="1292">
        <f>+K67</f>
        <v>0</v>
      </c>
      <c r="C102" s="1292">
        <f t="shared" ref="C102:K102" si="45">+B102</f>
        <v>0</v>
      </c>
      <c r="D102" s="1292">
        <f t="shared" si="45"/>
        <v>0</v>
      </c>
      <c r="E102" s="1292">
        <f t="shared" si="45"/>
        <v>0</v>
      </c>
      <c r="F102" s="1292">
        <f t="shared" si="45"/>
        <v>0</v>
      </c>
      <c r="G102" s="1292">
        <f t="shared" si="45"/>
        <v>0</v>
      </c>
      <c r="H102" s="1292">
        <f t="shared" si="45"/>
        <v>0</v>
      </c>
      <c r="I102" s="1292">
        <f t="shared" si="45"/>
        <v>0</v>
      </c>
      <c r="J102" s="1292">
        <f t="shared" si="45"/>
        <v>0</v>
      </c>
      <c r="K102" s="1292">
        <f t="shared" si="45"/>
        <v>0</v>
      </c>
    </row>
    <row r="103" spans="1:11" ht="13.15" customHeight="1">
      <c r="A103" s="24" t="s">
        <v>1809</v>
      </c>
      <c r="B103" s="25">
        <f t="shared" ref="B103:K103" si="46">SUM(B92:B102)</f>
        <v>-5614.315858433969</v>
      </c>
      <c r="C103" s="25">
        <f t="shared" si="46"/>
        <v>-7872.1703259567003</v>
      </c>
      <c r="D103" s="25">
        <f t="shared" si="46"/>
        <v>-10262.835128184423</v>
      </c>
      <c r="E103" s="25">
        <f t="shared" si="46"/>
        <v>-12792.446869171734</v>
      </c>
      <c r="F103" s="25">
        <f t="shared" si="46"/>
        <v>-15465.324096975259</v>
      </c>
      <c r="G103" s="25">
        <f t="shared" si="46"/>
        <v>-18287.973318891152</v>
      </c>
      <c r="H103" s="25">
        <f t="shared" si="46"/>
        <v>-21266.095208288651</v>
      </c>
      <c r="I103" s="25">
        <f t="shared" si="46"/>
        <v>-24406.591009008422</v>
      </c>
      <c r="J103" s="25">
        <f t="shared" si="46"/>
        <v>-27713.569143483001</v>
      </c>
      <c r="K103" s="23">
        <f t="shared" si="46"/>
        <v>-31196.352030919734</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0.94114857878616298</v>
      </c>
      <c r="C106" s="27">
        <f t="shared" ref="C106:K106" si="50">IF(OR(C95=0,AND(C95=0,C94=0,C93=0)),"",-C92/(C93+C94+C95))</f>
        <v>0.87830179845403988</v>
      </c>
      <c r="D106" s="27">
        <f t="shared" si="50"/>
        <v>0.81175827767601993</v>
      </c>
      <c r="E106" s="27">
        <f t="shared" si="50"/>
        <v>0.74134720570563906</v>
      </c>
      <c r="F106" s="27">
        <f t="shared" si="50"/>
        <v>0.66694837690299791</v>
      </c>
      <c r="G106" s="27">
        <f t="shared" si="50"/>
        <v>0.58838068436300017</v>
      </c>
      <c r="H106" s="27">
        <f t="shared" si="50"/>
        <v>0.50548545135420231</v>
      </c>
      <c r="I106" s="27">
        <f t="shared" si="50"/>
        <v>0.41807058358447374</v>
      </c>
      <c r="J106" s="27">
        <f t="shared" si="50"/>
        <v>0.3260217242049373</v>
      </c>
      <c r="K106" s="28">
        <f t="shared" si="50"/>
        <v>0.229079386149214</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1345</v>
      </c>
      <c r="B110" s="379">
        <f>IF(OR(B90="Choose mgt fee",B90="Choose One!"),"",(B84+B85+B86+B87+B88) / -(B89+B90+B91))</f>
        <v>1.107591991215372</v>
      </c>
      <c r="C110" s="379">
        <f t="shared" ref="C110:K110" si="54">IF(OR(C90="Choose mgt fee",C90="Choose One!"),"",(C84+C85+C86+C87+C88) / -(C89+C90+C91))</f>
        <v>1.0975457075996802</v>
      </c>
      <c r="D110" s="379">
        <f t="shared" si="54"/>
        <v>1.0875853958622375</v>
      </c>
      <c r="E110" s="379">
        <f t="shared" si="54"/>
        <v>1.0777077035091904</v>
      </c>
      <c r="F110" s="379">
        <f t="shared" si="54"/>
        <v>1.0679157451892749</v>
      </c>
      <c r="G110" s="379">
        <f t="shared" si="54"/>
        <v>1.0582062780505344</v>
      </c>
      <c r="H110" s="379">
        <f t="shared" si="54"/>
        <v>1.0485792536618948</v>
      </c>
      <c r="I110" s="379">
        <f t="shared" si="54"/>
        <v>1.0390318574912574</v>
      </c>
      <c r="J110" s="379">
        <f t="shared" si="54"/>
        <v>1.0295694159480007</v>
      </c>
      <c r="K110" s="380">
        <f t="shared" si="54"/>
        <v>1.020183890139466</v>
      </c>
    </row>
    <row r="111" spans="1:11" ht="13.15" customHeight="1">
      <c r="A111" s="24" t="str">
        <f>IF('Part III A-Sources of Funds'!$E$32 = "Neither", "", "First Mortgage Balance")</f>
        <v/>
      </c>
      <c r="B111" s="1293">
        <f>IF('Part III A-Sources of Funds'!$H$32="","",-FV('Part III A-Sources of Funds'!$J$32/12,12,B93/12,K76))</f>
        <v>0</v>
      </c>
      <c r="C111" s="1293">
        <f>IF('Part III A-Sources of Funds'!$H$32="","",-FV('Part III A-Sources of Funds'!$J$32/12,12,C93/12,B111))</f>
        <v>0</v>
      </c>
      <c r="D111" s="1293">
        <f>IF('Part III A-Sources of Funds'!$H$32="","",-FV('Part III A-Sources of Funds'!$J$32/12,12,D93/12,C111))</f>
        <v>0</v>
      </c>
      <c r="E111" s="1293">
        <f>IF('Part III A-Sources of Funds'!$H$32="","",-FV('Part III A-Sources of Funds'!$J$32/12,12,E93/12,D111))</f>
        <v>0</v>
      </c>
      <c r="F111" s="1293">
        <f>IF('Part III A-Sources of Funds'!$H$32="","",-FV('Part III A-Sources of Funds'!$J$32/12,12,F93/12,E111))</f>
        <v>0</v>
      </c>
      <c r="G111" s="1293">
        <f>IF('Part III A-Sources of Funds'!$H$32="","",-FV('Part III A-Sources of Funds'!$J$32/12,12,G93/12,F111))</f>
        <v>0</v>
      </c>
      <c r="H111" s="1293">
        <f>IF('Part III A-Sources of Funds'!$H$32="","",-FV('Part III A-Sources of Funds'!$J$32/12,12,H93/12,G111))</f>
        <v>0</v>
      </c>
      <c r="I111" s="1293">
        <f>IF('Part III A-Sources of Funds'!$H$32="","",-FV('Part III A-Sources of Funds'!$J$32/12,12,I93/12,H111))</f>
        <v>0</v>
      </c>
      <c r="J111" s="1293">
        <f>IF('Part III A-Sources of Funds'!$H$32="","",-FV('Part III A-Sources of Funds'!$J$32/12,12,J93/12,I111))</f>
        <v>0</v>
      </c>
      <c r="K111" s="1293">
        <f>IF('Part III A-Sources of Funds'!$H$32="","",-FV('Part III A-Sources of Funds'!$J$32/12,12,K93/12,J111))</f>
        <v>0</v>
      </c>
    </row>
    <row r="112" spans="1:11" ht="13.15" customHeight="1">
      <c r="A112" s="24" t="str">
        <f>IF('Part III A-Sources of Funds'!$E$32 = "Neither", "First Mortgage Balance", "Second Mortgage Balance")</f>
        <v>First Mortgage Balance</v>
      </c>
      <c r="B112" s="1290">
        <f>IF('Part III A-Sources of Funds'!$H$33="","",-FV('Part III A-Sources of Funds'!$J$33/12,12,B95/12,K77))</f>
        <v>239388.69460586683</v>
      </c>
      <c r="C112" s="1290">
        <f>IF('Part III A-Sources of Funds'!$H$33="","",-FV('Part III A-Sources of Funds'!$J$33/12,12,C95/12,B112))</f>
        <v>219592.44207785995</v>
      </c>
      <c r="D112" s="1290">
        <f>IF('Part III A-Sources of Funds'!$H$33="","",-FV('Part III A-Sources of Funds'!$J$33/12,12,D95/12,C112))</f>
        <v>198365.11685395296</v>
      </c>
      <c r="E112" s="1290">
        <f>IF('Part III A-Sources of Funds'!$H$33="","",-FV('Part III A-Sources of Funds'!$J$33/12,12,E95/12,D112))</f>
        <v>175603.26657324814</v>
      </c>
      <c r="F112" s="1290">
        <f>IF('Part III A-Sources of Funds'!$H$33="","",-FV('Part III A-Sources of Funds'!$J$33/12,12,F95/12,E112))</f>
        <v>151195.96029531362</v>
      </c>
      <c r="G112" s="1290">
        <f>IF('Part III A-Sources of Funds'!$H$33="","",-FV('Part III A-Sources of Funds'!$J$33/12,12,G95/12,F112))</f>
        <v>125024.24787306431</v>
      </c>
      <c r="H112" s="1290">
        <f>IF('Part III A-Sources of Funds'!$H$33="","",-FV('Part III A-Sources of Funds'!$J$33/12,12,H95/12,G112))</f>
        <v>96960.580243664444</v>
      </c>
      <c r="I112" s="1290">
        <f>IF('Part III A-Sources of Funds'!$H$33="","",-FV('Part III A-Sources of Funds'!$J$33/12,12,I95/12,H112))</f>
        <v>66868.187812212709</v>
      </c>
      <c r="J112" s="1290">
        <f>IF('Part III A-Sources of Funds'!$H$33="","",-FV('Part III A-Sources of Funds'!$J$33/12,12,J95/12,I112))</f>
        <v>34600.413898733757</v>
      </c>
      <c r="K112" s="1290">
        <f>IF('Part III A-Sources of Funds'!$H$33="","",-FV('Part III A-Sources of Funds'!$J$33/12,12,K95/12,J112))</f>
        <v>-1.3242242857813835E-9</v>
      </c>
    </row>
    <row r="113" spans="1:11" ht="13.15" customHeight="1">
      <c r="A113" s="24" t="str">
        <f>IF('Part III A-Sources of Funds'!$E$32 = "Neither", "Second Mortgage Balance", "Third Mortgage Balance")</f>
        <v>Second Mortgage Balance</v>
      </c>
      <c r="B113" s="1290" t="str">
        <f>IF('Part III A-Sources of Funds'!$H$34="","",-FV('Part III A-Sources of Funds'!$J$34/12,12,B96/12,K78))</f>
        <v/>
      </c>
      <c r="C113" s="1290" t="str">
        <f>IF('Part III A-Sources of Funds'!$H$34="","",-FV('Part III A-Sources of Funds'!$J$34/12,12,C96/12,B113))</f>
        <v/>
      </c>
      <c r="D113" s="1290" t="str">
        <f>IF('Part III A-Sources of Funds'!$H$34="","",-FV('Part III A-Sources of Funds'!$J$34/12,12,D96/12,C113))</f>
        <v/>
      </c>
      <c r="E113" s="1290" t="str">
        <f>IF('Part III A-Sources of Funds'!$H$34="","",-FV('Part III A-Sources of Funds'!$J$34/12,12,E96/12,D113))</f>
        <v/>
      </c>
      <c r="F113" s="1290" t="str">
        <f>IF('Part III A-Sources of Funds'!$H$34="","",-FV('Part III A-Sources of Funds'!$J$34/12,12,F96/12,E113))</f>
        <v/>
      </c>
      <c r="G113" s="1290" t="str">
        <f>IF('Part III A-Sources of Funds'!$H$34="","",-FV('Part III A-Sources of Funds'!$J$34/12,12,G96/12,F113))</f>
        <v/>
      </c>
      <c r="H113" s="1290" t="str">
        <f>IF('Part III A-Sources of Funds'!$H$34="","",-FV('Part III A-Sources of Funds'!$J$34/12,12,H96/12,G113))</f>
        <v/>
      </c>
      <c r="I113" s="1290" t="str">
        <f>IF('Part III A-Sources of Funds'!$H$34="","",-FV('Part III A-Sources of Funds'!$J$34/12,12,I96/12,H113))</f>
        <v/>
      </c>
      <c r="J113" s="1290" t="str">
        <f>IF('Part III A-Sources of Funds'!$H$34="","",-FV('Part III A-Sources of Funds'!$J$34/12,12,J96/12,I113))</f>
        <v/>
      </c>
      <c r="K113" s="1290" t="str">
        <f>IF('Part III A-Sources of Funds'!$H$34="","",-FV('Part III A-Sources of Funds'!$J$34/12,12,K96/12,J113))</f>
        <v/>
      </c>
    </row>
    <row r="114" spans="1:11" ht="13.15" customHeight="1">
      <c r="A114" s="24" t="s">
        <v>1364</v>
      </c>
      <c r="B114" s="1290" t="str">
        <f>IF('Part III A-Sources of Funds'!$H$35="","",-FV('Part III A-Sources of Funds'!$J$35/12,12,B97/12,K79))</f>
        <v/>
      </c>
      <c r="C114" s="1290" t="str">
        <f>IF('Part III A-Sources of Funds'!$H$35="","",-FV('Part III A-Sources of Funds'!$J$35/12,12,C97/12,B114))</f>
        <v/>
      </c>
      <c r="D114" s="1290" t="str">
        <f>IF('Part III A-Sources of Funds'!$H$35="","",-FV('Part III A-Sources of Funds'!$J$35/12,12,D97/12,C114))</f>
        <v/>
      </c>
      <c r="E114" s="1290" t="str">
        <f>IF('Part III A-Sources of Funds'!$H$35="","",-FV('Part III A-Sources of Funds'!$J$35/12,12,E97/12,D114))</f>
        <v/>
      </c>
      <c r="F114" s="1290" t="str">
        <f>IF('Part III A-Sources of Funds'!$H$35="","",-FV('Part III A-Sources of Funds'!$J$35/12,12,F97/12,E114))</f>
        <v/>
      </c>
      <c r="G114" s="1290" t="str">
        <f>IF('Part III A-Sources of Funds'!$H$35="","",-FV('Part III A-Sources of Funds'!$J$35/12,12,G97/12,F114))</f>
        <v/>
      </c>
      <c r="H114" s="1290" t="str">
        <f>IF('Part III A-Sources of Funds'!$H$35="","",-FV('Part III A-Sources of Funds'!$J$35/12,12,H97/12,G114))</f>
        <v/>
      </c>
      <c r="I114" s="1290" t="str">
        <f>IF('Part III A-Sources of Funds'!$H$35="","",-FV('Part III A-Sources of Funds'!$J$35/12,12,I97/12,H114))</f>
        <v/>
      </c>
      <c r="J114" s="1290" t="str">
        <f>IF('Part III A-Sources of Funds'!$H$35="","",-FV('Part III A-Sources of Funds'!$J$35/12,12,J97/12,I114))</f>
        <v/>
      </c>
      <c r="K114" s="1290" t="str">
        <f>IF('Part III A-Sources of Funds'!$H$35="","",-FV('Part III A-Sources of Funds'!$J$35/12,12,K97/12,J114))</f>
        <v/>
      </c>
    </row>
    <row r="115" spans="1:11" ht="13.15" customHeight="1">
      <c r="A115" s="24" t="s">
        <v>1364</v>
      </c>
      <c r="B115" s="1290" t="str">
        <f>IF('Part III A-Sources of Funds'!$H$36="","",-FV('Part III A-Sources of Funds'!$J$36/12,12,B98/12,K80))</f>
        <v/>
      </c>
      <c r="C115" s="1290" t="str">
        <f>IF('Part III A-Sources of Funds'!$H$36="","",-FV('Part III A-Sources of Funds'!$J$36/12,12,C98/12,B115))</f>
        <v/>
      </c>
      <c r="D115" s="1290" t="str">
        <f>IF('Part III A-Sources of Funds'!$H$36="","",-FV('Part III A-Sources of Funds'!$J$36/12,12,D98/12,C115))</f>
        <v/>
      </c>
      <c r="E115" s="1290" t="str">
        <f>IF('Part III A-Sources of Funds'!$H$36="","",-FV('Part III A-Sources of Funds'!$J$36/12,12,E98/12,D115))</f>
        <v/>
      </c>
      <c r="F115" s="1290" t="str">
        <f>IF('Part III A-Sources of Funds'!$H$36="","",-FV('Part III A-Sources of Funds'!$J$36/12,12,F98/12,E115))</f>
        <v/>
      </c>
      <c r="G115" s="1290" t="str">
        <f>IF('Part III A-Sources of Funds'!$H$36="","",-FV('Part III A-Sources of Funds'!$J$36/12,12,G98/12,F115))</f>
        <v/>
      </c>
      <c r="H115" s="1290" t="str">
        <f>IF('Part III A-Sources of Funds'!$H$36="","",-FV('Part III A-Sources of Funds'!$J$36/12,12,H98/12,G115))</f>
        <v/>
      </c>
      <c r="I115" s="1290" t="str">
        <f>IF('Part III A-Sources of Funds'!$H$36="","",-FV('Part III A-Sources of Funds'!$J$36/12,12,I98/12,H115))</f>
        <v/>
      </c>
      <c r="J115" s="1290" t="str">
        <f>IF('Part III A-Sources of Funds'!$H$36="","",-FV('Part III A-Sources of Funds'!$J$36/12,12,J98/12,I115))</f>
        <v/>
      </c>
      <c r="K115" s="1290" t="str">
        <f>IF('Part III A-Sources of Funds'!$H$36="","",-FV('Part III A-Sources of Funds'!$J$36/12,12,K98/12,J115))</f>
        <v/>
      </c>
    </row>
    <row r="116" spans="1:11" ht="13.15" customHeight="1">
      <c r="A116" s="29" t="s">
        <v>1899</v>
      </c>
      <c r="B116" s="1292">
        <f>IF('Part III A-Sources of Funds'!$H$37="","",-FV('Part III A-Sources of Funds'!$J$37/12,12,B101/12,K81))</f>
        <v>0</v>
      </c>
      <c r="C116" s="1292">
        <f>IF('Part III A-Sources of Funds'!$H$37="","",-FV('Part III A-Sources of Funds'!$J$37/12,12,C101/12,B116))</f>
        <v>0</v>
      </c>
      <c r="D116" s="1292">
        <f>IF('Part III A-Sources of Funds'!$H$37="","",-FV('Part III A-Sources of Funds'!$J$37/12,12,D101/12,C116))</f>
        <v>0</v>
      </c>
      <c r="E116" s="1292">
        <f>IF('Part III A-Sources of Funds'!$H$37="","",-FV('Part III A-Sources of Funds'!$J$37/12,12,E101/12,D116))</f>
        <v>0</v>
      </c>
      <c r="F116" s="1292">
        <f>IF('Part III A-Sources of Funds'!$H$37="","",-FV('Part III A-Sources of Funds'!$J$37/12,12,F101/12,E116))</f>
        <v>0</v>
      </c>
      <c r="G116" s="1292">
        <f>IF('Part III A-Sources of Funds'!$H$37="","",-FV('Part III A-Sources of Funds'!$J$37/12,12,G101/12,F116))</f>
        <v>0</v>
      </c>
      <c r="H116" s="1292">
        <f>IF('Part III A-Sources of Funds'!$H$37="","",-FV('Part III A-Sources of Funds'!$J$37/12,12,H101/12,G116))</f>
        <v>0</v>
      </c>
      <c r="I116" s="1292">
        <f>IF('Part III A-Sources of Funds'!$H$37="","",-FV('Part III A-Sources of Funds'!$J$37/12,12,I101/12,H116))</f>
        <v>0</v>
      </c>
      <c r="J116" s="1292">
        <f>IF('Part III A-Sources of Funds'!$H$37="","",-FV('Part III A-Sources of Funds'!$J$37/12,12,J101/12,I116))</f>
        <v>0</v>
      </c>
      <c r="K116" s="1292">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447290.38413214567</v>
      </c>
      <c r="C119" s="22">
        <f>$B$14*(1+$B$5)^(C118-1)</f>
        <v>456236.1918147885</v>
      </c>
      <c r="D119" s="22">
        <f>$B$14*(1+$B$5)^(D118-1)</f>
        <v>465360.91565108439</v>
      </c>
      <c r="E119" s="22">
        <f>$B$14*(1+$B$5)^(E118-1)</f>
        <v>474668.13396410609</v>
      </c>
      <c r="F119" s="23">
        <f>$B$14*(1+$B$5)^(F118-1)</f>
        <v>484161.49664338818</v>
      </c>
      <c r="G119" s="31"/>
      <c r="H119" s="31"/>
      <c r="I119" s="31"/>
      <c r="J119" s="31"/>
      <c r="K119" s="31"/>
    </row>
    <row r="120" spans="1:11" ht="13.15" customHeight="1">
      <c r="A120" s="24" t="s">
        <v>1632</v>
      </c>
      <c r="B120" s="25">
        <f>$B$15*(1+$B$5)^(B118-1)</f>
        <v>8945.8076826429151</v>
      </c>
      <c r="C120" s="25">
        <f>$B$15*(1+$B$5)^(C118-1)</f>
        <v>9124.7238362957705</v>
      </c>
      <c r="D120" s="25">
        <f>$B$15*(1+$B$5)^(D118-1)</f>
        <v>9307.2183130216872</v>
      </c>
      <c r="E120" s="25">
        <f>$B$15*(1+$B$5)^(E118-1)</f>
        <v>9493.3626792821215</v>
      </c>
      <c r="F120" s="26">
        <f>$B$15*(1+$B$5)^(F118-1)</f>
        <v>9683.2299328677636</v>
      </c>
      <c r="G120" s="31"/>
      <c r="H120" s="31"/>
      <c r="I120" s="31"/>
      <c r="J120" s="31"/>
      <c r="K120" s="31"/>
    </row>
    <row r="121" spans="1:11" ht="13.15" customHeight="1">
      <c r="A121" s="24" t="s">
        <v>3642</v>
      </c>
      <c r="B121" s="25">
        <f>-(B119+B120)*$B$8</f>
        <v>-31936.533427035203</v>
      </c>
      <c r="C121" s="25">
        <f>-(C119+C120)*$B$8</f>
        <v>-32575.264095575902</v>
      </c>
      <c r="D121" s="25">
        <f>-(D119+D120)*$B$8</f>
        <v>-33226.769377487428</v>
      </c>
      <c r="E121" s="25">
        <f>-(E119+E120)*$B$8</f>
        <v>-33891.304765037181</v>
      </c>
      <c r="F121" s="26">
        <f>-(F119+F120)*$B$8</f>
        <v>-34569.130860337915</v>
      </c>
      <c r="G121" s="31"/>
      <c r="H121" s="31"/>
      <c r="I121" s="31"/>
      <c r="J121" s="31"/>
      <c r="K121" s="31"/>
    </row>
    <row r="122" spans="1:11" ht="13.15" customHeight="1">
      <c r="A122" s="24" t="s">
        <v>61</v>
      </c>
      <c r="B122" s="1294"/>
      <c r="C122" s="1294"/>
      <c r="D122" s="1294"/>
      <c r="E122" s="1294"/>
      <c r="F122" s="1294"/>
      <c r="G122" s="31"/>
      <c r="H122" s="31"/>
      <c r="I122" s="31"/>
      <c r="J122" s="31"/>
      <c r="K122" s="31"/>
    </row>
    <row r="123" spans="1:11" ht="13.15" customHeight="1">
      <c r="A123" s="24" t="s">
        <v>62</v>
      </c>
      <c r="B123" s="1294"/>
      <c r="C123" s="1294"/>
      <c r="D123" s="1294"/>
      <c r="E123" s="1294"/>
      <c r="F123" s="1294"/>
      <c r="G123" s="31"/>
      <c r="H123" s="31"/>
      <c r="I123" s="31"/>
      <c r="J123" s="31"/>
      <c r="K123" s="31"/>
    </row>
    <row r="124" spans="1:11" ht="13.15" customHeight="1">
      <c r="A124" s="24" t="s">
        <v>948</v>
      </c>
      <c r="B124" s="25">
        <f>$B$19*(1+$B$6)^(B118-1)</f>
        <v>-356555.14796787617</v>
      </c>
      <c r="C124" s="25">
        <f>$B$19*(1+$B$6)^(C118-1)</f>
        <v>-367251.80240691249</v>
      </c>
      <c r="D124" s="25">
        <f>$B$19*(1+$B$6)^(D118-1)</f>
        <v>-378269.3564791198</v>
      </c>
      <c r="E124" s="25">
        <f>$B$19*(1+$B$6)^(E118-1)</f>
        <v>-389617.43717349344</v>
      </c>
      <c r="F124" s="26">
        <f>$B$19*(1+$B$6)^(F118-1)</f>
        <v>-401305.96028869814</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-25458</v>
      </c>
      <c r="C125" s="25">
        <f>IF(AND('Part VII-Pro Forma'!$G$8="Yes",'Part VII-Pro Forma'!$G$9="Yes"),"Choose One!",IF('Part VII-Pro Forma'!$G$8="Yes",ROUND((-$K$8*(1+'Part VII-Pro Forma'!$B$6)^('Part VII-Pro Forma'!C118-1)),),IF('Part VII-Pro Forma'!$G$9="Yes",ROUND((-(SUM(C119:C122)*'Part VII-Pro Forma'!$K$9)),),"Choose mgt fee")))</f>
        <v>-25967</v>
      </c>
      <c r="D125" s="25">
        <f>IF(AND('Part VII-Pro Forma'!$G$8="Yes",'Part VII-Pro Forma'!$G$9="Yes"),"Choose One!",IF('Part VII-Pro Forma'!$G$8="Yes",ROUND((-$K$8*(1+'Part VII-Pro Forma'!$B$6)^('Part VII-Pro Forma'!D118-1)),),IF('Part VII-Pro Forma'!$G$9="Yes",ROUND((-(SUM(D119:D122)*'Part VII-Pro Forma'!$K$9)),),"Choose mgt fee")))</f>
        <v>-26486</v>
      </c>
      <c r="E125" s="25">
        <f>IF(AND('Part VII-Pro Forma'!$G$8="Yes",'Part VII-Pro Forma'!$G$9="Yes"),"Choose One!",IF('Part VII-Pro Forma'!$G$8="Yes",ROUND((-$K$8*(1+'Part VII-Pro Forma'!$B$6)^('Part VII-Pro Forma'!E118-1)),),IF('Part VII-Pro Forma'!$G$9="Yes",ROUND((-(SUM(E119:E122)*'Part VII-Pro Forma'!$K$9)),),"Choose mgt fee")))</f>
        <v>-27016</v>
      </c>
      <c r="F125" s="25">
        <f>IF(AND('Part VII-Pro Forma'!$G$8="Yes",'Part VII-Pro Forma'!$G$9="Yes"),"Choose One!",IF('Part VII-Pro Forma'!$G$8="Yes",ROUND((-$K$8*(1+'Part VII-Pro Forma'!$B$6)^('Part VII-Pro Forma'!F118-1)),),IF('Part VII-Pro Forma'!$G$9="Yes",ROUND((-(SUM(F119:F122)*'Part VII-Pro Forma'!$K$9)),),"Choose mgt fee")))</f>
        <v>-27557</v>
      </c>
      <c r="G125" s="31"/>
      <c r="H125" s="31"/>
      <c r="I125" s="31"/>
      <c r="J125" s="31"/>
      <c r="K125" s="31"/>
    </row>
    <row r="126" spans="1:11" ht="13.15" customHeight="1">
      <c r="A126" s="24" t="s">
        <v>1862</v>
      </c>
      <c r="B126" s="25">
        <f>$B$21*(1+$B$7)^(B118-1)</f>
        <v>-37719.658802287304</v>
      </c>
      <c r="C126" s="25">
        <f>$B$21*(1+$B$7)^(C118-1)</f>
        <v>-38851.248566355927</v>
      </c>
      <c r="D126" s="25">
        <f>$B$21*(1+$B$7)^(D118-1)</f>
        <v>-40016.786023346598</v>
      </c>
      <c r="E126" s="25">
        <f>$B$21*(1+$B$7)^(E118-1)</f>
        <v>-41217.289604047</v>
      </c>
      <c r="F126" s="26">
        <f>$B$21*(1+$B$7)^(F118-1)</f>
        <v>-42453.808292168404</v>
      </c>
      <c r="G126" s="31"/>
      <c r="H126" s="31"/>
      <c r="I126" s="31"/>
      <c r="J126" s="31"/>
      <c r="K126" s="31"/>
    </row>
    <row r="127" spans="1:11" ht="13.15" customHeight="1">
      <c r="A127" s="24" t="s">
        <v>1863</v>
      </c>
      <c r="B127" s="25">
        <f>SUM(B119:B126)</f>
        <v>4566.851617589884</v>
      </c>
      <c r="C127" s="25">
        <f>SUM(C119:C126)</f>
        <v>715.60058223995293</v>
      </c>
      <c r="D127" s="25">
        <f>SUM(D119:D126)</f>
        <v>-3330.7779158477279</v>
      </c>
      <c r="E127" s="25">
        <f>SUM(E119:E126)</f>
        <v>-7580.5348991894061</v>
      </c>
      <c r="F127" s="26">
        <f>SUM(F119:F126)</f>
        <v>-12041.172864948552</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90">
        <f>IF('Part III A-Sources of Funds'!$M$33="", 0,-'Part III A-Sources of Funds'!$M$33)</f>
        <v>-35926.334739675862</v>
      </c>
      <c r="C130" s="1290">
        <f>IF('Part III A-Sources of Funds'!$M$33="", 0,-'Part III A-Sources of Funds'!$M$33)</f>
        <v>-35926.334739675862</v>
      </c>
      <c r="D130" s="1290">
        <f>IF('Part III A-Sources of Funds'!$M$33="", 0,-'Part III A-Sources of Funds'!$M$33)</f>
        <v>-35926.334739675862</v>
      </c>
      <c r="E130" s="1290">
        <f>IF('Part III A-Sources of Funds'!$M$33="", 0,-'Part III A-Sources of Funds'!$M$33)</f>
        <v>-35926.334739675862</v>
      </c>
      <c r="F130" s="1290">
        <f>IF('Part III A-Sources of Funds'!$M$33="", 0,-'Part III A-Sources of Funds'!$M$33)</f>
        <v>-35926.334739675862</v>
      </c>
      <c r="G130" s="31"/>
      <c r="H130" s="31"/>
      <c r="I130" s="31"/>
      <c r="J130" s="31"/>
      <c r="K130" s="31"/>
    </row>
    <row r="131" spans="1:12" ht="13.15" customHeight="1">
      <c r="A131" s="24" t="str">
        <f t="shared" si="55"/>
        <v>D/S Mortgage B</v>
      </c>
      <c r="B131" s="1290">
        <f>IF('Part III A-Sources of Funds'!$M$34="", 0,-'Part III A-Sources of Funds'!$M$34)</f>
        <v>0</v>
      </c>
      <c r="C131" s="1290">
        <f>IF('Part III A-Sources of Funds'!$M$34="", 0,-'Part III A-Sources of Funds'!$M$34)</f>
        <v>0</v>
      </c>
      <c r="D131" s="1290">
        <f>IF('Part III A-Sources of Funds'!$M$34="", 0,-'Part III A-Sources of Funds'!$M$34)</f>
        <v>0</v>
      </c>
      <c r="E131" s="1290">
        <f>IF('Part III A-Sources of Funds'!$M$34="", 0,-'Part III A-Sources of Funds'!$M$34)</f>
        <v>0</v>
      </c>
      <c r="F131" s="1290">
        <f>IF('Part III A-Sources of Funds'!$M$34="", 0,-'Part III A-Sources of Funds'!$M$34)</f>
        <v>0</v>
      </c>
      <c r="G131" s="31"/>
      <c r="H131" s="31"/>
      <c r="I131" s="31"/>
      <c r="J131" s="31"/>
      <c r="K131" s="31"/>
    </row>
    <row r="132" spans="1:12" ht="13.15" customHeight="1">
      <c r="A132" s="24" t="str">
        <f t="shared" si="55"/>
        <v>D/S Other Source</v>
      </c>
      <c r="B132" s="1290">
        <f>IF('Part III A-Sources of Funds'!$M$35="", 0,-'Part III A-Sources of Funds'!$M$35)</f>
        <v>0</v>
      </c>
      <c r="C132" s="1290">
        <f>IF('Part III A-Sources of Funds'!$M$35="", 0,-'Part III A-Sources of Funds'!$M$35)</f>
        <v>0</v>
      </c>
      <c r="D132" s="1290">
        <f>IF('Part III A-Sources of Funds'!$M$35="", 0,-'Part III A-Sources of Funds'!$M$35)</f>
        <v>0</v>
      </c>
      <c r="E132" s="1290">
        <f>IF('Part III A-Sources of Funds'!$M$35="", 0,-'Part III A-Sources of Funds'!$M$35)</f>
        <v>0</v>
      </c>
      <c r="F132" s="1290">
        <f>IF('Part III A-Sources of Funds'!$M$35="", 0,-'Part III A-Sources of Funds'!$M$35)</f>
        <v>0</v>
      </c>
      <c r="G132" s="31"/>
      <c r="H132" s="31"/>
      <c r="I132" s="31"/>
      <c r="J132" s="31"/>
      <c r="K132" s="31"/>
    </row>
    <row r="133" spans="1:12" ht="13.15" customHeight="1">
      <c r="A133" s="24" t="str">
        <f t="shared" si="55"/>
        <v>D/S Grant from fdn / charity</v>
      </c>
      <c r="B133" s="1290">
        <f>IF('Part III A-Sources of Funds'!$M$36="", 0,-'Part III A-Sources of Funds'!$M$36)</f>
        <v>0</v>
      </c>
      <c r="C133" s="1290">
        <f>IF('Part III A-Sources of Funds'!$M$36="", 0,-'Part III A-Sources of Funds'!$M$36)</f>
        <v>0</v>
      </c>
      <c r="D133" s="1290">
        <f>IF('Part III A-Sources of Funds'!$M$36="", 0,-'Part III A-Sources of Funds'!$M$36)</f>
        <v>0</v>
      </c>
      <c r="E133" s="1290">
        <f>IF('Part III A-Sources of Funds'!$M$36="", 0,-'Part III A-Sources of Funds'!$M$36)</f>
        <v>0</v>
      </c>
      <c r="F133" s="1290">
        <f>IF('Part III A-Sources of Funds'!$M$36="", 0,-'Part III A-Sources of Funds'!$M$36)</f>
        <v>0</v>
      </c>
      <c r="G133" s="31"/>
      <c r="H133" s="31"/>
      <c r="I133" s="31"/>
      <c r="J133" s="31"/>
      <c r="K133" s="31"/>
    </row>
    <row r="134" spans="1:12" ht="13.15" customHeight="1">
      <c r="A134" s="24" t="s">
        <v>1336</v>
      </c>
      <c r="B134" s="1291"/>
      <c r="C134" s="1291"/>
      <c r="D134" s="1291"/>
      <c r="E134" s="1291"/>
      <c r="F134" s="1291"/>
      <c r="G134" s="31"/>
      <c r="H134" s="31"/>
      <c r="I134" s="31"/>
      <c r="J134" s="31"/>
      <c r="K134" s="31"/>
    </row>
    <row r="135" spans="1:12" ht="13.15" customHeight="1">
      <c r="A135" s="24" t="s">
        <v>1807</v>
      </c>
      <c r="B135" s="1290">
        <f>+K100</f>
        <v>-3500</v>
      </c>
      <c r="C135" s="1290">
        <f>+B135</f>
        <v>-3500</v>
      </c>
      <c r="D135" s="1290">
        <f>+C135</f>
        <v>-3500</v>
      </c>
      <c r="E135" s="1290">
        <f>+D135</f>
        <v>-3500</v>
      </c>
      <c r="F135" s="1290">
        <f>+E135</f>
        <v>-3500</v>
      </c>
      <c r="G135" s="31"/>
      <c r="H135" s="31"/>
      <c r="I135" s="31"/>
      <c r="J135" s="31"/>
      <c r="K135" s="31"/>
    </row>
    <row r="136" spans="1:12" ht="13.15" customHeight="1">
      <c r="A136" s="24" t="s">
        <v>1864</v>
      </c>
      <c r="B136" s="1290">
        <f>IF('Part III A-Sources of Funds'!$M$37="", 0,-'Part III A-Sources of Funds'!$M$37)</f>
        <v>0</v>
      </c>
      <c r="C136" s="1290">
        <f>IF('Part III A-Sources of Funds'!$M$37="", 0,-'Part III A-Sources of Funds'!$M$37)</f>
        <v>0</v>
      </c>
      <c r="D136" s="1290">
        <f>IF('Part III A-Sources of Funds'!$M$37="", 0,-'Part III A-Sources of Funds'!$M$37)</f>
        <v>0</v>
      </c>
      <c r="E136" s="1290">
        <f>IF('Part III A-Sources of Funds'!$M$37="", 0,-'Part III A-Sources of Funds'!$M$37)</f>
        <v>0</v>
      </c>
      <c r="F136" s="1290">
        <f>IF('Part III A-Sources of Funds'!$M$37="", 0,-'Part III A-Sources of Funds'!$M$37)</f>
        <v>0</v>
      </c>
      <c r="G136" s="31"/>
      <c r="H136" s="31"/>
      <c r="I136" s="31"/>
      <c r="J136" s="31"/>
      <c r="K136" s="31"/>
    </row>
    <row r="137" spans="1:12" ht="13.15" customHeight="1">
      <c r="A137" s="24" t="s">
        <v>1808</v>
      </c>
      <c r="B137" s="1292">
        <f>+K102</f>
        <v>0</v>
      </c>
      <c r="C137" s="1292">
        <f>+B137</f>
        <v>0</v>
      </c>
      <c r="D137" s="1292">
        <f>+C137</f>
        <v>0</v>
      </c>
      <c r="E137" s="1292">
        <f>+D137</f>
        <v>0</v>
      </c>
      <c r="F137" s="1292">
        <f>+E137</f>
        <v>0</v>
      </c>
      <c r="G137" s="31"/>
      <c r="H137" s="31"/>
      <c r="I137" s="31"/>
      <c r="J137" s="31"/>
      <c r="K137" s="31"/>
    </row>
    <row r="138" spans="1:12" ht="13.15" customHeight="1">
      <c r="A138" s="24" t="s">
        <v>1809</v>
      </c>
      <c r="B138" s="25">
        <f>SUM(B127:B137)</f>
        <v>-34859.483122085978</v>
      </c>
      <c r="C138" s="25">
        <f>SUM(C127:C137)</f>
        <v>-38710.734157435909</v>
      </c>
      <c r="D138" s="25">
        <f>SUM(D127:D137)</f>
        <v>-42757.11265552359</v>
      </c>
      <c r="E138" s="25">
        <f>SUM(E127:E137)</f>
        <v>-47006.869638865268</v>
      </c>
      <c r="F138" s="26">
        <f>SUM(F127:F137)</f>
        <v>-51467.507604624414</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0.12711710367009421</v>
      </c>
      <c r="C141" s="27">
        <f>IF(OR(C130=0,AND(C130=0,C129=0,C128=0)),"",-C127/(C128+C129+C130))</f>
        <v>1.9918552433061513E-2</v>
      </c>
      <c r="D141" s="27">
        <f>IF(OR(D130=0,AND(D130=0,D129=0,D128=0)),"",-D127/(D128+D129+D130))</f>
        <v>-9.2711319982478654E-2</v>
      </c>
      <c r="E141" s="27">
        <f>IF(OR(E130=0,AND(E130=0,E129=0,E128=0)),"",-E127/(E128+E129+E130))</f>
        <v>-0.21100217860013737</v>
      </c>
      <c r="F141" s="28">
        <f>IF(OR(F130=0,AND(F130=0,F129=0,F128=0)),"",-F127/(F128+F129+F130))</f>
        <v>-0.33516285343883623</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1.0108803780498641</v>
      </c>
      <c r="C145" s="379">
        <f>IF(OR(C125="Choose mgt fee",C125="Choose One!"),"",(C119+C120+C121+C122+C123) / -(C124+C125+C126))</f>
        <v>1.0016562142657841</v>
      </c>
      <c r="D145" s="379">
        <f>IF(OR(D125="Choose mgt fee",D125="Choose One!"),"",(D119+D120+D121+D122+D123) / -(D124+D125+D126))</f>
        <v>0.9925112712835219</v>
      </c>
      <c r="E145" s="379">
        <f>IF(OR(E125="Choose mgt fee",E125="Choose One!"),"",(E119+E120+E121+E122+E123) / -(E124+E125+E126))</f>
        <v>0.98344321750334873</v>
      </c>
      <c r="F145" s="380">
        <f>IF(OR(F125="Choose mgt fee",F125="Choose One!"),"",(F119+F120+F121+F122+F123) / -(F124+F125+F126))</f>
        <v>0.97445205927808487</v>
      </c>
      <c r="G145" s="31"/>
      <c r="H145" s="31"/>
      <c r="I145" s="31"/>
      <c r="J145" s="31"/>
      <c r="K145" s="31"/>
    </row>
    <row r="146" spans="1:14" ht="13.15" customHeight="1">
      <c r="A146" s="24" t="str">
        <f>IF('Part III A-Sources of Funds'!$E$32 = "Neither", "", "First Mortgage Balance")</f>
        <v/>
      </c>
      <c r="B146" s="1293">
        <f>IF('Part III A-Sources of Funds'!$H$32="","",-FV('Part III A-Sources of Funds'!$J$32/12,12,B128/12,K111))</f>
        <v>0</v>
      </c>
      <c r="C146" s="1293">
        <f>IF('Part III A-Sources of Funds'!$H$32="","",-FV('Part III A-Sources of Funds'!$J$32/12,12,C128/12,B146))</f>
        <v>0</v>
      </c>
      <c r="D146" s="1293">
        <f>IF('Part III A-Sources of Funds'!$H$32="","",-FV('Part III A-Sources of Funds'!$J$32/12,12,D128/12,C146))</f>
        <v>0</v>
      </c>
      <c r="E146" s="1293">
        <f>IF('Part III A-Sources of Funds'!$H$32="","",-FV('Part III A-Sources of Funds'!$J$32/12,12,E128/12,D146))</f>
        <v>0</v>
      </c>
      <c r="F146" s="1293">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90">
        <f>IF('Part III A-Sources of Funds'!$H$33="","",-FV('Part III A-Sources of Funds'!$J$33/12,12,B130/12,K112))</f>
        <v>-37101.680617135193</v>
      </c>
      <c r="C147" s="1290">
        <f>IF('Part III A-Sources of Funds'!$H$33="","",-FV('Part III A-Sources of Funds'!$J$33/12,12,C130/12,B147))</f>
        <v>-76885.444725983907</v>
      </c>
      <c r="D147" s="1290">
        <f>IF('Part III A-Sources of Funds'!$H$33="","",-FV('Part III A-Sources of Funds'!$J$33/12,12,D130/12,C147))</f>
        <v>-119545.18035902671</v>
      </c>
      <c r="E147" s="1290">
        <f>IF('Part III A-Sources of Funds'!$H$33="","",-FV('Part III A-Sources of Funds'!$J$33/12,12,E130/12,D147))</f>
        <v>-165288.79173028783</v>
      </c>
      <c r="F147" s="1290">
        <f>IF('Part III A-Sources of Funds'!$H$33="","",-FV('Part III A-Sources of Funds'!$J$33/12,12,F130/12,E147))</f>
        <v>-214339.21246623364</v>
      </c>
      <c r="G147" s="31"/>
      <c r="H147" s="31"/>
      <c r="I147" s="31"/>
      <c r="J147" s="31"/>
      <c r="K147" s="31"/>
    </row>
    <row r="148" spans="1:14" ht="13.15" customHeight="1">
      <c r="A148" s="24" t="str">
        <f>IF('Part III A-Sources of Funds'!$E$32 = "Neither", "Second Mortgage Balance", "Third Mortgage Balance")</f>
        <v>Second Mortgage Balance</v>
      </c>
      <c r="B148" s="1290" t="str">
        <f>IF('Part III A-Sources of Funds'!$H$34="","",-FV('Part III A-Sources of Funds'!$J$34/12,12,B131/12,K113))</f>
        <v/>
      </c>
      <c r="C148" s="1290" t="str">
        <f>IF('Part III A-Sources of Funds'!$H$34="","",-FV('Part III A-Sources of Funds'!$J$34/12,12,C131/12,B148))</f>
        <v/>
      </c>
      <c r="D148" s="1290" t="str">
        <f>IF('Part III A-Sources of Funds'!$H$34="","",-FV('Part III A-Sources of Funds'!$J$34/12,12,D131/12,C148))</f>
        <v/>
      </c>
      <c r="E148" s="1290" t="str">
        <f>IF('Part III A-Sources of Funds'!$H$34="","",-FV('Part III A-Sources of Funds'!$J$34/12,12,E131/12,D148))</f>
        <v/>
      </c>
      <c r="F148" s="1290" t="str">
        <f>IF('Part III A-Sources of Funds'!$H$34="","",-FV('Part III A-Sources of Funds'!$J$34/12,12,F131/12,E148))</f>
        <v/>
      </c>
      <c r="G148" s="31"/>
      <c r="H148" s="31"/>
      <c r="I148" s="31"/>
      <c r="J148" s="31"/>
      <c r="K148" s="31"/>
    </row>
    <row r="149" spans="1:14" ht="13.15" customHeight="1">
      <c r="A149" s="24" t="s">
        <v>1364</v>
      </c>
      <c r="B149" s="1290" t="str">
        <f>IF('Part III A-Sources of Funds'!$H$35="","",-FV('Part III A-Sources of Funds'!$J$35/12,12,B132/12,K114))</f>
        <v/>
      </c>
      <c r="C149" s="1290" t="str">
        <f>IF('Part III A-Sources of Funds'!$H$35="","",-FV('Part III A-Sources of Funds'!$J$35/12,12,C132/12,B149))</f>
        <v/>
      </c>
      <c r="D149" s="1290" t="str">
        <f>IF('Part III A-Sources of Funds'!$H$35="","",-FV('Part III A-Sources of Funds'!$J$35/12,12,D132/12,C149))</f>
        <v/>
      </c>
      <c r="E149" s="1290" t="str">
        <f>IF('Part III A-Sources of Funds'!$H$35="","",-FV('Part III A-Sources of Funds'!$J$35/12,12,E132/12,D149))</f>
        <v/>
      </c>
      <c r="F149" s="1290" t="str">
        <f>IF('Part III A-Sources of Funds'!$H$35="","",-FV('Part III A-Sources of Funds'!$J$35/12,12,F132/12,E149))</f>
        <v/>
      </c>
      <c r="G149" s="31"/>
      <c r="H149" s="31"/>
      <c r="I149" s="31"/>
      <c r="J149" s="31"/>
      <c r="K149" s="31"/>
    </row>
    <row r="150" spans="1:14" ht="13.15" customHeight="1">
      <c r="A150" s="24" t="s">
        <v>1364</v>
      </c>
      <c r="B150" s="1290" t="str">
        <f>IF('Part III A-Sources of Funds'!$H$36="","",-FV('Part III A-Sources of Funds'!$J$36/12,12,B133/12,K115))</f>
        <v/>
      </c>
      <c r="C150" s="1290" t="str">
        <f>IF('Part III A-Sources of Funds'!$H$36="","",-FV('Part III A-Sources of Funds'!$J$36/12,12,C133/12,B150))</f>
        <v/>
      </c>
      <c r="D150" s="1290" t="str">
        <f>IF('Part III A-Sources of Funds'!$H$36="","",-FV('Part III A-Sources of Funds'!$J$36/12,12,D133/12,C150))</f>
        <v/>
      </c>
      <c r="E150" s="1290" t="str">
        <f>IF('Part III A-Sources of Funds'!$H$36="","",-FV('Part III A-Sources of Funds'!$J$36/12,12,E133/12,D150))</f>
        <v/>
      </c>
      <c r="F150" s="1290" t="str">
        <f>IF('Part III A-Sources of Funds'!$H$36="","",-FV('Part III A-Sources of Funds'!$J$36/12,12,F133/12,E150))</f>
        <v/>
      </c>
      <c r="G150" s="31"/>
      <c r="H150" s="31"/>
      <c r="I150" s="31"/>
      <c r="J150" s="31"/>
      <c r="K150" s="31"/>
    </row>
    <row r="151" spans="1:14" ht="13.15" customHeight="1">
      <c r="A151" s="29" t="s">
        <v>1899</v>
      </c>
      <c r="B151" s="1292">
        <f>IF('Part III A-Sources of Funds'!$H$37="","",-FV('Part III A-Sources of Funds'!$J$37/12,12,B136/12,K116))</f>
        <v>0</v>
      </c>
      <c r="C151" s="1292">
        <f>IF('Part III A-Sources of Funds'!$H$37="","",-FV('Part III A-Sources of Funds'!$J$37/12,12,C136/12,B151))</f>
        <v>0</v>
      </c>
      <c r="D151" s="1292">
        <f>IF('Part III A-Sources of Funds'!$H$37="","",-FV('Part III A-Sources of Funds'!$J$37/12,12,D136/12,C151))</f>
        <v>0</v>
      </c>
      <c r="E151" s="1292">
        <f>IF('Part III A-Sources of Funds'!$H$37="","",-FV('Part III A-Sources of Funds'!$J$37/12,12,E136/12,D151))</f>
        <v>0</v>
      </c>
      <c r="F151" s="1292">
        <f>IF('Part III A-Sources of Funds'!$H$37="","",-FV('Part III A-Sources of Funds'!$J$37/12,12,F136/12,E151))</f>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5"/>
      <c r="B155" s="1296"/>
      <c r="C155" s="1296"/>
      <c r="D155" s="1296"/>
      <c r="E155" s="1296"/>
      <c r="F155" s="1297"/>
      <c r="G155" s="1298"/>
      <c r="H155" s="1296"/>
      <c r="I155" s="1296"/>
      <c r="J155" s="1296"/>
      <c r="K155" s="1297"/>
    </row>
    <row r="156" spans="1:14" s="2" customFormat="1" ht="73.900000000000006" customHeight="1">
      <c r="A156" s="1299"/>
      <c r="B156" s="1300"/>
      <c r="C156" s="1300"/>
      <c r="D156" s="1300"/>
      <c r="E156" s="1300"/>
      <c r="F156" s="1301"/>
      <c r="G156" s="1302"/>
      <c r="H156" s="1300"/>
      <c r="I156" s="1300"/>
      <c r="J156" s="1300"/>
      <c r="K156" s="1301"/>
      <c r="L156" s="9"/>
      <c r="M156" s="9"/>
      <c r="N156" s="9"/>
    </row>
    <row r="157" spans="1:14" s="2" customFormat="1" ht="73.900000000000006" customHeight="1">
      <c r="A157" s="1299"/>
      <c r="B157" s="1300"/>
      <c r="C157" s="1300"/>
      <c r="D157" s="1300"/>
      <c r="E157" s="1300"/>
      <c r="F157" s="1301"/>
      <c r="G157" s="1302"/>
      <c r="H157" s="1300"/>
      <c r="I157" s="1300"/>
      <c r="J157" s="1300"/>
      <c r="K157" s="1301"/>
      <c r="L157" s="9"/>
      <c r="M157" s="9"/>
      <c r="N157" s="9"/>
    </row>
    <row r="158" spans="1:14" s="2" customFormat="1" ht="73.900000000000006" customHeight="1">
      <c r="A158" s="1303"/>
      <c r="B158" s="1304"/>
      <c r="C158" s="1304"/>
      <c r="D158" s="1304"/>
      <c r="E158" s="1304"/>
      <c r="F158" s="1305"/>
      <c r="G158" s="1306"/>
      <c r="H158" s="1304"/>
      <c r="I158" s="1304"/>
      <c r="J158" s="1304"/>
      <c r="K158" s="1305"/>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7E"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200" zoomScaleNormal="100" zoomScaleSheetLayoutView="40" workbookViewId="0">
      <selection activeCell="F30" sqref="F30"/>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2011-038 Thomson Estates, Thomson, McDuffie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3"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3"/>
      <c r="C3" s="1033"/>
      <c r="D3" s="1033"/>
      <c r="E3" s="1033"/>
      <c r="F3" s="1033"/>
      <c r="G3" s="1033"/>
      <c r="H3" s="1033"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3"/>
      <c r="J3" s="1033"/>
      <c r="K3" s="1033"/>
      <c r="L3" s="1033"/>
      <c r="M3" s="1033"/>
      <c r="N3" s="1034"/>
      <c r="O3" s="1035" t="s">
        <v>1530</v>
      </c>
      <c r="P3" s="1036"/>
      <c r="Q3" s="302" t="s">
        <v>2888</v>
      </c>
    </row>
    <row r="4" spans="1:20" ht="3" customHeight="1">
      <c r="A4" s="737"/>
      <c r="B4" s="1027"/>
      <c r="C4" s="1027"/>
      <c r="D4" s="1027"/>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864</v>
      </c>
      <c r="P6" s="1028"/>
      <c r="Q6" s="1029"/>
    </row>
    <row r="7" spans="1:20" ht="12.6" customHeight="1">
      <c r="A7" s="174" t="s">
        <v>366</v>
      </c>
      <c r="C7" s="175"/>
      <c r="D7" s="175"/>
    </row>
    <row r="8" spans="1:20" ht="24.6" customHeight="1">
      <c r="A8" s="1030" t="s">
        <v>2118</v>
      </c>
      <c r="B8" s="1031"/>
      <c r="C8" s="1031"/>
      <c r="D8" s="1031"/>
      <c r="E8" s="1031"/>
      <c r="F8" s="1031"/>
      <c r="G8" s="1031"/>
      <c r="H8" s="1031"/>
      <c r="I8" s="1031"/>
      <c r="J8" s="1031"/>
      <c r="K8" s="1031"/>
      <c r="L8" s="1031"/>
      <c r="M8" s="1031"/>
      <c r="N8" s="1031"/>
      <c r="O8" s="1031"/>
      <c r="P8" s="1031"/>
      <c r="Q8" s="1032"/>
      <c r="R8" s="1002" t="s">
        <v>3110</v>
      </c>
      <c r="S8" s="1002"/>
    </row>
    <row r="9" spans="1:20" ht="24.6" customHeight="1">
      <c r="A9" s="1003" t="s">
        <v>289</v>
      </c>
      <c r="B9" s="1004"/>
      <c r="C9" s="1004"/>
      <c r="D9" s="1004"/>
      <c r="E9" s="1004"/>
      <c r="F9" s="1004"/>
      <c r="G9" s="1004"/>
      <c r="H9" s="1004"/>
      <c r="I9" s="1004"/>
      <c r="J9" s="1004"/>
      <c r="K9" s="1004"/>
      <c r="L9" s="1004"/>
      <c r="M9" s="1004"/>
      <c r="N9" s="1004"/>
      <c r="O9" s="1004"/>
      <c r="P9" s="1004"/>
      <c r="Q9" s="1005"/>
      <c r="R9" s="1002"/>
      <c r="S9" s="1002"/>
    </row>
    <row r="10" spans="1:20" ht="24.6" customHeight="1">
      <c r="A10" s="1003" t="s">
        <v>2114</v>
      </c>
      <c r="B10" s="1004"/>
      <c r="C10" s="1004"/>
      <c r="D10" s="1004"/>
      <c r="E10" s="1004"/>
      <c r="F10" s="1004"/>
      <c r="G10" s="1004"/>
      <c r="H10" s="1004"/>
      <c r="I10" s="1004"/>
      <c r="J10" s="1004"/>
      <c r="K10" s="1004"/>
      <c r="L10" s="1004"/>
      <c r="M10" s="1004"/>
      <c r="N10" s="1004"/>
      <c r="O10" s="1004"/>
      <c r="P10" s="1004"/>
      <c r="Q10" s="1005"/>
      <c r="R10" s="1002"/>
      <c r="S10" s="1002"/>
    </row>
    <row r="11" spans="1:20" ht="24.6" customHeight="1">
      <c r="A11" s="1003" t="s">
        <v>2115</v>
      </c>
      <c r="B11" s="1004"/>
      <c r="C11" s="1004"/>
      <c r="D11" s="1004"/>
      <c r="E11" s="1004"/>
      <c r="F11" s="1004"/>
      <c r="G11" s="1004"/>
      <c r="H11" s="1004"/>
      <c r="I11" s="1004"/>
      <c r="J11" s="1004"/>
      <c r="K11" s="1004"/>
      <c r="L11" s="1004"/>
      <c r="M11" s="1004"/>
      <c r="N11" s="1004"/>
      <c r="O11" s="1004"/>
      <c r="P11" s="1004"/>
      <c r="Q11" s="1005"/>
      <c r="R11" s="1002"/>
      <c r="S11" s="1002"/>
    </row>
    <row r="12" spans="1:20" ht="24.6" customHeight="1">
      <c r="A12" s="1003" t="s">
        <v>2116</v>
      </c>
      <c r="B12" s="1004"/>
      <c r="C12" s="1004"/>
      <c r="D12" s="1004"/>
      <c r="E12" s="1004"/>
      <c r="F12" s="1004"/>
      <c r="G12" s="1004"/>
      <c r="H12" s="1004"/>
      <c r="I12" s="1004"/>
      <c r="J12" s="1004"/>
      <c r="K12" s="1004"/>
      <c r="L12" s="1004"/>
      <c r="M12" s="1004"/>
      <c r="N12" s="1004"/>
      <c r="O12" s="1004"/>
      <c r="P12" s="1004"/>
      <c r="Q12" s="1005"/>
      <c r="R12" s="742"/>
      <c r="S12" s="742"/>
    </row>
    <row r="13" spans="1:20" ht="24.6" customHeight="1">
      <c r="A13" s="1003" t="s">
        <v>2117</v>
      </c>
      <c r="B13" s="1004"/>
      <c r="C13" s="1004"/>
      <c r="D13" s="1004"/>
      <c r="E13" s="1004"/>
      <c r="F13" s="1004"/>
      <c r="G13" s="1004"/>
      <c r="H13" s="1004"/>
      <c r="I13" s="1004"/>
      <c r="J13" s="1004"/>
      <c r="K13" s="1004"/>
      <c r="L13" s="1004"/>
      <c r="M13" s="1004"/>
      <c r="N13" s="1004"/>
      <c r="O13" s="1004"/>
      <c r="P13" s="1004"/>
      <c r="Q13" s="1005"/>
      <c r="R13" s="742"/>
      <c r="S13" s="742"/>
    </row>
    <row r="14" spans="1:20" ht="24.6" customHeight="1">
      <c r="A14" s="1003" t="s">
        <v>2119</v>
      </c>
      <c r="B14" s="1004"/>
      <c r="C14" s="1004"/>
      <c r="D14" s="1004"/>
      <c r="E14" s="1004"/>
      <c r="F14" s="1004"/>
      <c r="G14" s="1004"/>
      <c r="H14" s="1004"/>
      <c r="I14" s="1004"/>
      <c r="J14" s="1004"/>
      <c r="K14" s="1004"/>
      <c r="L14" s="1004"/>
      <c r="M14" s="1004"/>
      <c r="N14" s="1004"/>
      <c r="O14" s="1004"/>
      <c r="P14" s="1004"/>
      <c r="Q14" s="1005"/>
    </row>
    <row r="15" spans="1:20" ht="24.6" customHeight="1">
      <c r="A15" s="1003" t="s">
        <v>3097</v>
      </c>
      <c r="B15" s="1004"/>
      <c r="C15" s="1004"/>
      <c r="D15" s="1004"/>
      <c r="E15" s="1004"/>
      <c r="F15" s="1004"/>
      <c r="G15" s="1004"/>
      <c r="H15" s="1004"/>
      <c r="I15" s="1004"/>
      <c r="J15" s="1004"/>
      <c r="K15" s="1004"/>
      <c r="L15" s="1004"/>
      <c r="M15" s="1004"/>
      <c r="N15" s="1004"/>
      <c r="O15" s="1004"/>
      <c r="P15" s="1004"/>
      <c r="Q15" s="1005"/>
      <c r="R15" s="1002" t="s">
        <v>3110</v>
      </c>
      <c r="S15" s="1002"/>
    </row>
    <row r="16" spans="1:20" ht="24.6" customHeight="1">
      <c r="A16" s="1003" t="s">
        <v>3098</v>
      </c>
      <c r="B16" s="1004"/>
      <c r="C16" s="1004"/>
      <c r="D16" s="1004"/>
      <c r="E16" s="1004"/>
      <c r="F16" s="1004"/>
      <c r="G16" s="1004"/>
      <c r="H16" s="1004"/>
      <c r="I16" s="1004"/>
      <c r="J16" s="1004"/>
      <c r="K16" s="1004"/>
      <c r="L16" s="1004"/>
      <c r="M16" s="1004"/>
      <c r="N16" s="1004"/>
      <c r="O16" s="1004"/>
      <c r="P16" s="1004"/>
      <c r="Q16" s="1005"/>
      <c r="R16" s="1002"/>
      <c r="S16" s="1002"/>
    </row>
    <row r="17" spans="1:19" ht="24.6" customHeight="1">
      <c r="A17" s="1003" t="s">
        <v>3099</v>
      </c>
      <c r="B17" s="1004"/>
      <c r="C17" s="1004"/>
      <c r="D17" s="1004"/>
      <c r="E17" s="1004"/>
      <c r="F17" s="1004"/>
      <c r="G17" s="1004"/>
      <c r="H17" s="1004"/>
      <c r="I17" s="1004"/>
      <c r="J17" s="1004"/>
      <c r="K17" s="1004"/>
      <c r="L17" s="1004"/>
      <c r="M17" s="1004"/>
      <c r="N17" s="1004"/>
      <c r="O17" s="1004"/>
      <c r="P17" s="1004"/>
      <c r="Q17" s="1005"/>
      <c r="R17" s="1002"/>
      <c r="S17" s="1002"/>
    </row>
    <row r="18" spans="1:19" ht="24.6" customHeight="1">
      <c r="A18" s="1003" t="s">
        <v>3100</v>
      </c>
      <c r="B18" s="1004"/>
      <c r="C18" s="1004"/>
      <c r="D18" s="1004"/>
      <c r="E18" s="1004"/>
      <c r="F18" s="1004"/>
      <c r="G18" s="1004"/>
      <c r="H18" s="1004"/>
      <c r="I18" s="1004"/>
      <c r="J18" s="1004"/>
      <c r="K18" s="1004"/>
      <c r="L18" s="1004"/>
      <c r="M18" s="1004"/>
      <c r="N18" s="1004"/>
      <c r="O18" s="1004"/>
      <c r="P18" s="1004"/>
      <c r="Q18" s="1005"/>
      <c r="R18" s="1002"/>
      <c r="S18" s="1002"/>
    </row>
    <row r="19" spans="1:19" ht="24.6" customHeight="1">
      <c r="A19" s="1003" t="s">
        <v>3101</v>
      </c>
      <c r="B19" s="1004"/>
      <c r="C19" s="1004"/>
      <c r="D19" s="1004"/>
      <c r="E19" s="1004"/>
      <c r="F19" s="1004"/>
      <c r="G19" s="1004"/>
      <c r="H19" s="1004"/>
      <c r="I19" s="1004"/>
      <c r="J19" s="1004"/>
      <c r="K19" s="1004"/>
      <c r="L19" s="1004"/>
      <c r="M19" s="1004"/>
      <c r="N19" s="1004"/>
      <c r="O19" s="1004"/>
      <c r="P19" s="1004"/>
      <c r="Q19" s="1005"/>
      <c r="R19" s="742"/>
      <c r="S19" s="742"/>
    </row>
    <row r="20" spans="1:19" ht="24.6" customHeight="1">
      <c r="A20" s="1003" t="s">
        <v>3102</v>
      </c>
      <c r="B20" s="1004"/>
      <c r="C20" s="1004"/>
      <c r="D20" s="1004"/>
      <c r="E20" s="1004"/>
      <c r="F20" s="1004"/>
      <c r="G20" s="1004"/>
      <c r="H20" s="1004"/>
      <c r="I20" s="1004"/>
      <c r="J20" s="1004"/>
      <c r="K20" s="1004"/>
      <c r="L20" s="1004"/>
      <c r="M20" s="1004"/>
      <c r="N20" s="1004"/>
      <c r="O20" s="1004"/>
      <c r="P20" s="1004"/>
      <c r="Q20" s="1005"/>
      <c r="R20" s="742"/>
      <c r="S20" s="742"/>
    </row>
    <row r="21" spans="1:19" ht="24.6" customHeight="1">
      <c r="A21" s="1003" t="s">
        <v>3103</v>
      </c>
      <c r="B21" s="1004"/>
      <c r="C21" s="1004"/>
      <c r="D21" s="1004"/>
      <c r="E21" s="1004"/>
      <c r="F21" s="1004"/>
      <c r="G21" s="1004"/>
      <c r="H21" s="1004"/>
      <c r="I21" s="1004"/>
      <c r="J21" s="1004"/>
      <c r="K21" s="1004"/>
      <c r="L21" s="1004"/>
      <c r="M21" s="1004"/>
      <c r="N21" s="1004"/>
      <c r="O21" s="1004"/>
      <c r="P21" s="1004"/>
      <c r="Q21" s="1005"/>
    </row>
    <row r="22" spans="1:19" ht="24.6" customHeight="1">
      <c r="A22" s="1003" t="s">
        <v>3104</v>
      </c>
      <c r="B22" s="1004"/>
      <c r="C22" s="1004"/>
      <c r="D22" s="1004"/>
      <c r="E22" s="1004"/>
      <c r="F22" s="1004"/>
      <c r="G22" s="1004"/>
      <c r="H22" s="1004"/>
      <c r="I22" s="1004"/>
      <c r="J22" s="1004"/>
      <c r="K22" s="1004"/>
      <c r="L22" s="1004"/>
      <c r="M22" s="1004"/>
      <c r="N22" s="1004"/>
      <c r="O22" s="1004"/>
      <c r="P22" s="1004"/>
      <c r="Q22" s="1005"/>
      <c r="R22" s="1002" t="s">
        <v>3110</v>
      </c>
      <c r="S22" s="1002"/>
    </row>
    <row r="23" spans="1:19" ht="24.6" customHeight="1">
      <c r="A23" s="1003" t="s">
        <v>3105</v>
      </c>
      <c r="B23" s="1004"/>
      <c r="C23" s="1004"/>
      <c r="D23" s="1004"/>
      <c r="E23" s="1004"/>
      <c r="F23" s="1004"/>
      <c r="G23" s="1004"/>
      <c r="H23" s="1004"/>
      <c r="I23" s="1004"/>
      <c r="J23" s="1004"/>
      <c r="K23" s="1004"/>
      <c r="L23" s="1004"/>
      <c r="M23" s="1004"/>
      <c r="N23" s="1004"/>
      <c r="O23" s="1004"/>
      <c r="P23" s="1004"/>
      <c r="Q23" s="1005"/>
      <c r="R23" s="1002"/>
      <c r="S23" s="1002"/>
    </row>
    <row r="24" spans="1:19" ht="24.6" customHeight="1">
      <c r="A24" s="1003" t="s">
        <v>3106</v>
      </c>
      <c r="B24" s="1004"/>
      <c r="C24" s="1004"/>
      <c r="D24" s="1004"/>
      <c r="E24" s="1004"/>
      <c r="F24" s="1004"/>
      <c r="G24" s="1004"/>
      <c r="H24" s="1004"/>
      <c r="I24" s="1004"/>
      <c r="J24" s="1004"/>
      <c r="K24" s="1004"/>
      <c r="L24" s="1004"/>
      <c r="M24" s="1004"/>
      <c r="N24" s="1004"/>
      <c r="O24" s="1004"/>
      <c r="P24" s="1004"/>
      <c r="Q24" s="1005"/>
      <c r="R24" s="1002"/>
      <c r="S24" s="1002"/>
    </row>
    <row r="25" spans="1:19" ht="24.6" customHeight="1">
      <c r="A25" s="1003" t="s">
        <v>3107</v>
      </c>
      <c r="B25" s="1004"/>
      <c r="C25" s="1004"/>
      <c r="D25" s="1004"/>
      <c r="E25" s="1004"/>
      <c r="F25" s="1004"/>
      <c r="G25" s="1004"/>
      <c r="H25" s="1004"/>
      <c r="I25" s="1004"/>
      <c r="J25" s="1004"/>
      <c r="K25" s="1004"/>
      <c r="L25" s="1004"/>
      <c r="M25" s="1004"/>
      <c r="N25" s="1004"/>
      <c r="O25" s="1004"/>
      <c r="P25" s="1004"/>
      <c r="Q25" s="1005"/>
      <c r="R25" s="1002"/>
      <c r="S25" s="1002"/>
    </row>
    <row r="26" spans="1:19" ht="24.6" customHeight="1">
      <c r="A26" s="1003" t="s">
        <v>3108</v>
      </c>
      <c r="B26" s="1004"/>
      <c r="C26" s="1004"/>
      <c r="D26" s="1004"/>
      <c r="E26" s="1004"/>
      <c r="F26" s="1004"/>
      <c r="G26" s="1004"/>
      <c r="H26" s="1004"/>
      <c r="I26" s="1004"/>
      <c r="J26" s="1004"/>
      <c r="K26" s="1004"/>
      <c r="L26" s="1004"/>
      <c r="M26" s="1004"/>
      <c r="N26" s="1004"/>
      <c r="O26" s="1004"/>
      <c r="P26" s="1004"/>
      <c r="Q26" s="1005"/>
      <c r="R26" s="742"/>
      <c r="S26" s="742"/>
    </row>
    <row r="27" spans="1:19" ht="24.6" customHeight="1">
      <c r="A27" s="1006" t="s">
        <v>3109</v>
      </c>
      <c r="B27" s="1007"/>
      <c r="C27" s="1007"/>
      <c r="D27" s="1007"/>
      <c r="E27" s="1007"/>
      <c r="F27" s="1007"/>
      <c r="G27" s="1007"/>
      <c r="H27" s="1007"/>
      <c r="I27" s="1007"/>
      <c r="J27" s="1007"/>
      <c r="K27" s="1007"/>
      <c r="L27" s="1007"/>
      <c r="M27" s="1007"/>
      <c r="N27" s="1007"/>
      <c r="O27" s="1007"/>
      <c r="P27" s="1007"/>
      <c r="Q27" s="1008"/>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2921</v>
      </c>
      <c r="P29" s="992"/>
      <c r="Q29" s="993"/>
    </row>
    <row r="30" spans="1:19" ht="3" customHeight="1"/>
    <row r="31" spans="1:19" ht="12" customHeight="1">
      <c r="B31" s="192" t="s">
        <v>3058</v>
      </c>
      <c r="C31" s="65" t="s">
        <v>1077</v>
      </c>
      <c r="E31" s="40"/>
      <c r="F31" s="40"/>
      <c r="G31" s="40"/>
      <c r="H31" s="40"/>
      <c r="I31" s="52"/>
      <c r="J31" s="42"/>
      <c r="K31" s="52"/>
      <c r="L31" s="42"/>
      <c r="M31" s="42"/>
      <c r="O31" s="83" t="s">
        <v>923</v>
      </c>
      <c r="P31" s="1166" t="s">
        <v>3923</v>
      </c>
      <c r="Q31" s="234"/>
    </row>
    <row r="32" spans="1:19" ht="12" customHeight="1">
      <c r="B32" s="57" t="s">
        <v>3061</v>
      </c>
      <c r="C32" s="65" t="s">
        <v>1078</v>
      </c>
      <c r="E32" s="40"/>
      <c r="F32" s="40"/>
      <c r="G32" s="40"/>
      <c r="H32" s="40"/>
      <c r="J32" s="1218" t="s">
        <v>3260</v>
      </c>
      <c r="K32" s="1219"/>
      <c r="L32" s="1219"/>
      <c r="M32" s="1219"/>
      <c r="N32" s="1220"/>
      <c r="O32" s="83"/>
      <c r="P32" s="83"/>
      <c r="Q32" s="83"/>
    </row>
    <row r="33" spans="1:31" ht="11.25" customHeight="1">
      <c r="B33" s="84" t="s">
        <v>2919</v>
      </c>
      <c r="C33" s="84"/>
      <c r="D33" s="84"/>
      <c r="E33" s="84"/>
      <c r="F33" s="84"/>
      <c r="G33" s="179"/>
      <c r="H33" s="179"/>
      <c r="I33" s="179"/>
      <c r="J33" s="179"/>
      <c r="K33" s="737"/>
      <c r="L33" s="737"/>
      <c r="M33" s="737"/>
      <c r="N33" s="737"/>
      <c r="O33" s="737"/>
      <c r="P33" s="63"/>
      <c r="S33" s="217"/>
      <c r="T33" s="217"/>
    </row>
    <row r="34" spans="1:31" ht="12" customHeight="1">
      <c r="A34" s="1152" t="s">
        <v>4030</v>
      </c>
      <c r="B34" s="1153"/>
      <c r="C34" s="1153"/>
      <c r="D34" s="1153"/>
      <c r="E34" s="1153"/>
      <c r="F34" s="1153"/>
      <c r="G34" s="1153"/>
      <c r="H34" s="1153"/>
      <c r="I34" s="1153"/>
      <c r="J34" s="1153"/>
      <c r="K34" s="1153"/>
      <c r="L34" s="1153"/>
      <c r="M34" s="1153"/>
      <c r="N34" s="1153"/>
      <c r="O34" s="1153"/>
      <c r="P34" s="1153"/>
      <c r="Q34" s="1154"/>
      <c r="R34" s="1002" t="s">
        <v>1932</v>
      </c>
      <c r="S34" s="1002"/>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02"/>
      <c r="S35" s="1002"/>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1002" t="s">
        <v>1932</v>
      </c>
      <c r="S38" s="1002"/>
    </row>
    <row r="39" spans="1:31" ht="12" customHeight="1">
      <c r="A39" s="999"/>
      <c r="B39" s="1000"/>
      <c r="C39" s="1000"/>
      <c r="D39" s="1000"/>
      <c r="E39" s="1000"/>
      <c r="F39" s="1000"/>
      <c r="G39" s="1000"/>
      <c r="H39" s="1000"/>
      <c r="I39" s="1000"/>
      <c r="J39" s="1000"/>
      <c r="K39" s="1000"/>
      <c r="L39" s="1000"/>
      <c r="M39" s="1000"/>
      <c r="N39" s="1000"/>
      <c r="O39" s="1000"/>
      <c r="P39" s="1000"/>
      <c r="Q39" s="1001"/>
      <c r="R39" s="1002"/>
      <c r="S39" s="1002"/>
    </row>
    <row r="40" spans="1:31" ht="12" customHeight="1">
      <c r="A40" s="999"/>
      <c r="B40" s="1000"/>
      <c r="C40" s="1000"/>
      <c r="D40" s="1000"/>
      <c r="E40" s="1000"/>
      <c r="F40" s="1000"/>
      <c r="G40" s="1000"/>
      <c r="H40" s="1000"/>
      <c r="I40" s="1000"/>
      <c r="J40" s="1000"/>
      <c r="K40" s="1000"/>
      <c r="L40" s="1000"/>
      <c r="M40" s="1000"/>
      <c r="N40" s="1000"/>
      <c r="O40" s="1000"/>
      <c r="P40" s="1000"/>
      <c r="Q40" s="1001"/>
      <c r="R40" s="1002"/>
      <c r="S40" s="1002"/>
    </row>
    <row r="41" spans="1:31" ht="12" customHeight="1">
      <c r="A41" s="999"/>
      <c r="B41" s="1000"/>
      <c r="C41" s="1000"/>
      <c r="D41" s="1000"/>
      <c r="E41" s="1000"/>
      <c r="F41" s="1000"/>
      <c r="G41" s="1000"/>
      <c r="H41" s="1000"/>
      <c r="I41" s="1000"/>
      <c r="J41" s="1000"/>
      <c r="K41" s="1000"/>
      <c r="L41" s="1000"/>
      <c r="M41" s="1000"/>
      <c r="N41" s="1000"/>
      <c r="O41" s="1000"/>
      <c r="P41" s="1000"/>
      <c r="Q41" s="1001"/>
    </row>
    <row r="42" spans="1:31" ht="12" customHeight="1">
      <c r="A42" s="999"/>
      <c r="B42" s="1000"/>
      <c r="C42" s="1000"/>
      <c r="D42" s="1000"/>
      <c r="E42" s="1000"/>
      <c r="F42" s="1000"/>
      <c r="G42" s="1000"/>
      <c r="H42" s="1000"/>
      <c r="I42" s="1000"/>
      <c r="J42" s="1000"/>
      <c r="K42" s="1000"/>
      <c r="L42" s="1000"/>
      <c r="M42" s="1000"/>
      <c r="N42" s="1000"/>
      <c r="O42" s="1000"/>
      <c r="P42" s="1000"/>
      <c r="Q42" s="1001"/>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2084</v>
      </c>
      <c r="C45" s="5"/>
      <c r="D45" s="5"/>
      <c r="E45" s="740"/>
      <c r="F45" s="740"/>
      <c r="G45" s="740"/>
      <c r="H45" s="740"/>
      <c r="K45" s="740"/>
      <c r="L45" s="740"/>
      <c r="M45" s="740"/>
      <c r="O45" s="180" t="s">
        <v>2921</v>
      </c>
      <c r="P45" s="992"/>
      <c r="Q45" s="993"/>
    </row>
    <row r="46" spans="1:31" ht="3" customHeight="1"/>
    <row r="47" spans="1:31" ht="11.45" customHeight="1">
      <c r="A47" s="189"/>
      <c r="C47" s="190" t="s">
        <v>113</v>
      </c>
      <c r="D47" s="190"/>
      <c r="E47" s="190"/>
      <c r="F47" s="190"/>
      <c r="G47" s="190"/>
      <c r="H47" s="190"/>
      <c r="J47" s="1221" t="str">
        <f>'Part I-Project Information'!$H$65</f>
        <v>Family</v>
      </c>
      <c r="K47" s="1222"/>
      <c r="L47" s="1223"/>
      <c r="M47" s="740"/>
      <c r="N47" s="740"/>
      <c r="P47" s="1166" t="s">
        <v>3924</v>
      </c>
      <c r="Q47" s="234"/>
    </row>
    <row r="48" spans="1:31" ht="11.25" customHeight="1">
      <c r="B48" s="131" t="s">
        <v>2919</v>
      </c>
      <c r="D48" s="131"/>
      <c r="E48" s="131"/>
      <c r="F48" s="131"/>
      <c r="G48" s="131"/>
      <c r="H48" s="50"/>
      <c r="I48" s="179"/>
      <c r="J48" s="179"/>
      <c r="K48" s="187" t="s">
        <v>2920</v>
      </c>
      <c r="L48" s="737"/>
      <c r="M48" s="737"/>
      <c r="N48" s="737"/>
      <c r="O48" s="737"/>
      <c r="P48" s="737"/>
      <c r="Q48" s="63"/>
    </row>
    <row r="49" spans="1:31" ht="11.45" customHeight="1">
      <c r="A49" s="1159" t="s">
        <v>3960</v>
      </c>
      <c r="B49" s="1160"/>
      <c r="C49" s="1160"/>
      <c r="D49" s="1160"/>
      <c r="E49" s="1160"/>
      <c r="F49" s="1160"/>
      <c r="G49" s="1160"/>
      <c r="H49" s="1160"/>
      <c r="I49" s="1160"/>
      <c r="J49" s="1161"/>
      <c r="K49" s="1014"/>
      <c r="L49" s="1015"/>
      <c r="M49" s="1015"/>
      <c r="N49" s="1015"/>
      <c r="O49" s="1015"/>
      <c r="P49" s="1015"/>
      <c r="Q49" s="1016"/>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2921</v>
      </c>
      <c r="P51" s="992"/>
      <c r="Q51" s="993"/>
    </row>
    <row r="52" spans="1:31" ht="3" customHeight="1"/>
    <row r="53" spans="1:31" ht="12.6" customHeight="1">
      <c r="B53" s="192" t="s">
        <v>3058</v>
      </c>
      <c r="C53" s="1009" t="s">
        <v>399</v>
      </c>
      <c r="D53" s="1009"/>
      <c r="E53" s="1009"/>
      <c r="F53" s="1009"/>
      <c r="G53" s="1009"/>
      <c r="H53" s="1009"/>
      <c r="I53" s="1009"/>
      <c r="J53" s="1009"/>
      <c r="K53" s="1009"/>
      <c r="L53" s="1009"/>
      <c r="M53" s="1009"/>
      <c r="O53" s="193"/>
      <c r="P53" s="1166" t="s">
        <v>3961</v>
      </c>
      <c r="Q53" s="234"/>
    </row>
    <row r="54" spans="1:31" ht="12" customHeight="1">
      <c r="B54" s="57" t="s">
        <v>3061</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9"/>
      <c r="F55" s="739"/>
      <c r="G55" s="739"/>
      <c r="H55" s="42"/>
      <c r="I55" s="52"/>
      <c r="J55" s="52"/>
      <c r="K55" s="52"/>
      <c r="L55" s="42"/>
      <c r="M55" s="42"/>
      <c r="O55" s="83" t="s">
        <v>2764</v>
      </c>
      <c r="P55" s="1166" t="s">
        <v>3924</v>
      </c>
      <c r="Q55" s="234"/>
    </row>
    <row r="56" spans="1:31" ht="10.9" customHeight="1">
      <c r="A56" s="194"/>
      <c r="B56" s="52"/>
      <c r="C56" s="83" t="s">
        <v>2765</v>
      </c>
      <c r="D56" s="40" t="s">
        <v>2844</v>
      </c>
      <c r="E56" s="739"/>
      <c r="F56" s="739"/>
      <c r="G56" s="739"/>
      <c r="H56" s="42"/>
      <c r="I56" s="52"/>
      <c r="J56" s="52"/>
      <c r="O56" s="83" t="s">
        <v>2765</v>
      </c>
      <c r="P56" s="1166"/>
      <c r="Q56" s="234"/>
    </row>
    <row r="57" spans="1:31" ht="10.9" customHeight="1">
      <c r="A57" s="194"/>
      <c r="B57" s="52"/>
      <c r="C57" s="83" t="s">
        <v>2766</v>
      </c>
      <c r="D57" s="40" t="s">
        <v>400</v>
      </c>
      <c r="E57" s="739"/>
      <c r="J57" s="83"/>
      <c r="K57" s="83" t="s">
        <v>2766</v>
      </c>
      <c r="L57" s="1224"/>
      <c r="M57" s="1225"/>
      <c r="N57" s="1225"/>
      <c r="O57" s="1225"/>
      <c r="P57" s="1226"/>
      <c r="Q57" s="234"/>
    </row>
    <row r="58" spans="1:31" ht="11.25" customHeight="1">
      <c r="B58" s="131" t="s">
        <v>2919</v>
      </c>
      <c r="D58" s="131"/>
      <c r="E58" s="131"/>
      <c r="F58" s="131"/>
      <c r="G58" s="131"/>
      <c r="H58" s="50"/>
      <c r="I58" s="179"/>
      <c r="J58" s="179"/>
      <c r="K58" s="179"/>
      <c r="L58" s="737"/>
      <c r="M58" s="737"/>
      <c r="N58" s="737"/>
      <c r="O58" s="737"/>
      <c r="P58" s="737"/>
      <c r="Q58" s="63"/>
    </row>
    <row r="59" spans="1:31" ht="12" customHeight="1">
      <c r="A59" s="1152" t="s">
        <v>4045</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3701</v>
      </c>
      <c r="C65" s="741"/>
      <c r="D65" s="740"/>
      <c r="E65" s="740"/>
      <c r="F65" s="740"/>
      <c r="G65" s="740"/>
      <c r="H65" s="740"/>
      <c r="I65" s="740"/>
      <c r="J65" s="740"/>
      <c r="K65" s="740"/>
      <c r="O65" s="180" t="s">
        <v>2921</v>
      </c>
      <c r="P65" s="992"/>
      <c r="Q65" s="993"/>
    </row>
    <row r="66" spans="1:31" ht="3" customHeight="1"/>
    <row r="67" spans="1:31" ht="12" customHeight="1">
      <c r="B67" s="57" t="s">
        <v>3058</v>
      </c>
      <c r="C67" s="195" t="s">
        <v>3728</v>
      </c>
      <c r="D67" s="182"/>
      <c r="E67" s="182"/>
      <c r="F67" s="182"/>
      <c r="G67" s="182"/>
      <c r="H67" s="182"/>
      <c r="I67" s="52"/>
      <c r="J67" s="52"/>
      <c r="K67" s="52"/>
      <c r="L67" s="62" t="s">
        <v>3058</v>
      </c>
      <c r="M67" s="1224" t="s">
        <v>3986</v>
      </c>
      <c r="N67" s="1225"/>
      <c r="O67" s="1225"/>
      <c r="P67" s="1227"/>
      <c r="Q67" s="234"/>
    </row>
    <row r="68" spans="1:31" ht="12" customHeight="1">
      <c r="B68" s="57" t="s">
        <v>3061</v>
      </c>
      <c r="C68" s="65" t="s">
        <v>3116</v>
      </c>
      <c r="D68" s="182"/>
      <c r="E68" s="182"/>
      <c r="F68" s="182"/>
      <c r="L68" s="62" t="s">
        <v>3061</v>
      </c>
      <c r="M68" s="1224" t="s">
        <v>4037</v>
      </c>
      <c r="N68" s="1225"/>
      <c r="O68" s="1225"/>
      <c r="P68" s="1227"/>
      <c r="Q68" s="234"/>
    </row>
    <row r="69" spans="1:31" ht="12" customHeight="1">
      <c r="B69" s="57" t="s">
        <v>1238</v>
      </c>
      <c r="C69" s="65" t="s">
        <v>3729</v>
      </c>
      <c r="D69" s="182"/>
      <c r="E69" s="182"/>
      <c r="F69" s="182"/>
      <c r="L69" s="62" t="s">
        <v>1238</v>
      </c>
      <c r="M69" s="1224" t="s">
        <v>4037</v>
      </c>
      <c r="N69" s="1225"/>
      <c r="O69" s="1225"/>
      <c r="P69" s="1227"/>
      <c r="Q69" s="351"/>
    </row>
    <row r="70" spans="1:31" ht="12" customHeight="1">
      <c r="B70" s="57" t="s">
        <v>3210</v>
      </c>
      <c r="C70" s="65" t="s">
        <v>3730</v>
      </c>
      <c r="D70" s="182"/>
      <c r="E70" s="182"/>
      <c r="F70" s="182"/>
      <c r="L70" s="62" t="s">
        <v>3210</v>
      </c>
      <c r="M70" s="1224" t="s">
        <v>4036</v>
      </c>
      <c r="N70" s="1225"/>
      <c r="O70" s="1225"/>
      <c r="P70" s="1227"/>
      <c r="Q70" s="234"/>
    </row>
    <row r="71" spans="1:31" ht="22.15" customHeight="1">
      <c r="B71" s="192" t="s">
        <v>2762</v>
      </c>
      <c r="C71" s="994" t="s">
        <v>3554</v>
      </c>
      <c r="D71" s="1040"/>
      <c r="E71" s="1040"/>
      <c r="F71" s="1040"/>
      <c r="G71" s="1040"/>
      <c r="H71" s="1040"/>
      <c r="I71" s="1040"/>
      <c r="J71" s="1040"/>
      <c r="K71" s="1040"/>
      <c r="L71" s="739"/>
      <c r="M71" s="739"/>
      <c r="O71" s="62" t="s">
        <v>2762</v>
      </c>
      <c r="P71" s="1166" t="s">
        <v>3923</v>
      </c>
      <c r="Q71" s="234"/>
    </row>
    <row r="72" spans="1:31" ht="12" customHeight="1">
      <c r="B72" s="57"/>
      <c r="C72" s="65"/>
      <c r="D72" s="709" t="s">
        <v>3591</v>
      </c>
      <c r="E72" s="40" t="s">
        <v>951</v>
      </c>
      <c r="F72" s="40"/>
      <c r="G72" s="65"/>
      <c r="H72" s="709" t="s">
        <v>3591</v>
      </c>
      <c r="I72" s="40" t="s">
        <v>951</v>
      </c>
      <c r="J72" s="40"/>
      <c r="K72" s="65"/>
      <c r="L72" s="709" t="s">
        <v>3591</v>
      </c>
      <c r="M72" s="40" t="s">
        <v>951</v>
      </c>
      <c r="N72" s="40"/>
      <c r="O72" s="65"/>
      <c r="P72" s="62"/>
      <c r="Q72" s="62"/>
    </row>
    <row r="73" spans="1:31" ht="12" customHeight="1">
      <c r="B73" s="57"/>
      <c r="C73" s="65">
        <v>1</v>
      </c>
      <c r="D73" s="1228"/>
      <c r="E73" s="1229"/>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2763</v>
      </c>
      <c r="C76" s="65" t="s">
        <v>1</v>
      </c>
      <c r="D76" s="182"/>
      <c r="E76" s="182"/>
      <c r="F76" s="182"/>
      <c r="G76" s="182"/>
      <c r="H76" s="182"/>
      <c r="I76" s="52"/>
      <c r="J76" s="52"/>
      <c r="K76" s="182"/>
      <c r="L76" s="739"/>
      <c r="M76" s="739"/>
      <c r="O76" s="62" t="s">
        <v>2763</v>
      </c>
      <c r="P76" s="1166" t="s">
        <v>3924</v>
      </c>
      <c r="Q76" s="234"/>
    </row>
    <row r="77" spans="1:31" ht="11.25" customHeight="1">
      <c r="B77" s="191" t="s">
        <v>2919</v>
      </c>
      <c r="D77" s="191"/>
      <c r="E77" s="191"/>
      <c r="F77" s="191"/>
      <c r="G77" s="191"/>
      <c r="H77" s="50"/>
      <c r="I77" s="179"/>
      <c r="J77" s="179"/>
      <c r="K77" s="179"/>
      <c r="L77" s="737"/>
      <c r="M77" s="737"/>
      <c r="N77" s="737"/>
      <c r="O77" s="737"/>
      <c r="P77" s="737"/>
      <c r="Q77" s="63"/>
    </row>
    <row r="78" spans="1:31" ht="22.9" customHeight="1">
      <c r="A78" s="1152" t="s">
        <v>4038</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2921</v>
      </c>
      <c r="P83" s="992"/>
      <c r="Q83" s="993"/>
    </row>
    <row r="84" spans="1:17" ht="3" customHeight="1"/>
    <row r="85" spans="1:17" ht="12" customHeight="1">
      <c r="B85" s="57" t="s">
        <v>3058</v>
      </c>
      <c r="C85" s="65" t="s">
        <v>729</v>
      </c>
      <c r="D85" s="65"/>
      <c r="E85" s="65"/>
      <c r="F85" s="65"/>
      <c r="G85" s="65"/>
      <c r="H85" s="65"/>
      <c r="I85" s="65"/>
      <c r="J85" s="65"/>
      <c r="K85" s="65"/>
      <c r="L85" s="65"/>
      <c r="M85" s="65"/>
      <c r="O85" s="62" t="s">
        <v>3058</v>
      </c>
      <c r="P85" s="1166" t="s">
        <v>3923</v>
      </c>
      <c r="Q85" s="234"/>
    </row>
    <row r="86" spans="1:17" ht="12" customHeight="1">
      <c r="B86" s="57" t="s">
        <v>3061</v>
      </c>
      <c r="C86" s="65" t="s">
        <v>2005</v>
      </c>
      <c r="D86" s="65"/>
      <c r="E86" s="65"/>
      <c r="F86" s="65"/>
      <c r="G86" s="65"/>
      <c r="H86" s="65"/>
      <c r="I86" s="65"/>
      <c r="J86" s="65"/>
      <c r="K86" s="65"/>
      <c r="L86" s="40"/>
      <c r="M86" s="40"/>
      <c r="O86" s="62" t="s">
        <v>3061</v>
      </c>
      <c r="P86" s="1166" t="s">
        <v>3923</v>
      </c>
      <c r="Q86" s="234"/>
    </row>
    <row r="87" spans="1:17" ht="12" customHeight="1">
      <c r="A87" s="181"/>
      <c r="B87" s="46"/>
      <c r="D87" s="49" t="s">
        <v>849</v>
      </c>
      <c r="E87" s="52"/>
      <c r="F87" s="52"/>
      <c r="G87" s="52"/>
      <c r="H87" s="52"/>
      <c r="I87" s="52"/>
      <c r="K87" s="49" t="s">
        <v>850</v>
      </c>
      <c r="M87" s="1231"/>
      <c r="N87" s="1232"/>
      <c r="O87" s="1232"/>
      <c r="P87" s="1233"/>
      <c r="Q87" s="234"/>
    </row>
    <row r="88" spans="1:17" ht="22.9" customHeight="1">
      <c r="A88" s="194"/>
      <c r="B88" s="179"/>
      <c r="C88" s="203" t="s">
        <v>2764</v>
      </c>
      <c r="D88" s="977"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3210</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c r="Q93" s="234"/>
    </row>
    <row r="94" spans="1:17" ht="12" customHeight="1">
      <c r="B94" s="57"/>
      <c r="C94" s="83" t="s">
        <v>2765</v>
      </c>
      <c r="D94" s="65" t="s">
        <v>2150</v>
      </c>
      <c r="E94" s="65"/>
      <c r="F94" s="65"/>
      <c r="G94" s="65"/>
      <c r="H94" s="65"/>
      <c r="I94" s="65"/>
      <c r="J94" s="65"/>
      <c r="K94" s="65"/>
      <c r="L94" s="40"/>
      <c r="M94" s="40"/>
      <c r="O94" s="83" t="s">
        <v>2765</v>
      </c>
      <c r="P94" s="1166"/>
      <c r="Q94" s="234"/>
    </row>
    <row r="95" spans="1:17" ht="12" customHeight="1">
      <c r="B95" s="57"/>
      <c r="C95" s="83" t="s">
        <v>2766</v>
      </c>
      <c r="D95" s="65" t="s">
        <v>2151</v>
      </c>
      <c r="E95" s="65"/>
      <c r="F95" s="65"/>
      <c r="G95" s="65"/>
      <c r="H95" s="65"/>
      <c r="I95" s="65"/>
      <c r="J95" s="65"/>
      <c r="K95" s="65"/>
      <c r="L95" s="40"/>
      <c r="M95" s="40"/>
      <c r="O95" s="83" t="s">
        <v>2766</v>
      </c>
      <c r="P95" s="1166"/>
      <c r="Q95" s="234"/>
    </row>
    <row r="96" spans="1:17" ht="11.25" customHeight="1">
      <c r="B96" s="191" t="s">
        <v>2919</v>
      </c>
      <c r="D96" s="191"/>
      <c r="E96" s="191"/>
      <c r="F96" s="191"/>
      <c r="G96" s="191"/>
      <c r="H96" s="50"/>
      <c r="I96" s="179"/>
      <c r="J96" s="179"/>
      <c r="K96" s="179"/>
      <c r="L96" s="737"/>
      <c r="M96" s="737"/>
      <c r="N96" s="737"/>
      <c r="O96" s="737"/>
      <c r="P96" s="737"/>
      <c r="Q96" s="63"/>
    </row>
    <row r="97" spans="1:31" ht="13.15" customHeight="1">
      <c r="A97" s="1152" t="s">
        <v>3962</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2921</v>
      </c>
      <c r="P103" s="992"/>
      <c r="Q103" s="993"/>
    </row>
    <row r="104" spans="1:31" ht="6.6" customHeight="1"/>
    <row r="105" spans="1:31" ht="12" customHeight="1">
      <c r="B105" s="57" t="s">
        <v>3058</v>
      </c>
      <c r="C105" s="65" t="s">
        <v>202</v>
      </c>
      <c r="D105" s="182"/>
      <c r="E105" s="182"/>
      <c r="F105" s="182"/>
      <c r="G105" s="182"/>
      <c r="H105" s="182"/>
      <c r="I105" s="52"/>
      <c r="J105" s="52"/>
      <c r="K105" s="52"/>
      <c r="L105" s="62" t="s">
        <v>3058</v>
      </c>
      <c r="M105" s="1224" t="s">
        <v>3963</v>
      </c>
      <c r="N105" s="1225"/>
      <c r="O105" s="1225"/>
      <c r="P105" s="1226"/>
      <c r="Q105" s="234"/>
    </row>
    <row r="106" spans="1:31" ht="12" customHeight="1">
      <c r="B106" s="57" t="s">
        <v>3061</v>
      </c>
      <c r="C106" s="65" t="s">
        <v>2291</v>
      </c>
      <c r="D106" s="182"/>
      <c r="E106" s="182"/>
      <c r="F106" s="182"/>
      <c r="G106" s="182"/>
      <c r="H106" s="182"/>
      <c r="I106" s="52"/>
      <c r="J106" s="52"/>
      <c r="K106" s="182"/>
      <c r="L106" s="182"/>
      <c r="M106" s="739"/>
      <c r="O106" s="62" t="s">
        <v>3061</v>
      </c>
      <c r="P106" s="1166" t="s">
        <v>3923</v>
      </c>
      <c r="Q106" s="351"/>
    </row>
    <row r="107" spans="1:31" ht="12" customHeight="1">
      <c r="B107" s="57" t="s">
        <v>1238</v>
      </c>
      <c r="C107" s="65" t="s">
        <v>205</v>
      </c>
      <c r="D107" s="182"/>
      <c r="E107" s="182"/>
      <c r="F107" s="182"/>
      <c r="G107" s="182"/>
      <c r="H107" s="182"/>
      <c r="I107" s="52"/>
      <c r="J107" s="52"/>
      <c r="K107" s="182"/>
      <c r="L107" s="739"/>
      <c r="M107" s="739"/>
      <c r="O107" s="62" t="s">
        <v>1238</v>
      </c>
      <c r="P107" s="1166" t="s">
        <v>3924</v>
      </c>
      <c r="Q107" s="234"/>
    </row>
    <row r="108" spans="1:31" ht="12" customHeight="1">
      <c r="B108" s="189"/>
      <c r="C108" s="65" t="s">
        <v>2841</v>
      </c>
      <c r="D108" s="52"/>
      <c r="E108" s="52"/>
      <c r="F108" s="52"/>
      <c r="G108" s="52"/>
      <c r="H108" s="65"/>
      <c r="I108" s="52"/>
      <c r="J108" s="52"/>
      <c r="K108" s="182"/>
      <c r="L108" s="739"/>
      <c r="M108" s="739"/>
      <c r="P108" s="1234" t="s">
        <v>4057</v>
      </c>
      <c r="Q108" s="351"/>
    </row>
    <row r="109" spans="1:31" ht="12" customHeight="1">
      <c r="B109" s="189"/>
      <c r="C109" s="65" t="s">
        <v>2089</v>
      </c>
      <c r="D109" s="52"/>
      <c r="E109" s="52"/>
      <c r="F109" s="52"/>
      <c r="G109" s="52"/>
      <c r="H109" s="65"/>
      <c r="I109" s="52"/>
      <c r="J109" s="52"/>
      <c r="K109" s="182"/>
      <c r="L109" s="739"/>
      <c r="M109" s="739"/>
      <c r="N109" s="739"/>
      <c r="O109" s="739"/>
    </row>
    <row r="110" spans="1:31" ht="24" customHeight="1">
      <c r="B110" s="737"/>
      <c r="C110" s="1235" t="s">
        <v>4058</v>
      </c>
      <c r="D110" s="1236"/>
      <c r="E110" s="1236"/>
      <c r="F110" s="1236"/>
      <c r="G110" s="1236"/>
      <c r="H110" s="1236"/>
      <c r="I110" s="1236"/>
      <c r="J110" s="1236"/>
      <c r="K110" s="1236"/>
      <c r="L110" s="1236"/>
      <c r="M110" s="1236"/>
      <c r="N110" s="1236"/>
      <c r="O110" s="1237"/>
      <c r="P110" s="740"/>
      <c r="Q110" s="737"/>
    </row>
    <row r="111" spans="1:31" ht="12" customHeight="1">
      <c r="B111" s="57" t="s">
        <v>3210</v>
      </c>
      <c r="C111" s="65" t="s">
        <v>1944</v>
      </c>
      <c r="D111" s="182"/>
      <c r="E111" s="182"/>
      <c r="F111" s="182"/>
      <c r="G111" s="182"/>
      <c r="H111" s="182"/>
      <c r="I111" s="52"/>
      <c r="J111" s="52"/>
      <c r="K111" s="182"/>
      <c r="L111" s="739"/>
      <c r="M111" s="739"/>
      <c r="N111" s="739"/>
      <c r="O111" s="62" t="s">
        <v>3210</v>
      </c>
    </row>
    <row r="112" spans="1:31" ht="12" customHeight="1">
      <c r="B112" s="57"/>
      <c r="C112" s="83" t="s">
        <v>2764</v>
      </c>
      <c r="D112" s="65" t="s">
        <v>203</v>
      </c>
      <c r="E112" s="182"/>
      <c r="F112" s="182"/>
      <c r="G112" s="182"/>
      <c r="H112" s="182"/>
      <c r="I112" s="52"/>
      <c r="J112" s="52"/>
      <c r="K112" s="182"/>
      <c r="L112" s="739"/>
      <c r="M112" s="739"/>
      <c r="O112" s="83" t="s">
        <v>2764</v>
      </c>
      <c r="P112" s="1166" t="s">
        <v>3923</v>
      </c>
      <c r="Q112" s="234"/>
    </row>
    <row r="113" spans="1:17" ht="12" customHeight="1">
      <c r="B113" s="57"/>
      <c r="C113" s="83" t="s">
        <v>2765</v>
      </c>
      <c r="D113" s="65" t="s">
        <v>1945</v>
      </c>
      <c r="E113" s="182"/>
      <c r="F113" s="182"/>
      <c r="G113" s="182"/>
      <c r="H113" s="52"/>
      <c r="I113" s="52"/>
      <c r="J113" s="52"/>
      <c r="K113" s="182"/>
      <c r="L113" s="739"/>
      <c r="M113" s="739"/>
      <c r="O113" s="83" t="s">
        <v>2765</v>
      </c>
      <c r="P113" s="1234" t="s">
        <v>3923</v>
      </c>
      <c r="Q113" s="351"/>
    </row>
    <row r="114" spans="1:17" ht="12" customHeight="1">
      <c r="B114" s="57"/>
      <c r="C114" s="83"/>
      <c r="D114" s="65" t="s">
        <v>2968</v>
      </c>
      <c r="E114" s="52"/>
      <c r="F114" s="52"/>
      <c r="G114" s="52"/>
      <c r="H114" s="65"/>
      <c r="I114" s="52"/>
      <c r="J114" s="52"/>
      <c r="K114" s="182"/>
      <c r="L114" s="739"/>
      <c r="M114" s="739"/>
      <c r="O114" s="739"/>
      <c r="P114" s="1238"/>
      <c r="Q114" s="457"/>
    </row>
    <row r="115" spans="1:17" ht="12" customHeight="1">
      <c r="B115" s="57"/>
      <c r="C115" s="83"/>
      <c r="D115" s="65" t="s">
        <v>3661</v>
      </c>
      <c r="E115" s="52"/>
      <c r="F115" s="52"/>
      <c r="G115" s="52"/>
      <c r="H115" s="65"/>
      <c r="I115" s="52"/>
      <c r="J115" s="52"/>
      <c r="K115" s="182"/>
      <c r="L115" s="739"/>
      <c r="M115" s="739"/>
      <c r="O115" s="739"/>
      <c r="P115" s="1234"/>
      <c r="Q115" s="351"/>
    </row>
    <row r="116" spans="1:17" ht="12" customHeight="1">
      <c r="B116" s="57"/>
      <c r="C116" s="83"/>
      <c r="D116" s="65" t="s">
        <v>3242</v>
      </c>
      <c r="E116" s="52"/>
      <c r="F116" s="52"/>
      <c r="G116" s="52"/>
      <c r="H116" s="65"/>
      <c r="I116" s="52"/>
      <c r="J116" s="52"/>
      <c r="K116" s="182"/>
      <c r="L116" s="739"/>
      <c r="M116" s="739"/>
      <c r="O116" s="739"/>
      <c r="P116" s="1234"/>
      <c r="Q116" s="351"/>
    </row>
    <row r="117" spans="1:17" ht="12" customHeight="1">
      <c r="B117" s="57"/>
      <c r="C117" s="83" t="s">
        <v>2766</v>
      </c>
      <c r="D117" s="65" t="s">
        <v>1946</v>
      </c>
      <c r="E117" s="182"/>
      <c r="F117" s="182"/>
      <c r="G117" s="182"/>
      <c r="H117" s="65"/>
      <c r="I117" s="52"/>
      <c r="J117" s="52"/>
      <c r="K117" s="182"/>
      <c r="L117" s="739"/>
      <c r="M117" s="739"/>
      <c r="O117" s="83" t="s">
        <v>2766</v>
      </c>
      <c r="P117" s="1166" t="s">
        <v>3924</v>
      </c>
      <c r="Q117" s="234"/>
    </row>
    <row r="118" spans="1:17" ht="12" customHeight="1">
      <c r="B118" s="57"/>
      <c r="C118" s="83"/>
      <c r="D118" s="65" t="s">
        <v>1407</v>
      </c>
      <c r="E118" s="52"/>
      <c r="F118" s="52"/>
      <c r="G118" s="52"/>
      <c r="H118" s="65"/>
      <c r="I118" s="52"/>
      <c r="J118" s="52"/>
      <c r="K118" s="182"/>
      <c r="L118" s="739"/>
      <c r="M118" s="739"/>
      <c r="O118" s="739"/>
      <c r="P118" s="1239">
        <v>0.06</v>
      </c>
      <c r="Q118" s="352"/>
    </row>
    <row r="119" spans="1:17" ht="12" customHeight="1">
      <c r="B119" s="57"/>
      <c r="C119" s="83"/>
      <c r="D119" s="65" t="s">
        <v>3243</v>
      </c>
      <c r="E119" s="52"/>
      <c r="F119" s="52"/>
      <c r="G119" s="52"/>
      <c r="H119" s="65"/>
      <c r="I119" s="52"/>
      <c r="J119" s="52"/>
      <c r="K119" s="182"/>
      <c r="L119" s="739"/>
      <c r="M119" s="739"/>
      <c r="O119" s="739"/>
      <c r="P119" s="1234" t="s">
        <v>3923</v>
      </c>
      <c r="Q119" s="351"/>
    </row>
    <row r="120" spans="1:17" ht="12" customHeight="1">
      <c r="B120" s="57"/>
      <c r="C120" s="83"/>
      <c r="D120" s="65" t="s">
        <v>3242</v>
      </c>
      <c r="E120" s="52"/>
      <c r="F120" s="52"/>
      <c r="G120" s="52"/>
      <c r="H120" s="65"/>
      <c r="I120" s="52"/>
      <c r="J120" s="52"/>
      <c r="K120" s="182"/>
      <c r="L120" s="739"/>
      <c r="M120" s="739"/>
      <c r="O120" s="739"/>
      <c r="P120" s="1234" t="s">
        <v>3924</v>
      </c>
      <c r="Q120" s="351"/>
    </row>
    <row r="121" spans="1:17" ht="12" customHeight="1">
      <c r="B121" s="46"/>
      <c r="C121" s="83" t="s">
        <v>3569</v>
      </c>
      <c r="D121" s="65" t="s">
        <v>726</v>
      </c>
      <c r="E121" s="182"/>
      <c r="F121" s="182"/>
      <c r="G121" s="182"/>
      <c r="H121" s="182"/>
      <c r="I121" s="52"/>
      <c r="J121" s="52"/>
      <c r="K121" s="182"/>
      <c r="L121" s="739"/>
      <c r="M121" s="739"/>
      <c r="O121" s="83" t="s">
        <v>3569</v>
      </c>
      <c r="P121" s="1166" t="s">
        <v>3924</v>
      </c>
      <c r="Q121" s="234"/>
    </row>
    <row r="122" spans="1:17" ht="12" customHeight="1">
      <c r="B122" s="57" t="s">
        <v>2762</v>
      </c>
      <c r="C122" s="196" t="s">
        <v>3656</v>
      </c>
      <c r="D122" s="182"/>
      <c r="E122" s="182"/>
      <c r="F122" s="182"/>
      <c r="G122" s="182"/>
      <c r="H122" s="182"/>
      <c r="I122" s="52"/>
      <c r="J122" s="52"/>
      <c r="K122" s="182"/>
      <c r="L122" s="739"/>
      <c r="M122" s="739"/>
      <c r="N122" s="739"/>
      <c r="O122" s="62" t="s">
        <v>2762</v>
      </c>
      <c r="P122" s="1166" t="s">
        <v>3924</v>
      </c>
      <c r="Q122" s="234"/>
    </row>
    <row r="123" spans="1:17" ht="12" customHeight="1">
      <c r="B123" s="57"/>
      <c r="C123" s="83" t="s">
        <v>2764</v>
      </c>
      <c r="D123" s="65" t="s">
        <v>3657</v>
      </c>
      <c r="E123" s="182"/>
      <c r="F123" s="1166" t="s">
        <v>3924</v>
      </c>
      <c r="G123" s="234"/>
      <c r="H123" s="83" t="s">
        <v>2766</v>
      </c>
      <c r="I123" s="65" t="s">
        <v>2305</v>
      </c>
      <c r="J123" s="1166" t="s">
        <v>3923</v>
      </c>
      <c r="K123" s="234"/>
      <c r="L123" s="83" t="s">
        <v>2303</v>
      </c>
      <c r="M123" s="65" t="s">
        <v>3619</v>
      </c>
      <c r="N123" s="1166" t="s">
        <v>3923</v>
      </c>
      <c r="O123" s="234"/>
    </row>
    <row r="124" spans="1:17" ht="12" customHeight="1">
      <c r="B124" s="46"/>
      <c r="C124" s="83" t="s">
        <v>2765</v>
      </c>
      <c r="D124" s="65" t="s">
        <v>3773</v>
      </c>
      <c r="E124" s="182"/>
      <c r="F124" s="1166" t="s">
        <v>3923</v>
      </c>
      <c r="G124" s="234"/>
      <c r="H124" s="83" t="s">
        <v>3569</v>
      </c>
      <c r="I124" s="65" t="s">
        <v>2306</v>
      </c>
      <c r="J124" s="1166" t="s">
        <v>3923</v>
      </c>
      <c r="K124" s="234"/>
      <c r="L124" s="83" t="s">
        <v>2304</v>
      </c>
      <c r="M124" s="65" t="s">
        <v>2307</v>
      </c>
      <c r="N124" s="1166" t="s">
        <v>3923</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9"/>
      <c r="O126" s="62" t="s">
        <v>2763</v>
      </c>
      <c r="P126" s="1166" t="s">
        <v>1580</v>
      </c>
      <c r="Q126" s="234"/>
    </row>
    <row r="127" spans="1:17" ht="12" customHeight="1">
      <c r="A127" s="194"/>
      <c r="B127" s="52"/>
      <c r="C127" s="83" t="s">
        <v>2764</v>
      </c>
      <c r="D127" s="65" t="s">
        <v>1079</v>
      </c>
      <c r="E127" s="182"/>
      <c r="F127" s="182"/>
      <c r="G127" s="182"/>
      <c r="H127" s="182"/>
      <c r="O127" s="83" t="s">
        <v>2764</v>
      </c>
      <c r="P127" s="1166" t="s">
        <v>3923</v>
      </c>
      <c r="Q127" s="234"/>
    </row>
    <row r="128" spans="1:17" ht="12" customHeight="1">
      <c r="A128" s="194"/>
      <c r="B128" s="179"/>
      <c r="C128" s="83" t="s">
        <v>2765</v>
      </c>
      <c r="D128" s="65" t="s">
        <v>725</v>
      </c>
      <c r="E128" s="65"/>
      <c r="F128" s="65"/>
      <c r="G128" s="65"/>
      <c r="H128" s="65"/>
      <c r="I128" s="52"/>
      <c r="J128" s="52"/>
      <c r="K128" s="65"/>
      <c r="L128" s="65"/>
      <c r="M128" s="65"/>
      <c r="O128" s="83" t="s">
        <v>2765</v>
      </c>
      <c r="P128" s="1166" t="s">
        <v>3924</v>
      </c>
      <c r="Q128" s="234"/>
    </row>
    <row r="129" spans="1:31" ht="12" customHeight="1">
      <c r="A129" s="194"/>
      <c r="B129" s="179"/>
      <c r="C129" s="83" t="s">
        <v>2766</v>
      </c>
      <c r="D129" s="65" t="s">
        <v>1031</v>
      </c>
      <c r="E129" s="65"/>
      <c r="F129" s="65"/>
      <c r="G129" s="65"/>
      <c r="H129" s="65"/>
      <c r="I129" s="52"/>
      <c r="J129" s="52"/>
      <c r="K129" s="65"/>
      <c r="L129" s="65"/>
      <c r="M129" s="65"/>
      <c r="O129" s="83" t="s">
        <v>2766</v>
      </c>
      <c r="P129" s="1166" t="s">
        <v>3924</v>
      </c>
      <c r="Q129" s="234"/>
    </row>
    <row r="130" spans="1:31" ht="12" customHeight="1">
      <c r="B130" s="57" t="s">
        <v>3018</v>
      </c>
      <c r="C130" s="65" t="s">
        <v>2781</v>
      </c>
      <c r="D130" s="182"/>
      <c r="E130" s="182"/>
      <c r="F130" s="182"/>
      <c r="G130" s="182"/>
      <c r="H130" s="182"/>
      <c r="I130" s="52"/>
      <c r="J130" s="52"/>
      <c r="K130" s="182"/>
      <c r="L130" s="182"/>
      <c r="M130" s="739"/>
      <c r="O130" s="62" t="s">
        <v>3018</v>
      </c>
      <c r="P130" s="1166" t="s">
        <v>1580</v>
      </c>
      <c r="Q130" s="234"/>
    </row>
    <row r="131" spans="1:31" ht="4.9000000000000004" customHeight="1"/>
    <row r="132" spans="1:31" ht="11.25" customHeight="1">
      <c r="B132" s="191" t="s">
        <v>2919</v>
      </c>
      <c r="D132" s="191"/>
      <c r="E132" s="191"/>
      <c r="F132" s="191"/>
      <c r="G132" s="191"/>
      <c r="H132" s="50"/>
      <c r="I132" s="179"/>
      <c r="J132" s="179"/>
      <c r="K132" s="179"/>
      <c r="L132" s="737"/>
      <c r="M132" s="737"/>
      <c r="N132" s="737"/>
      <c r="O132" s="737"/>
      <c r="P132" s="737"/>
      <c r="Q132" s="63"/>
    </row>
    <row r="133" spans="1:31" ht="12" customHeight="1">
      <c r="A133" s="1240"/>
      <c r="B133" s="1241"/>
      <c r="C133" s="1241"/>
      <c r="D133" s="1241"/>
      <c r="E133" s="1241"/>
      <c r="F133" s="1241"/>
      <c r="G133" s="1241"/>
      <c r="H133" s="1241"/>
      <c r="I133" s="1241"/>
      <c r="J133" s="1241"/>
      <c r="K133" s="1241"/>
      <c r="L133" s="1241"/>
      <c r="M133" s="1241"/>
      <c r="N133" s="1241"/>
      <c r="O133" s="1241"/>
      <c r="P133" s="1241"/>
      <c r="Q133" s="1242"/>
      <c r="R133" s="1002" t="s">
        <v>1932</v>
      </c>
      <c r="S133" s="1002"/>
      <c r="U133" s="185"/>
      <c r="V133" s="185"/>
      <c r="W133" s="185"/>
      <c r="X133" s="185"/>
      <c r="Y133" s="185"/>
      <c r="Z133" s="185"/>
      <c r="AA133" s="185"/>
      <c r="AB133" s="185"/>
      <c r="AC133" s="185"/>
      <c r="AD133" s="185"/>
      <c r="AE133" s="186"/>
    </row>
    <row r="134" spans="1:31" ht="12" customHeight="1">
      <c r="A134" s="1243"/>
      <c r="B134" s="1244"/>
      <c r="C134" s="1244"/>
      <c r="D134" s="1244"/>
      <c r="E134" s="1244"/>
      <c r="F134" s="1244"/>
      <c r="G134" s="1244"/>
      <c r="H134" s="1244"/>
      <c r="I134" s="1244"/>
      <c r="J134" s="1244"/>
      <c r="K134" s="1244"/>
      <c r="L134" s="1244"/>
      <c r="M134" s="1244"/>
      <c r="N134" s="1244"/>
      <c r="O134" s="1244"/>
      <c r="P134" s="1244"/>
      <c r="Q134" s="1245"/>
      <c r="R134" s="1002"/>
      <c r="S134" s="1002"/>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02"/>
      <c r="S135" s="1002"/>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1002" t="s">
        <v>1932</v>
      </c>
      <c r="S137" s="1002"/>
    </row>
    <row r="138" spans="1:31" ht="12" customHeight="1">
      <c r="A138" s="999"/>
      <c r="B138" s="1000"/>
      <c r="C138" s="1000"/>
      <c r="D138" s="1000"/>
      <c r="E138" s="1000"/>
      <c r="F138" s="1000"/>
      <c r="G138" s="1000"/>
      <c r="H138" s="1000"/>
      <c r="I138" s="1000"/>
      <c r="J138" s="1000"/>
      <c r="K138" s="1000"/>
      <c r="L138" s="1000"/>
      <c r="M138" s="1000"/>
      <c r="N138" s="1000"/>
      <c r="O138" s="1000"/>
      <c r="P138" s="1000"/>
      <c r="Q138" s="1001"/>
      <c r="R138" s="1002"/>
      <c r="S138" s="1002"/>
    </row>
    <row r="139" spans="1:31" ht="12" customHeight="1">
      <c r="A139" s="995"/>
      <c r="B139" s="996"/>
      <c r="C139" s="996"/>
      <c r="D139" s="996"/>
      <c r="E139" s="996"/>
      <c r="F139" s="996"/>
      <c r="G139" s="996"/>
      <c r="H139" s="996"/>
      <c r="I139" s="996"/>
      <c r="J139" s="996"/>
      <c r="K139" s="996"/>
      <c r="L139" s="996"/>
      <c r="M139" s="996"/>
      <c r="N139" s="996"/>
      <c r="O139" s="996"/>
      <c r="P139" s="996"/>
      <c r="Q139" s="997"/>
      <c r="R139" s="1002"/>
      <c r="S139" s="1002"/>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1600</v>
      </c>
      <c r="C141" s="741"/>
      <c r="D141" s="740"/>
      <c r="E141" s="740"/>
      <c r="F141" s="740"/>
      <c r="G141" s="740"/>
      <c r="H141" s="740"/>
      <c r="I141" s="740"/>
      <c r="J141" s="740"/>
      <c r="K141" s="740"/>
      <c r="O141" s="180" t="s">
        <v>2921</v>
      </c>
      <c r="P141" s="992"/>
      <c r="Q141" s="993"/>
    </row>
    <row r="142" spans="1:31" ht="10.9" customHeight="1">
      <c r="B142" s="57" t="s">
        <v>3058</v>
      </c>
      <c r="C142" s="65" t="s">
        <v>3118</v>
      </c>
      <c r="D142" s="65"/>
      <c r="E142" s="65"/>
      <c r="F142" s="65"/>
      <c r="G142" s="65"/>
      <c r="H142" s="65"/>
      <c r="N142" s="65"/>
      <c r="O142" s="62" t="s">
        <v>3058</v>
      </c>
      <c r="P142" s="1166" t="s">
        <v>3924</v>
      </c>
      <c r="Q142" s="234"/>
    </row>
    <row r="143" spans="1:31" ht="12" customHeight="1">
      <c r="A143" s="189"/>
      <c r="B143" s="57" t="s">
        <v>3061</v>
      </c>
      <c r="C143" s="190" t="s">
        <v>204</v>
      </c>
      <c r="D143" s="190"/>
      <c r="E143" s="190"/>
      <c r="F143" s="190"/>
      <c r="G143" s="190"/>
      <c r="H143" s="190"/>
      <c r="M143" s="62" t="s">
        <v>3061</v>
      </c>
      <c r="N143" s="1246" t="s">
        <v>3964</v>
      </c>
      <c r="O143" s="1247"/>
      <c r="P143" s="1018"/>
      <c r="Q143" s="1019"/>
    </row>
    <row r="144" spans="1:31" ht="12" customHeight="1">
      <c r="A144" s="189"/>
      <c r="B144" s="57" t="s">
        <v>1238</v>
      </c>
      <c r="C144" s="190" t="s">
        <v>1032</v>
      </c>
      <c r="D144" s="190"/>
      <c r="E144" s="190"/>
      <c r="F144" s="190"/>
      <c r="G144" s="190"/>
      <c r="H144" s="190"/>
      <c r="J144" s="62" t="s">
        <v>1238</v>
      </c>
      <c r="K144" s="1248" t="s">
        <v>3982</v>
      </c>
      <c r="L144" s="1249"/>
      <c r="M144" s="1249"/>
      <c r="N144" s="1249"/>
      <c r="O144" s="1250"/>
      <c r="P144" s="1166"/>
      <c r="Q144" s="234"/>
    </row>
    <row r="145" spans="1:31" ht="12" customHeight="1">
      <c r="B145" s="191" t="s">
        <v>2919</v>
      </c>
      <c r="D145" s="191"/>
      <c r="E145" s="191"/>
      <c r="F145" s="191"/>
      <c r="G145" s="191"/>
      <c r="H145" s="50"/>
      <c r="I145" s="179"/>
      <c r="J145" s="179"/>
      <c r="K145" s="179"/>
      <c r="L145" s="737"/>
      <c r="M145" s="737"/>
      <c r="N145" s="737"/>
      <c r="O145" s="737"/>
      <c r="P145" s="737"/>
      <c r="Q145" s="63"/>
    </row>
    <row r="146" spans="1:31" ht="11.45" customHeight="1">
      <c r="A146" s="1152" t="s">
        <v>4009</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2921</v>
      </c>
      <c r="P152" s="992"/>
      <c r="Q152" s="993"/>
    </row>
    <row r="153" spans="1:31" ht="12" customHeight="1">
      <c r="B153" s="192" t="s">
        <v>3058</v>
      </c>
      <c r="C153" s="190" t="s">
        <v>109</v>
      </c>
      <c r="D153" s="190"/>
      <c r="E153" s="190"/>
      <c r="F153" s="190"/>
      <c r="G153" s="190"/>
      <c r="H153" s="190"/>
      <c r="I153" s="190"/>
      <c r="J153" s="190"/>
      <c r="K153" s="190"/>
      <c r="L153" s="197"/>
      <c r="M153" s="197"/>
      <c r="N153" s="197"/>
      <c r="O153" s="221" t="s">
        <v>3058</v>
      </c>
      <c r="P153" s="1166" t="s">
        <v>3924</v>
      </c>
      <c r="Q153" s="234"/>
    </row>
    <row r="154" spans="1:31" ht="22.15" customHeight="1">
      <c r="B154" s="192" t="s">
        <v>3061</v>
      </c>
      <c r="C154" s="994" t="s">
        <v>3789</v>
      </c>
      <c r="D154" s="994"/>
      <c r="E154" s="994"/>
      <c r="F154" s="994"/>
      <c r="G154" s="994"/>
      <c r="H154" s="994"/>
      <c r="I154" s="994"/>
      <c r="J154" s="994"/>
      <c r="K154" s="994"/>
      <c r="L154" s="994"/>
      <c r="M154" s="994"/>
      <c r="N154" s="994"/>
      <c r="O154" s="221" t="s">
        <v>3061</v>
      </c>
      <c r="P154" s="1166"/>
      <c r="Q154" s="234"/>
    </row>
    <row r="155" spans="1:31" ht="12" customHeight="1">
      <c r="B155" s="191" t="s">
        <v>2919</v>
      </c>
      <c r="D155" s="191"/>
      <c r="E155" s="191"/>
      <c r="F155" s="191"/>
      <c r="G155" s="191"/>
      <c r="H155" s="50"/>
      <c r="I155" s="179"/>
      <c r="J155" s="179"/>
      <c r="K155" s="179"/>
      <c r="L155" s="737"/>
      <c r="M155" s="737"/>
      <c r="N155" s="737"/>
      <c r="O155" s="737"/>
      <c r="P155" s="737"/>
      <c r="Q155" s="63"/>
    </row>
    <row r="156" spans="1:31" ht="11.45" customHeight="1">
      <c r="A156" s="1152" t="s">
        <v>3965</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0" t="s">
        <v>332</v>
      </c>
      <c r="C162" s="1010"/>
      <c r="D162" s="1010"/>
      <c r="O162" s="180" t="s">
        <v>2921</v>
      </c>
      <c r="P162" s="992"/>
      <c r="Q162" s="993"/>
    </row>
    <row r="163" spans="1:31" ht="12" customHeight="1">
      <c r="B163" s="192" t="s">
        <v>3058</v>
      </c>
      <c r="C163" s="197" t="s">
        <v>696</v>
      </c>
      <c r="D163" s="197"/>
      <c r="E163" s="197"/>
      <c r="F163" s="197"/>
      <c r="G163" s="197"/>
      <c r="H163" s="197"/>
      <c r="I163" s="197"/>
      <c r="J163" s="197"/>
      <c r="K163" s="197"/>
      <c r="L163" s="197"/>
      <c r="M163" s="197"/>
      <c r="O163" s="221" t="s">
        <v>3058</v>
      </c>
      <c r="P163" s="1166" t="s">
        <v>3924</v>
      </c>
      <c r="Q163" s="234"/>
    </row>
    <row r="164" spans="1:31" ht="12" customHeight="1">
      <c r="B164" s="192" t="s">
        <v>3061</v>
      </c>
      <c r="C164" s="190" t="s">
        <v>721</v>
      </c>
      <c r="D164" s="190"/>
      <c r="E164" s="190"/>
      <c r="F164" s="190"/>
      <c r="G164" s="190"/>
      <c r="H164" s="190"/>
      <c r="I164" s="190"/>
      <c r="J164" s="190"/>
      <c r="K164" s="190"/>
      <c r="L164" s="190"/>
      <c r="M164" s="190"/>
      <c r="O164" s="221" t="s">
        <v>3061</v>
      </c>
      <c r="P164" s="1166" t="s">
        <v>3924</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3924</v>
      </c>
      <c r="Q165" s="234"/>
    </row>
    <row r="166" spans="1:31" ht="12" customHeight="1">
      <c r="B166" s="192" t="s">
        <v>3210</v>
      </c>
      <c r="C166" s="197" t="s">
        <v>929</v>
      </c>
      <c r="D166" s="197"/>
      <c r="E166" s="197"/>
      <c r="F166" s="197"/>
      <c r="G166" s="197"/>
      <c r="H166" s="197"/>
      <c r="I166" s="197"/>
      <c r="J166" s="197"/>
      <c r="K166" s="197"/>
      <c r="L166" s="197"/>
      <c r="M166" s="197"/>
      <c r="O166" s="221" t="s">
        <v>3210</v>
      </c>
      <c r="P166" s="1166" t="s">
        <v>3924</v>
      </c>
      <c r="Q166" s="234"/>
    </row>
    <row r="167" spans="1:31" ht="12" customHeight="1">
      <c r="B167" s="192" t="s">
        <v>2762</v>
      </c>
      <c r="C167" s="197" t="s">
        <v>3592</v>
      </c>
      <c r="D167" s="197"/>
      <c r="E167" s="197"/>
      <c r="F167" s="197"/>
      <c r="G167" s="197"/>
      <c r="H167" s="197"/>
      <c r="I167" s="197"/>
      <c r="J167" s="197"/>
      <c r="K167" s="197"/>
      <c r="L167" s="197"/>
      <c r="M167" s="197"/>
      <c r="O167" s="221" t="s">
        <v>2762</v>
      </c>
      <c r="P167" s="1166" t="s">
        <v>3924</v>
      </c>
      <c r="Q167" s="234"/>
    </row>
    <row r="168" spans="1:31" ht="12" customHeight="1">
      <c r="B168" s="191" t="s">
        <v>2919</v>
      </c>
      <c r="D168" s="191"/>
      <c r="E168" s="191"/>
      <c r="F168" s="191"/>
      <c r="G168" s="191"/>
      <c r="H168" s="50"/>
      <c r="I168" s="179"/>
      <c r="J168" s="179"/>
      <c r="K168" s="179"/>
      <c r="L168" s="737"/>
      <c r="M168" s="737"/>
      <c r="N168" s="737"/>
      <c r="O168" s="737"/>
      <c r="P168" s="737"/>
      <c r="Q168" s="63"/>
    </row>
    <row r="169" spans="1:31" ht="11.45" customHeight="1">
      <c r="A169" s="1152" t="s">
        <v>3966</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7"/>
      <c r="K175" s="1037"/>
      <c r="L175" s="1037"/>
      <c r="M175" s="1037"/>
      <c r="N175" s="1037"/>
      <c r="O175" s="180" t="s">
        <v>2921</v>
      </c>
      <c r="P175" s="992"/>
      <c r="Q175" s="993"/>
    </row>
    <row r="176" spans="1:31" ht="12" customHeight="1">
      <c r="A176" s="189"/>
      <c r="B176" s="57" t="s">
        <v>3058</v>
      </c>
      <c r="C176" s="994" t="s">
        <v>110</v>
      </c>
      <c r="D176" s="994"/>
      <c r="E176" s="994"/>
      <c r="F176" s="994"/>
      <c r="G176" s="994"/>
      <c r="H176" s="83" t="s">
        <v>2764</v>
      </c>
      <c r="I176" s="65" t="s">
        <v>206</v>
      </c>
      <c r="J176" s="1224" t="s">
        <v>3993</v>
      </c>
      <c r="K176" s="1225"/>
      <c r="L176" s="1225"/>
      <c r="M176" s="1225"/>
      <c r="N176" s="1226"/>
      <c r="O176" s="83" t="s">
        <v>2764</v>
      </c>
      <c r="P176" s="1166" t="s">
        <v>3923</v>
      </c>
      <c r="Q176" s="234"/>
    </row>
    <row r="177" spans="1:31" ht="12" customHeight="1">
      <c r="A177" s="189"/>
      <c r="B177" s="179"/>
      <c r="C177" s="141"/>
      <c r="D177" s="141"/>
      <c r="E177" s="141"/>
      <c r="F177" s="141"/>
      <c r="H177" s="83" t="s">
        <v>2765</v>
      </c>
      <c r="I177" s="65" t="s">
        <v>2357</v>
      </c>
      <c r="J177" s="1224" t="s">
        <v>3967</v>
      </c>
      <c r="K177" s="1225"/>
      <c r="L177" s="1225"/>
      <c r="M177" s="1225"/>
      <c r="N177" s="1226"/>
      <c r="O177" s="83" t="s">
        <v>2765</v>
      </c>
      <c r="P177" s="1166" t="s">
        <v>3924</v>
      </c>
      <c r="Q177" s="234"/>
    </row>
    <row r="178" spans="1:31" ht="12" customHeight="1">
      <c r="B178" s="191" t="s">
        <v>2919</v>
      </c>
      <c r="D178" s="191"/>
      <c r="E178" s="191"/>
      <c r="F178" s="191"/>
      <c r="G178" s="191"/>
      <c r="J178" s="179"/>
      <c r="K178" s="179"/>
      <c r="L178" s="737"/>
      <c r="M178" s="737"/>
      <c r="N178" s="737"/>
      <c r="O178" s="737"/>
      <c r="P178" s="737"/>
      <c r="Q178" s="63"/>
    </row>
    <row r="179" spans="1:31" ht="11.45" customHeight="1">
      <c r="A179" s="1159" t="s">
        <v>4039</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5" customHeight="1">
      <c r="A181" s="1014"/>
      <c r="B181" s="1015"/>
      <c r="C181" s="1015"/>
      <c r="D181" s="1015"/>
      <c r="E181" s="1015"/>
      <c r="F181" s="1015"/>
      <c r="G181" s="1015"/>
      <c r="H181" s="1015"/>
      <c r="I181" s="1015"/>
      <c r="J181" s="1015"/>
      <c r="K181" s="1015"/>
      <c r="L181" s="1015"/>
      <c r="M181" s="1015"/>
      <c r="N181" s="1015"/>
      <c r="O181" s="1015"/>
      <c r="P181" s="1015"/>
      <c r="Q181" s="1016"/>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3700</v>
      </c>
      <c r="C183" s="5"/>
      <c r="D183" s="118"/>
      <c r="E183" s="118"/>
      <c r="F183" s="118"/>
      <c r="G183" s="740"/>
      <c r="H183" s="740"/>
      <c r="I183" s="740"/>
      <c r="J183" s="740"/>
      <c r="K183" s="740"/>
      <c r="L183" s="740"/>
      <c r="M183" s="740"/>
      <c r="O183" s="180" t="s">
        <v>2921</v>
      </c>
      <c r="P183" s="992"/>
      <c r="Q183" s="993"/>
    </row>
    <row r="184" spans="1:31" ht="4.1500000000000004" customHeight="1"/>
    <row r="185" spans="1:31" ht="11.45" customHeight="1">
      <c r="B185" s="192" t="s">
        <v>3058</v>
      </c>
      <c r="C185" s="667" t="s">
        <v>2764</v>
      </c>
      <c r="D185" s="666" t="s">
        <v>801</v>
      </c>
      <c r="E185" s="666"/>
      <c r="F185" s="666"/>
      <c r="G185" s="666"/>
      <c r="H185" s="666"/>
      <c r="I185" s="666"/>
      <c r="J185" s="666"/>
      <c r="K185" s="666"/>
      <c r="L185" s="666"/>
      <c r="M185" s="666"/>
      <c r="N185" s="666"/>
      <c r="O185" s="221" t="s">
        <v>2230</v>
      </c>
      <c r="P185" s="1166" t="s">
        <v>3923</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3061</v>
      </c>
      <c r="C187" s="994" t="s">
        <v>2901</v>
      </c>
      <c r="D187" s="994"/>
      <c r="E187" s="994"/>
      <c r="F187" s="994"/>
      <c r="G187" s="994"/>
      <c r="H187" s="83" t="s">
        <v>2764</v>
      </c>
      <c r="I187" s="65" t="s">
        <v>971</v>
      </c>
      <c r="J187" s="1224" t="s">
        <v>3993</v>
      </c>
      <c r="K187" s="1225"/>
      <c r="L187" s="1225"/>
      <c r="M187" s="1225"/>
      <c r="N187" s="1226"/>
      <c r="O187" s="83" t="s">
        <v>2170</v>
      </c>
      <c r="P187" s="1166" t="s">
        <v>3924</v>
      </c>
      <c r="Q187" s="234"/>
    </row>
    <row r="188" spans="1:31" ht="11.45" customHeight="1">
      <c r="A188" s="189"/>
      <c r="B188" s="744"/>
      <c r="C188" s="994"/>
      <c r="D188" s="994"/>
      <c r="E188" s="994"/>
      <c r="F188" s="994"/>
      <c r="G188" s="994"/>
      <c r="H188" s="83" t="s">
        <v>2765</v>
      </c>
      <c r="I188" s="65" t="s">
        <v>131</v>
      </c>
      <c r="J188" s="1224" t="s">
        <v>3993</v>
      </c>
      <c r="K188" s="1225"/>
      <c r="L188" s="1225"/>
      <c r="M188" s="1225"/>
      <c r="N188" s="1226"/>
      <c r="O188" s="83" t="s">
        <v>2765</v>
      </c>
      <c r="P188" s="1166" t="s">
        <v>3924</v>
      </c>
      <c r="Q188" s="234"/>
    </row>
    <row r="189" spans="1:31" ht="11.25" customHeight="1">
      <c r="B189" s="191" t="s">
        <v>2919</v>
      </c>
      <c r="D189" s="191"/>
      <c r="E189" s="191"/>
      <c r="F189" s="191"/>
      <c r="G189" s="191"/>
      <c r="H189" s="50"/>
      <c r="I189" s="179"/>
      <c r="J189" s="179"/>
      <c r="K189" s="179"/>
      <c r="L189" s="737"/>
      <c r="M189" s="737"/>
      <c r="N189" s="737"/>
      <c r="O189" s="737"/>
      <c r="P189" s="737"/>
      <c r="Q189" s="63"/>
    </row>
    <row r="190" spans="1:31" ht="11.45" customHeight="1">
      <c r="A190" s="1159" t="s">
        <v>4010</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5" customHeight="1">
      <c r="A192" s="1014"/>
      <c r="B192" s="1015"/>
      <c r="C192" s="1015"/>
      <c r="D192" s="1015"/>
      <c r="E192" s="1015"/>
      <c r="F192" s="1015"/>
      <c r="G192" s="1015"/>
      <c r="H192" s="1015"/>
      <c r="I192" s="1015"/>
      <c r="J192" s="1015"/>
      <c r="K192" s="1015"/>
      <c r="L192" s="1015"/>
      <c r="M192" s="1015"/>
      <c r="N192" s="1015"/>
      <c r="O192" s="1015"/>
      <c r="P192" s="1015"/>
      <c r="Q192" s="1016"/>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2921</v>
      </c>
      <c r="P194" s="992"/>
      <c r="Q194" s="993"/>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3924</v>
      </c>
      <c r="Q196" s="234"/>
    </row>
    <row r="197" spans="1:31" ht="11.45" customHeight="1">
      <c r="B197" s="57" t="s">
        <v>3061</v>
      </c>
      <c r="C197" s="65" t="s">
        <v>194</v>
      </c>
      <c r="D197" s="65"/>
      <c r="E197" s="65"/>
      <c r="F197" s="65"/>
      <c r="G197" s="65"/>
      <c r="H197" s="65"/>
      <c r="I197" s="52"/>
      <c r="J197" s="52"/>
      <c r="K197" s="52"/>
      <c r="L197" s="190"/>
      <c r="M197" s="190"/>
      <c r="O197" s="221" t="s">
        <v>3061</v>
      </c>
      <c r="P197" s="1166" t="s">
        <v>3924</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3924</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3923</v>
      </c>
      <c r="Q199" s="234"/>
    </row>
    <row r="200" spans="1:31" ht="11.25" customHeight="1">
      <c r="B200" s="191" t="s">
        <v>2919</v>
      </c>
      <c r="D200" s="191"/>
      <c r="E200" s="191"/>
      <c r="F200" s="191"/>
      <c r="G200" s="191"/>
      <c r="H200" s="50"/>
      <c r="I200" s="179"/>
      <c r="J200" s="179"/>
      <c r="K200" s="179"/>
      <c r="L200" s="737"/>
      <c r="M200" s="737"/>
      <c r="N200" s="737"/>
      <c r="O200" s="737"/>
      <c r="P200" s="737"/>
      <c r="Q200" s="63"/>
    </row>
    <row r="201" spans="1:31" ht="13.15" customHeight="1">
      <c r="A201" s="1152" t="s">
        <v>4011</v>
      </c>
      <c r="B201" s="1153"/>
      <c r="C201" s="1153"/>
      <c r="D201" s="1153"/>
      <c r="E201" s="1153"/>
      <c r="F201" s="1153"/>
      <c r="G201" s="1153"/>
      <c r="H201" s="1153"/>
      <c r="I201" s="1153"/>
      <c r="J201" s="1153"/>
      <c r="K201" s="1153"/>
      <c r="L201" s="1153"/>
      <c r="M201" s="1153"/>
      <c r="N201" s="1153"/>
      <c r="O201" s="1153"/>
      <c r="P201" s="1153"/>
      <c r="Q201" s="1154"/>
      <c r="R201" s="1002" t="s">
        <v>1932</v>
      </c>
      <c r="S201" s="1002"/>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02"/>
      <c r="S202" s="1002"/>
    </row>
    <row r="203" spans="1:31" s="31" customFormat="1" ht="3" customHeight="1">
      <c r="C203" s="134"/>
      <c r="D203" s="134"/>
      <c r="R203" s="1002"/>
      <c r="S203" s="1002"/>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2921</v>
      </c>
      <c r="P208" s="992"/>
      <c r="Q208" s="993"/>
    </row>
    <row r="209" spans="1:19" s="31" customFormat="1" ht="11.45" customHeight="1">
      <c r="B209" s="195" t="s">
        <v>1838</v>
      </c>
      <c r="N209" s="165"/>
      <c r="P209" s="1166" t="s">
        <v>3923</v>
      </c>
      <c r="Q209" s="234"/>
    </row>
    <row r="210" spans="1:19" ht="12" customHeight="1">
      <c r="B210" s="57" t="s">
        <v>3058</v>
      </c>
      <c r="C210" s="118" t="s">
        <v>2086</v>
      </c>
      <c r="D210" s="52"/>
      <c r="E210" s="52"/>
      <c r="F210" s="52"/>
      <c r="G210" s="52"/>
      <c r="H210" s="52"/>
      <c r="I210" s="52"/>
      <c r="J210" s="52"/>
      <c r="K210" s="52"/>
      <c r="L210" s="52"/>
      <c r="M210" s="52"/>
    </row>
    <row r="211" spans="1:19" ht="11.45" customHeight="1">
      <c r="B211" s="57"/>
      <c r="C211" s="83" t="s">
        <v>2764</v>
      </c>
      <c r="D211" s="65" t="s">
        <v>3001</v>
      </c>
      <c r="E211" s="65"/>
      <c r="F211" s="65"/>
      <c r="G211" s="65"/>
      <c r="H211" s="65"/>
      <c r="I211" s="52"/>
      <c r="J211" s="52"/>
      <c r="K211" s="52"/>
      <c r="L211" s="83" t="s">
        <v>2230</v>
      </c>
      <c r="M211" s="1224" t="s">
        <v>825</v>
      </c>
      <c r="N211" s="1225"/>
      <c r="O211" s="1226"/>
      <c r="P211" s="1166" t="s">
        <v>3961</v>
      </c>
      <c r="Q211" s="234"/>
    </row>
    <row r="212" spans="1:19" ht="11.45" customHeight="1">
      <c r="B212" s="57"/>
      <c r="C212" s="83" t="s">
        <v>2765</v>
      </c>
      <c r="D212" s="40" t="s">
        <v>198</v>
      </c>
      <c r="E212" s="40"/>
      <c r="F212" s="40"/>
      <c r="G212" s="40"/>
      <c r="H212" s="40"/>
      <c r="I212" s="52"/>
      <c r="J212" s="52"/>
      <c r="K212" s="52"/>
      <c r="L212" s="83" t="s">
        <v>2231</v>
      </c>
      <c r="M212" s="1224" t="s">
        <v>4012</v>
      </c>
      <c r="N212" s="1225"/>
      <c r="O212" s="1226"/>
      <c r="P212" s="1166" t="s">
        <v>3961</v>
      </c>
      <c r="Q212" s="234"/>
    </row>
    <row r="213" spans="1:19" ht="11.45" customHeight="1">
      <c r="B213" s="57"/>
      <c r="C213" s="83" t="s">
        <v>2766</v>
      </c>
      <c r="D213" s="40" t="s">
        <v>855</v>
      </c>
      <c r="E213" s="40"/>
      <c r="F213" s="40"/>
      <c r="G213" s="40"/>
      <c r="H213" s="40"/>
      <c r="I213" s="52"/>
      <c r="J213" s="52"/>
      <c r="K213" s="52"/>
      <c r="L213" s="83" t="s">
        <v>2232</v>
      </c>
      <c r="M213" s="1251" t="s">
        <v>3968</v>
      </c>
      <c r="N213" s="1252"/>
      <c r="O213" s="1253"/>
      <c r="P213" s="1166" t="s">
        <v>3961</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t="s">
        <v>3961</v>
      </c>
      <c r="Q215" s="234"/>
    </row>
    <row r="216" spans="1:19" ht="10.9" customHeight="1">
      <c r="B216" s="57"/>
      <c r="C216" s="65" t="s">
        <v>3790</v>
      </c>
      <c r="D216" s="65"/>
      <c r="E216" s="65"/>
      <c r="F216" s="65"/>
      <c r="G216" s="65"/>
      <c r="H216" s="65"/>
      <c r="I216" s="65"/>
      <c r="J216" s="65"/>
      <c r="K216" s="52"/>
      <c r="L216" s="52"/>
      <c r="M216" s="52"/>
      <c r="N216" s="52"/>
      <c r="O216" s="52"/>
      <c r="P216" s="998" t="s">
        <v>4</v>
      </c>
      <c r="Q216" s="998"/>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4013</v>
      </c>
      <c r="E218" s="1153"/>
      <c r="F218" s="1153"/>
      <c r="G218" s="1153"/>
      <c r="H218" s="1154"/>
      <c r="I218" s="456"/>
      <c r="J218" s="294"/>
      <c r="K218" s="83" t="s">
        <v>2766</v>
      </c>
      <c r="L218" s="1152"/>
      <c r="M218" s="1153"/>
      <c r="N218" s="1153"/>
      <c r="O218" s="1154"/>
      <c r="P218" s="354"/>
      <c r="Q218" s="294"/>
    </row>
    <row r="219" spans="1:19" s="53" customFormat="1" ht="11.45" customHeight="1">
      <c r="A219" s="129"/>
      <c r="B219" s="64"/>
      <c r="C219" s="83" t="s">
        <v>2765</v>
      </c>
      <c r="D219" s="1155" t="s">
        <v>3199</v>
      </c>
      <c r="E219" s="1156"/>
      <c r="F219" s="1156"/>
      <c r="G219" s="1156"/>
      <c r="H219" s="1157"/>
      <c r="I219" s="689"/>
      <c r="J219" s="295"/>
      <c r="K219" s="83" t="s">
        <v>3569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3961</v>
      </c>
      <c r="Q221" s="234"/>
    </row>
    <row r="222" spans="1:19" ht="11.45" customHeight="1">
      <c r="B222" s="57"/>
      <c r="C222" s="83" t="s">
        <v>2764</v>
      </c>
      <c r="D222" s="65" t="s">
        <v>207</v>
      </c>
      <c r="E222" s="65"/>
      <c r="F222" s="65"/>
      <c r="G222" s="65"/>
      <c r="H222" s="65"/>
      <c r="I222" s="52"/>
      <c r="J222" s="42"/>
      <c r="K222" s="52"/>
      <c r="L222" s="42"/>
      <c r="M222" s="42"/>
      <c r="O222" s="83" t="s">
        <v>2764</v>
      </c>
      <c r="P222" s="1166" t="s">
        <v>3924</v>
      </c>
      <c r="Q222" s="234"/>
    </row>
    <row r="223" spans="1:19" ht="11.45" customHeight="1">
      <c r="C223" s="83" t="s">
        <v>2765</v>
      </c>
      <c r="D223" s="40" t="s">
        <v>2647</v>
      </c>
      <c r="E223" s="40"/>
      <c r="F223" s="40"/>
      <c r="G223" s="40"/>
      <c r="H223" s="40"/>
      <c r="I223" s="52"/>
      <c r="J223" s="42"/>
      <c r="K223" s="52"/>
      <c r="L223" s="42"/>
      <c r="M223" s="42"/>
      <c r="O223" s="83" t="s">
        <v>2765</v>
      </c>
      <c r="P223" s="1166" t="s">
        <v>3924</v>
      </c>
      <c r="Q223" s="234"/>
    </row>
    <row r="224" spans="1:19" ht="11.45" customHeight="1">
      <c r="C224" s="83" t="s">
        <v>2766</v>
      </c>
      <c r="D224" s="40" t="s">
        <v>2256</v>
      </c>
      <c r="E224" s="40"/>
      <c r="F224" s="40"/>
      <c r="G224" s="40"/>
      <c r="H224" s="40"/>
      <c r="I224" s="52"/>
      <c r="J224" s="42"/>
      <c r="K224" s="52"/>
      <c r="L224" s="42"/>
      <c r="M224" s="42"/>
      <c r="O224" s="83" t="s">
        <v>2766</v>
      </c>
      <c r="P224" s="1166" t="s">
        <v>3924</v>
      </c>
      <c r="Q224" s="234"/>
    </row>
    <row r="225" spans="1:31" ht="11.45" customHeight="1">
      <c r="B225" s="57"/>
      <c r="C225" s="83" t="s">
        <v>3569</v>
      </c>
      <c r="D225" s="40" t="s">
        <v>208</v>
      </c>
      <c r="E225" s="40"/>
      <c r="F225" s="40"/>
      <c r="G225" s="40"/>
      <c r="H225" s="40"/>
      <c r="I225" s="52"/>
      <c r="J225" s="42"/>
      <c r="K225" s="52"/>
      <c r="L225" s="42"/>
      <c r="M225" s="42"/>
      <c r="O225" s="83" t="s">
        <v>3569</v>
      </c>
      <c r="P225" s="1166" t="s">
        <v>3924</v>
      </c>
      <c r="Q225" s="234"/>
    </row>
    <row r="226" spans="1:31" ht="11.45" customHeight="1">
      <c r="B226" s="57"/>
      <c r="C226" s="83" t="s">
        <v>2303</v>
      </c>
      <c r="D226" s="65" t="s">
        <v>1351</v>
      </c>
      <c r="E226" s="65"/>
      <c r="F226" s="65"/>
      <c r="G226" s="65"/>
      <c r="H226" s="65"/>
      <c r="I226" s="52"/>
      <c r="J226" s="42"/>
      <c r="K226" s="52"/>
      <c r="L226" s="42"/>
      <c r="M226" s="42"/>
      <c r="O226" s="83" t="s">
        <v>1352</v>
      </c>
      <c r="P226" s="1166" t="s">
        <v>3924</v>
      </c>
      <c r="Q226" s="234"/>
    </row>
    <row r="227" spans="1:31" ht="11.45" customHeight="1">
      <c r="B227" s="57"/>
      <c r="C227" s="83"/>
      <c r="D227" s="65" t="s">
        <v>2233</v>
      </c>
      <c r="E227" s="65"/>
      <c r="F227" s="65"/>
      <c r="G227" s="65"/>
      <c r="H227" s="65"/>
      <c r="I227" s="52"/>
      <c r="J227" s="42"/>
      <c r="K227" s="52"/>
      <c r="L227" s="42"/>
      <c r="M227" s="42"/>
      <c r="O227" s="83" t="s">
        <v>1353</v>
      </c>
      <c r="P227" s="1166"/>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2344</v>
      </c>
      <c r="D229" s="65"/>
      <c r="E229" s="65"/>
      <c r="F229" s="65"/>
      <c r="G229" s="65"/>
      <c r="H229" s="65"/>
      <c r="I229" s="65"/>
      <c r="J229" s="65"/>
      <c r="K229" s="52"/>
      <c r="L229" s="65"/>
      <c r="M229" s="65"/>
      <c r="O229" s="62" t="s">
        <v>3210</v>
      </c>
      <c r="P229" s="1166"/>
      <c r="Q229" s="234"/>
    </row>
    <row r="230" spans="1:31" ht="11.45" customHeight="1">
      <c r="B230" s="57"/>
      <c r="C230" s="83" t="s">
        <v>2764</v>
      </c>
      <c r="D230" s="49" t="s">
        <v>1933</v>
      </c>
      <c r="E230" s="52"/>
      <c r="F230" s="52"/>
      <c r="G230" s="49"/>
      <c r="H230" s="40"/>
      <c r="I230" s="52"/>
      <c r="J230" s="40"/>
      <c r="K230" s="52"/>
      <c r="L230" s="40"/>
      <c r="M230" s="40"/>
      <c r="O230" s="83" t="s">
        <v>2764</v>
      </c>
      <c r="P230" s="1166"/>
      <c r="Q230" s="234"/>
    </row>
    <row r="231" spans="1:31" ht="11.45" customHeight="1">
      <c r="B231" s="57"/>
      <c r="C231" s="83" t="s">
        <v>2765</v>
      </c>
      <c r="D231" s="49" t="s">
        <v>199</v>
      </c>
      <c r="E231" s="52"/>
      <c r="F231" s="52"/>
      <c r="G231" s="40"/>
      <c r="H231" s="40"/>
      <c r="I231" s="52"/>
      <c r="J231" s="40"/>
      <c r="K231" s="52"/>
      <c r="L231" s="40"/>
      <c r="M231" s="40"/>
      <c r="O231" s="83" t="s">
        <v>2765</v>
      </c>
      <c r="P231" s="1166"/>
      <c r="Q231" s="234"/>
    </row>
    <row r="232" spans="1:31" ht="11.45" customHeight="1">
      <c r="B232" s="57"/>
      <c r="C232" s="83" t="s">
        <v>2766</v>
      </c>
      <c r="D232" s="40" t="s">
        <v>2625</v>
      </c>
      <c r="E232" s="52"/>
      <c r="F232" s="52"/>
      <c r="G232" s="40"/>
      <c r="H232" s="40"/>
      <c r="I232" s="52"/>
      <c r="J232" s="40"/>
      <c r="K232" s="52"/>
      <c r="L232" s="40"/>
      <c r="M232" s="40"/>
      <c r="O232" s="83" t="s">
        <v>3579</v>
      </c>
      <c r="P232" s="1166"/>
      <c r="Q232" s="234"/>
    </row>
    <row r="233" spans="1:31" ht="11.45" customHeight="1">
      <c r="B233" s="46"/>
      <c r="C233" s="52"/>
      <c r="D233" s="40" t="s">
        <v>1984</v>
      </c>
      <c r="E233" s="52"/>
      <c r="F233" s="52"/>
      <c r="G233" s="40"/>
      <c r="H233" s="40"/>
      <c r="I233" s="52"/>
      <c r="J233" s="40"/>
      <c r="K233" s="52"/>
      <c r="L233" s="40"/>
      <c r="M233" s="40"/>
      <c r="O233" s="83" t="s">
        <v>3580</v>
      </c>
      <c r="P233" s="1166"/>
      <c r="Q233" s="234"/>
    </row>
    <row r="234" spans="1:31" ht="11.25" customHeight="1">
      <c r="B234" s="191" t="s">
        <v>2919</v>
      </c>
      <c r="D234" s="191"/>
      <c r="E234" s="191"/>
      <c r="F234" s="191"/>
      <c r="G234" s="191"/>
      <c r="H234" s="50"/>
      <c r="I234" s="179"/>
      <c r="J234" s="179"/>
      <c r="K234" s="179"/>
      <c r="L234" s="737"/>
      <c r="M234" s="737"/>
      <c r="N234" s="737"/>
      <c r="O234" s="737"/>
      <c r="P234" s="737"/>
      <c r="Q234" s="63"/>
    </row>
    <row r="235" spans="1:31" ht="11.45" customHeight="1">
      <c r="A235" s="1152" t="s">
        <v>3969</v>
      </c>
      <c r="B235" s="1153"/>
      <c r="C235" s="1153"/>
      <c r="D235" s="1153"/>
      <c r="E235" s="1153"/>
      <c r="F235" s="1153"/>
      <c r="G235" s="1153"/>
      <c r="H235" s="1153"/>
      <c r="I235" s="1153"/>
      <c r="J235" s="1153"/>
      <c r="K235" s="1153"/>
      <c r="L235" s="1153"/>
      <c r="M235" s="1153"/>
      <c r="N235" s="1153"/>
      <c r="O235" s="1153"/>
      <c r="P235" s="1153"/>
      <c r="Q235" s="1154"/>
      <c r="R235" s="1002" t="s">
        <v>1932</v>
      </c>
      <c r="S235" s="1002"/>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02"/>
      <c r="S236" s="1002"/>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3119</v>
      </c>
      <c r="C241" s="5"/>
      <c r="D241" s="118"/>
      <c r="E241" s="118"/>
      <c r="F241" s="118"/>
      <c r="G241" s="118"/>
      <c r="H241" s="740"/>
      <c r="I241" s="740"/>
      <c r="J241" s="740"/>
      <c r="K241" s="740"/>
      <c r="L241" s="740"/>
      <c r="M241" s="740"/>
      <c r="O241" s="180" t="s">
        <v>2921</v>
      </c>
      <c r="P241" s="992"/>
      <c r="Q241" s="993"/>
    </row>
    <row r="242" spans="1:31" ht="4.9000000000000004" customHeight="1"/>
    <row r="243" spans="1:31" ht="11.45" customHeight="1">
      <c r="B243" s="57" t="s">
        <v>3058</v>
      </c>
      <c r="C243" s="65" t="s">
        <v>1952</v>
      </c>
      <c r="D243" s="52"/>
      <c r="E243" s="65"/>
      <c r="F243" s="65"/>
      <c r="G243" s="65"/>
      <c r="H243" s="65"/>
      <c r="I243" s="52"/>
      <c r="J243" s="52"/>
      <c r="K243" s="52"/>
      <c r="L243" s="62" t="s">
        <v>3058</v>
      </c>
      <c r="M243" s="1224" t="s">
        <v>2800</v>
      </c>
      <c r="N243" s="1225"/>
      <c r="O243" s="1226"/>
      <c r="P243" s="1020" t="s">
        <v>2800</v>
      </c>
      <c r="Q243" s="1021"/>
    </row>
    <row r="244" spans="1:31" ht="11.45" customHeight="1">
      <c r="B244" s="57" t="s">
        <v>3061</v>
      </c>
      <c r="C244" s="65" t="s">
        <v>1921</v>
      </c>
      <c r="D244" s="65"/>
      <c r="E244" s="65"/>
      <c r="F244" s="65"/>
      <c r="G244" s="65"/>
      <c r="H244" s="65"/>
      <c r="I244" s="52"/>
      <c r="J244" s="52"/>
      <c r="K244" s="52"/>
      <c r="L244" s="62" t="s">
        <v>3061</v>
      </c>
      <c r="M244" s="1254"/>
      <c r="N244" s="1255"/>
      <c r="O244" s="1256"/>
      <c r="P244" s="1022"/>
      <c r="Q244" s="1023"/>
    </row>
    <row r="245" spans="1:31" s="200" customFormat="1" ht="11.45" customHeight="1">
      <c r="B245" s="57" t="s">
        <v>1238</v>
      </c>
      <c r="C245" s="65" t="s">
        <v>3015</v>
      </c>
      <c r="D245" s="65"/>
      <c r="E245" s="65"/>
      <c r="F245" s="65"/>
      <c r="G245" s="65"/>
      <c r="H245" s="65"/>
      <c r="I245" s="129"/>
      <c r="J245" s="129"/>
      <c r="K245" s="129"/>
      <c r="L245" s="62" t="s">
        <v>1238</v>
      </c>
      <c r="M245" s="1224"/>
      <c r="N245" s="1225"/>
      <c r="O245" s="1226"/>
      <c r="P245" s="1020"/>
      <c r="Q245" s="1021"/>
    </row>
    <row r="246" spans="1:31" s="200" customFormat="1" ht="11.45" customHeight="1">
      <c r="B246" s="57" t="s">
        <v>3210</v>
      </c>
      <c r="C246" s="65" t="s">
        <v>3840</v>
      </c>
      <c r="D246" s="65"/>
      <c r="E246" s="65"/>
      <c r="F246" s="65"/>
      <c r="G246" s="65"/>
      <c r="H246" s="65"/>
      <c r="I246" s="129"/>
      <c r="J246" s="129"/>
      <c r="K246" s="129"/>
      <c r="L246" s="129"/>
      <c r="M246" s="129"/>
      <c r="O246" s="62" t="s">
        <v>3210</v>
      </c>
      <c r="P246" s="1166"/>
      <c r="Q246" s="234"/>
    </row>
    <row r="247" spans="1:31" s="200" customFormat="1" ht="22.15" customHeight="1">
      <c r="B247" s="192" t="s">
        <v>2762</v>
      </c>
      <c r="C247" s="1024" t="s">
        <v>1969</v>
      </c>
      <c r="D247" s="1024"/>
      <c r="E247" s="1024"/>
      <c r="F247" s="1024"/>
      <c r="G247" s="1024"/>
      <c r="H247" s="1024"/>
      <c r="I247" s="1024"/>
      <c r="J247" s="1024"/>
      <c r="K247" s="1024"/>
      <c r="L247" s="1024"/>
      <c r="M247" s="1024"/>
      <c r="O247" s="221" t="s">
        <v>2762</v>
      </c>
      <c r="P247" s="1166"/>
      <c r="Q247" s="234"/>
    </row>
    <row r="248" spans="1:31" ht="11.25" customHeight="1">
      <c r="B248" s="191" t="s">
        <v>2919</v>
      </c>
      <c r="D248" s="191"/>
      <c r="E248" s="191"/>
      <c r="F248" s="191"/>
      <c r="G248" s="191"/>
      <c r="H248" s="50"/>
      <c r="I248" s="179"/>
      <c r="J248" s="179"/>
      <c r="K248" s="179"/>
      <c r="L248" s="737"/>
      <c r="M248" s="737"/>
      <c r="N248" s="737"/>
      <c r="O248" s="737"/>
      <c r="P248" s="737"/>
      <c r="Q248" s="63"/>
    </row>
    <row r="249" spans="1:31" ht="13.15" customHeight="1">
      <c r="A249" s="1152" t="s">
        <v>3970</v>
      </c>
      <c r="B249" s="1153"/>
      <c r="C249" s="1153"/>
      <c r="D249" s="1153"/>
      <c r="E249" s="1153"/>
      <c r="F249" s="1153"/>
      <c r="G249" s="1153"/>
      <c r="H249" s="1153"/>
      <c r="I249" s="1153"/>
      <c r="J249" s="1153"/>
      <c r="K249" s="1153"/>
      <c r="L249" s="1153"/>
      <c r="M249" s="1153"/>
      <c r="N249" s="1153"/>
      <c r="O249" s="1153"/>
      <c r="P249" s="1153"/>
      <c r="Q249" s="1154"/>
      <c r="R249" s="1002" t="s">
        <v>1932</v>
      </c>
      <c r="S249" s="1002"/>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02"/>
      <c r="S250" s="1002"/>
    </row>
    <row r="251" spans="1:31" ht="10.9" customHeight="1">
      <c r="B251" s="187" t="s">
        <v>2920</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2818</v>
      </c>
      <c r="C255" s="5"/>
      <c r="D255" s="118"/>
      <c r="E255" s="118"/>
      <c r="F255" s="118"/>
      <c r="G255" s="118"/>
      <c r="H255" s="740"/>
      <c r="I255" s="740"/>
      <c r="J255" s="740"/>
      <c r="K255" s="740"/>
      <c r="L255" s="740"/>
      <c r="M255" s="740"/>
      <c r="O255" s="180" t="s">
        <v>2921</v>
      </c>
      <c r="P255" s="992"/>
      <c r="Q255" s="993"/>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3924</v>
      </c>
      <c r="Q257" s="234"/>
    </row>
    <row r="258" spans="1:31" s="200" customFormat="1" ht="11.45" customHeight="1">
      <c r="B258" s="57" t="s">
        <v>3061</v>
      </c>
      <c r="C258" s="65" t="s">
        <v>2113</v>
      </c>
      <c r="D258" s="65"/>
      <c r="E258" s="65"/>
      <c r="F258" s="65"/>
      <c r="G258" s="65"/>
      <c r="H258" s="65"/>
      <c r="I258" s="65"/>
      <c r="J258" s="65"/>
      <c r="K258" s="65"/>
      <c r="L258" s="65"/>
      <c r="M258" s="65"/>
      <c r="O258" s="62" t="s">
        <v>3061</v>
      </c>
      <c r="P258" s="1166" t="s">
        <v>3924</v>
      </c>
      <c r="Q258" s="234"/>
    </row>
    <row r="259" spans="1:31" ht="11.25" customHeight="1">
      <c r="B259" s="191" t="s">
        <v>2919</v>
      </c>
      <c r="D259" s="191"/>
      <c r="E259" s="191"/>
      <c r="F259" s="191"/>
      <c r="G259" s="191"/>
      <c r="H259" s="50"/>
      <c r="I259" s="179"/>
      <c r="J259" s="179"/>
      <c r="K259" s="179"/>
      <c r="L259" s="737"/>
      <c r="M259" s="737"/>
      <c r="N259" s="737"/>
      <c r="O259" s="737"/>
      <c r="P259" s="737"/>
      <c r="Q259" s="63"/>
    </row>
    <row r="260" spans="1:31" ht="13.15" customHeight="1">
      <c r="A260" s="1152" t="s">
        <v>4014</v>
      </c>
      <c r="B260" s="1153"/>
      <c r="C260" s="1153"/>
      <c r="D260" s="1153"/>
      <c r="E260" s="1153"/>
      <c r="F260" s="1153"/>
      <c r="G260" s="1153"/>
      <c r="H260" s="1153"/>
      <c r="I260" s="1153"/>
      <c r="J260" s="1153"/>
      <c r="K260" s="1153"/>
      <c r="L260" s="1153"/>
      <c r="M260" s="1153"/>
      <c r="N260" s="1153"/>
      <c r="O260" s="1153"/>
      <c r="P260" s="1153"/>
      <c r="Q260" s="1154"/>
      <c r="R260" s="1002" t="s">
        <v>1932</v>
      </c>
      <c r="S260" s="1002"/>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02"/>
      <c r="S261" s="1002"/>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1089</v>
      </c>
      <c r="C266" s="741"/>
      <c r="D266" s="740"/>
      <c r="E266" s="740"/>
      <c r="F266" s="740"/>
      <c r="G266" s="740"/>
      <c r="H266" s="740"/>
      <c r="I266" s="740"/>
      <c r="J266" s="740"/>
      <c r="K266" s="740"/>
      <c r="L266" s="740"/>
      <c r="M266" s="740"/>
      <c r="O266" s="180" t="s">
        <v>2921</v>
      </c>
      <c r="P266" s="992"/>
      <c r="Q266" s="993"/>
    </row>
    <row r="267" spans="1:31" ht="3" customHeight="1"/>
    <row r="268" spans="1:31" s="705" customFormat="1" ht="24" customHeight="1">
      <c r="B268" s="192" t="s">
        <v>3058</v>
      </c>
      <c r="C268" s="994" t="s">
        <v>1207</v>
      </c>
      <c r="D268" s="1040"/>
      <c r="E268" s="1040"/>
      <c r="F268" s="1040"/>
      <c r="G268" s="1040"/>
      <c r="H268" s="1040"/>
      <c r="I268" s="1040"/>
      <c r="J268" s="1040"/>
      <c r="K268" s="1040"/>
      <c r="L268" s="1040"/>
      <c r="M268" s="1040"/>
      <c r="N268" s="1040"/>
      <c r="O268" s="221" t="s">
        <v>3058</v>
      </c>
      <c r="P268" s="1166" t="s">
        <v>3961</v>
      </c>
      <c r="Q268" s="234"/>
    </row>
    <row r="269" spans="1:31" s="705" customFormat="1" ht="24" customHeight="1">
      <c r="B269" s="192" t="s">
        <v>3061</v>
      </c>
      <c r="C269" s="994" t="s">
        <v>1208</v>
      </c>
      <c r="D269" s="1040"/>
      <c r="E269" s="1040"/>
      <c r="F269" s="1040"/>
      <c r="G269" s="1040"/>
      <c r="H269" s="1040"/>
      <c r="I269" s="1040"/>
      <c r="J269" s="1040"/>
      <c r="K269" s="1040"/>
      <c r="L269" s="1040"/>
      <c r="M269" s="1040"/>
      <c r="N269" s="1040"/>
      <c r="O269" s="221" t="s">
        <v>3061</v>
      </c>
      <c r="P269" s="1166" t="s">
        <v>3961</v>
      </c>
      <c r="Q269" s="234"/>
    </row>
    <row r="270" spans="1:31" s="705" customFormat="1" ht="33" customHeight="1">
      <c r="B270" s="192" t="s">
        <v>1238</v>
      </c>
      <c r="C270" s="994" t="s">
        <v>1209</v>
      </c>
      <c r="D270" s="1040"/>
      <c r="E270" s="1040"/>
      <c r="F270" s="1040"/>
      <c r="G270" s="1040"/>
      <c r="H270" s="1040"/>
      <c r="I270" s="1040"/>
      <c r="J270" s="1040"/>
      <c r="K270" s="1040"/>
      <c r="L270" s="1040"/>
      <c r="M270" s="1040"/>
      <c r="N270" s="1040"/>
      <c r="O270" s="221" t="s">
        <v>3061</v>
      </c>
      <c r="P270" s="1166"/>
      <c r="Q270" s="234"/>
    </row>
    <row r="271" spans="1:31" ht="11.25" customHeight="1">
      <c r="B271" s="191" t="s">
        <v>2919</v>
      </c>
      <c r="D271" s="191"/>
      <c r="E271" s="191"/>
      <c r="F271" s="191"/>
      <c r="G271" s="191"/>
      <c r="H271" s="50"/>
      <c r="I271" s="179"/>
      <c r="J271" s="179"/>
      <c r="K271" s="179"/>
      <c r="L271" s="737"/>
      <c r="M271" s="737"/>
      <c r="N271" s="737"/>
      <c r="O271" s="737"/>
      <c r="P271" s="737"/>
      <c r="Q271" s="63"/>
    </row>
    <row r="272" spans="1:31" ht="13.15" customHeight="1">
      <c r="A272" s="1152" t="s">
        <v>3972</v>
      </c>
      <c r="B272" s="1153"/>
      <c r="C272" s="1153"/>
      <c r="D272" s="1153"/>
      <c r="E272" s="1153"/>
      <c r="F272" s="1153"/>
      <c r="G272" s="1153"/>
      <c r="H272" s="1153"/>
      <c r="I272" s="1153"/>
      <c r="J272" s="1153"/>
      <c r="K272" s="1153"/>
      <c r="L272" s="1153"/>
      <c r="M272" s="1153"/>
      <c r="N272" s="1153"/>
      <c r="O272" s="1153"/>
      <c r="P272" s="1153"/>
      <c r="Q272" s="1154"/>
      <c r="R272" s="1002" t="s">
        <v>1932</v>
      </c>
      <c r="S272" s="1002"/>
      <c r="U272" s="185"/>
      <c r="V272" s="185"/>
      <c r="W272" s="185"/>
      <c r="X272" s="185"/>
      <c r="Y272" s="185"/>
      <c r="Z272" s="185"/>
      <c r="AA272" s="185"/>
      <c r="AB272" s="185"/>
      <c r="AC272" s="185"/>
      <c r="AD272" s="185"/>
      <c r="AE272" s="186"/>
    </row>
    <row r="273" spans="1:31" ht="13.15" customHeight="1">
      <c r="A273" s="1155" t="s">
        <v>3971</v>
      </c>
      <c r="B273" s="1156"/>
      <c r="C273" s="1156"/>
      <c r="D273" s="1156"/>
      <c r="E273" s="1156"/>
      <c r="F273" s="1156"/>
      <c r="G273" s="1156"/>
      <c r="H273" s="1156"/>
      <c r="I273" s="1156"/>
      <c r="J273" s="1156"/>
      <c r="K273" s="1156"/>
      <c r="L273" s="1156"/>
      <c r="M273" s="1156"/>
      <c r="N273" s="1156"/>
      <c r="O273" s="1156"/>
      <c r="P273" s="1156"/>
      <c r="Q273" s="1157"/>
      <c r="R273" s="1002"/>
      <c r="S273" s="1002"/>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877</v>
      </c>
      <c r="C278" s="201"/>
      <c r="D278" s="202"/>
      <c r="E278" s="740"/>
      <c r="F278" s="740"/>
      <c r="G278" s="740"/>
      <c r="H278" s="740"/>
      <c r="I278" s="740"/>
      <c r="J278" s="740"/>
      <c r="K278" s="740"/>
      <c r="L278" s="740"/>
      <c r="M278" s="740"/>
      <c r="O278" s="180" t="s">
        <v>2921</v>
      </c>
      <c r="P278" s="992"/>
      <c r="Q278" s="993"/>
    </row>
    <row r="279" spans="1:31" s="200" customFormat="1" ht="22.9" customHeight="1">
      <c r="B279" s="192" t="s">
        <v>3058</v>
      </c>
      <c r="C279" s="1024" t="s">
        <v>2942</v>
      </c>
      <c r="D279" s="1024"/>
      <c r="E279" s="1024"/>
      <c r="F279" s="1024"/>
      <c r="G279" s="1024"/>
      <c r="H279" s="1024"/>
      <c r="I279" s="1024"/>
      <c r="J279" s="1024"/>
      <c r="K279" s="1024"/>
      <c r="L279" s="1024"/>
      <c r="M279" s="1024"/>
      <c r="O279" s="221" t="s">
        <v>3058</v>
      </c>
      <c r="P279" s="1257" t="s">
        <v>3924</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3924</v>
      </c>
      <c r="Q280" s="234"/>
    </row>
    <row r="281" spans="1:31" s="200" customFormat="1" ht="22.9" customHeight="1">
      <c r="B281" s="192" t="s">
        <v>1238</v>
      </c>
      <c r="C281" s="994" t="s">
        <v>2886</v>
      </c>
      <c r="D281" s="1040"/>
      <c r="E281" s="1040"/>
      <c r="F281" s="1040"/>
      <c r="G281" s="1040"/>
      <c r="H281" s="1040"/>
      <c r="I281" s="1040"/>
      <c r="J281" s="1040"/>
      <c r="K281" s="1040"/>
      <c r="L281" s="1040"/>
      <c r="M281" s="1040"/>
      <c r="N281" s="1040"/>
      <c r="O281" s="62" t="s">
        <v>1238</v>
      </c>
      <c r="P281" s="1166" t="s">
        <v>3924</v>
      </c>
      <c r="Q281" s="234"/>
    </row>
    <row r="282" spans="1:31" s="200" customFormat="1" ht="12" customHeight="1">
      <c r="B282" s="57" t="s">
        <v>3210</v>
      </c>
      <c r="C282" s="40" t="s">
        <v>2887</v>
      </c>
      <c r="D282" s="40"/>
      <c r="E282" s="40"/>
      <c r="F282" s="40"/>
      <c r="G282" s="40"/>
      <c r="H282" s="40"/>
      <c r="I282" s="40"/>
      <c r="J282" s="40"/>
      <c r="K282" s="40"/>
      <c r="L282" s="40"/>
      <c r="M282" s="40"/>
      <c r="O282" s="62" t="s">
        <v>3210</v>
      </c>
      <c r="P282" s="1166" t="s">
        <v>3924</v>
      </c>
      <c r="Q282" s="234"/>
    </row>
    <row r="283" spans="1:31" s="200" customFormat="1" ht="22.9" customHeight="1">
      <c r="B283" s="192" t="s">
        <v>2762</v>
      </c>
      <c r="C283" s="994" t="s">
        <v>1080</v>
      </c>
      <c r="D283" s="1040"/>
      <c r="E283" s="1040"/>
      <c r="F283" s="1040"/>
      <c r="G283" s="1040"/>
      <c r="H283" s="1040"/>
      <c r="I283" s="1040"/>
      <c r="J283" s="1040"/>
      <c r="K283" s="1040"/>
      <c r="L283" s="1040"/>
      <c r="M283" s="1040"/>
      <c r="N283" s="1040"/>
      <c r="O283" s="62" t="s">
        <v>2762</v>
      </c>
      <c r="P283" s="1166" t="s">
        <v>3924</v>
      </c>
      <c r="Q283" s="234"/>
    </row>
    <row r="284" spans="1:31" ht="11.25" customHeight="1">
      <c r="B284" s="191" t="s">
        <v>2919</v>
      </c>
      <c r="D284" s="191"/>
      <c r="E284" s="191"/>
      <c r="F284" s="191"/>
      <c r="G284" s="191"/>
      <c r="H284" s="50"/>
      <c r="I284" s="179"/>
      <c r="J284" s="179"/>
      <c r="K284" s="179"/>
      <c r="L284" s="737"/>
      <c r="M284" s="737"/>
      <c r="N284" s="737"/>
      <c r="O284" s="737"/>
      <c r="P284" s="737"/>
      <c r="Q284" s="63"/>
    </row>
    <row r="285" spans="1:31" ht="11.45" customHeight="1">
      <c r="A285" s="1152" t="s">
        <v>3973</v>
      </c>
      <c r="B285" s="1153"/>
      <c r="C285" s="1153"/>
      <c r="D285" s="1153"/>
      <c r="E285" s="1153"/>
      <c r="F285" s="1153"/>
      <c r="G285" s="1153"/>
      <c r="H285" s="1153"/>
      <c r="I285" s="1153"/>
      <c r="J285" s="1153"/>
      <c r="K285" s="1153"/>
      <c r="L285" s="1153"/>
      <c r="M285" s="1153"/>
      <c r="N285" s="1153"/>
      <c r="O285" s="1153"/>
      <c r="P285" s="1153"/>
      <c r="Q285" s="1154"/>
      <c r="R285" s="1002" t="s">
        <v>1932</v>
      </c>
      <c r="S285" s="1002"/>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02"/>
      <c r="S286" s="1002"/>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0" t="s">
        <v>3323</v>
      </c>
      <c r="C290" s="1010"/>
      <c r="D290" s="1010"/>
      <c r="E290" s="1010"/>
      <c r="F290" s="1010"/>
      <c r="G290" s="1010"/>
      <c r="H290" s="740"/>
      <c r="I290" s="740"/>
      <c r="J290" s="740"/>
      <c r="K290" s="740"/>
      <c r="L290" s="740"/>
      <c r="M290" s="740"/>
      <c r="O290" s="180" t="s">
        <v>2921</v>
      </c>
      <c r="P290" s="992"/>
      <c r="Q290" s="993"/>
    </row>
    <row r="291" spans="1:256" ht="11.45" customHeight="1">
      <c r="B291" s="195" t="s">
        <v>3380</v>
      </c>
      <c r="P291" s="1166" t="s">
        <v>3923</v>
      </c>
      <c r="Q291" s="234"/>
    </row>
    <row r="292" spans="1:256" ht="12" customHeight="1">
      <c r="B292" s="197" t="s">
        <v>3324</v>
      </c>
      <c r="C292" s="197"/>
      <c r="D292" s="197"/>
      <c r="E292" s="197"/>
      <c r="F292" s="197"/>
      <c r="G292" s="197"/>
      <c r="H292" s="197"/>
      <c r="I292" s="197"/>
      <c r="J292" s="197"/>
      <c r="K292" s="197"/>
      <c r="L292" s="197"/>
      <c r="P292" s="1166" t="s">
        <v>3924</v>
      </c>
      <c r="Q292" s="234"/>
    </row>
    <row r="293" spans="1:256" ht="11.45" customHeight="1">
      <c r="B293" s="192" t="s">
        <v>3058</v>
      </c>
      <c r="C293" s="263" t="s">
        <v>673</v>
      </c>
      <c r="D293" s="40"/>
      <c r="E293" s="40"/>
      <c r="F293" s="40"/>
      <c r="G293" s="40"/>
      <c r="H293" s="40"/>
      <c r="I293" s="40"/>
      <c r="J293" s="40"/>
      <c r="K293" s="40"/>
      <c r="L293" s="40"/>
      <c r="M293" s="40"/>
      <c r="N293" s="221"/>
    </row>
    <row r="294" spans="1:256" ht="33.6" customHeight="1">
      <c r="A294" s="194"/>
      <c r="C294" s="1039" t="s">
        <v>1081</v>
      </c>
      <c r="D294" s="1039"/>
      <c r="E294" s="1039"/>
      <c r="F294" s="1039"/>
      <c r="G294" s="1039"/>
      <c r="H294" s="1039"/>
      <c r="I294" s="1039"/>
      <c r="J294" s="1039"/>
      <c r="K294" s="1039"/>
      <c r="L294" s="1039"/>
      <c r="M294" s="1039"/>
      <c r="N294" s="1039"/>
      <c r="O294" s="221" t="s">
        <v>3058</v>
      </c>
      <c r="P294" s="1257"/>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3061</v>
      </c>
      <c r="C296" s="1038" t="s">
        <v>674</v>
      </c>
      <c r="D296" s="1038"/>
      <c r="E296" s="1038"/>
      <c r="F296" s="1038"/>
      <c r="G296" s="1038"/>
      <c r="H296" s="1038"/>
      <c r="I296" s="1038"/>
      <c r="J296" s="1038"/>
      <c r="K296" s="1038"/>
      <c r="L296" s="1038"/>
      <c r="M296" s="1038"/>
      <c r="O296" s="221" t="s">
        <v>3061</v>
      </c>
      <c r="P296" s="1166" t="s">
        <v>3924</v>
      </c>
      <c r="Q296" s="234"/>
    </row>
    <row r="297" spans="1:256" ht="24" customHeight="1">
      <c r="A297" s="194"/>
      <c r="C297" s="296" t="s">
        <v>2764</v>
      </c>
      <c r="D297" s="297" t="s">
        <v>1766</v>
      </c>
      <c r="E297" s="181"/>
      <c r="F297" s="181"/>
      <c r="G297" s="1258" t="s">
        <v>2167</v>
      </c>
      <c r="H297" s="1259"/>
      <c r="I297" s="1259"/>
      <c r="J297" s="1259"/>
      <c r="K297" s="1259"/>
      <c r="L297" s="1259"/>
      <c r="M297" s="1259"/>
      <c r="N297" s="1260"/>
      <c r="O297" s="301" t="s">
        <v>2764</v>
      </c>
      <c r="P297" s="1257" t="s">
        <v>3924</v>
      </c>
      <c r="Q297" s="353"/>
    </row>
    <row r="298" spans="1:256" ht="12.6" customHeight="1">
      <c r="A298" s="194"/>
      <c r="C298" s="296" t="s">
        <v>2765</v>
      </c>
      <c r="D298" s="297" t="s">
        <v>1768</v>
      </c>
      <c r="E298" s="181"/>
      <c r="F298" s="181"/>
      <c r="G298" s="1152" t="s">
        <v>1772</v>
      </c>
      <c r="H298" s="1261"/>
      <c r="I298" s="1261"/>
      <c r="J298" s="1261"/>
      <c r="K298" s="1261"/>
      <c r="L298" s="1261"/>
      <c r="M298" s="1261"/>
      <c r="N298" s="1262"/>
      <c r="O298" s="301" t="s">
        <v>2765</v>
      </c>
      <c r="P298" s="1183" t="s">
        <v>3924</v>
      </c>
      <c r="Q298" s="354"/>
    </row>
    <row r="299" spans="1:256" ht="12.6" customHeight="1">
      <c r="A299" s="194"/>
      <c r="C299" s="296"/>
      <c r="D299" s="298"/>
      <c r="E299" s="181"/>
      <c r="F299" s="181"/>
      <c r="G299" s="1263" t="s">
        <v>2780</v>
      </c>
      <c r="H299" s="1264"/>
      <c r="I299" s="1264"/>
      <c r="J299" s="1264"/>
      <c r="K299" s="1264"/>
      <c r="L299" s="1264"/>
      <c r="M299" s="1264"/>
      <c r="N299" s="1265"/>
      <c r="O299" s="301"/>
      <c r="P299" s="1184" t="s">
        <v>3924</v>
      </c>
      <c r="Q299" s="355"/>
    </row>
    <row r="300" spans="1:256" ht="24" customHeight="1">
      <c r="A300" s="194"/>
      <c r="C300" s="296" t="s">
        <v>2766</v>
      </c>
      <c r="D300" s="1025" t="s">
        <v>1767</v>
      </c>
      <c r="E300" s="1040"/>
      <c r="F300" s="1041"/>
      <c r="G300" s="1159" t="s">
        <v>3368</v>
      </c>
      <c r="H300" s="1266"/>
      <c r="I300" s="1266"/>
      <c r="J300" s="1266"/>
      <c r="K300" s="1266"/>
      <c r="L300" s="1266"/>
      <c r="M300" s="1266"/>
      <c r="N300" s="1267"/>
      <c r="O300" s="301" t="s">
        <v>2766</v>
      </c>
      <c r="P300" s="1257" t="s">
        <v>3924</v>
      </c>
      <c r="Q300" s="353"/>
    </row>
    <row r="301" spans="1:256" ht="12.6" customHeight="1">
      <c r="A301" s="194"/>
      <c r="C301" s="296" t="s">
        <v>3569</v>
      </c>
      <c r="D301" s="1025" t="s">
        <v>1769</v>
      </c>
      <c r="E301" s="1025"/>
      <c r="F301" s="1026"/>
      <c r="G301" s="1268" t="s">
        <v>3213</v>
      </c>
      <c r="H301" s="1269"/>
      <c r="I301" s="1269"/>
      <c r="J301" s="1269"/>
      <c r="K301" s="1269"/>
      <c r="L301" s="1269"/>
      <c r="M301" s="1269"/>
      <c r="N301" s="1270"/>
      <c r="O301" s="301" t="s">
        <v>3569</v>
      </c>
      <c r="P301" s="1271" t="s">
        <v>3924</v>
      </c>
      <c r="Q301" s="356"/>
    </row>
    <row r="302" spans="1:256" ht="12.6" customHeight="1">
      <c r="A302" s="194"/>
      <c r="C302" s="296"/>
      <c r="D302" s="1025"/>
      <c r="E302" s="1025"/>
      <c r="F302" s="1026"/>
      <c r="G302" s="1155" t="s">
        <v>225</v>
      </c>
      <c r="H302" s="1272"/>
      <c r="I302" s="1272"/>
      <c r="J302" s="1272"/>
      <c r="K302" s="1272"/>
      <c r="L302" s="1272"/>
      <c r="M302" s="1272"/>
      <c r="N302" s="1273"/>
      <c r="P302" s="1274" t="s">
        <v>3924</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2919</v>
      </c>
      <c r="D304" s="191"/>
      <c r="E304" s="191"/>
      <c r="F304" s="191"/>
      <c r="G304" s="191"/>
      <c r="H304" s="50"/>
      <c r="I304" s="179"/>
      <c r="J304" s="179"/>
      <c r="K304" s="179"/>
      <c r="L304" s="737"/>
      <c r="M304" s="737"/>
      <c r="N304" s="737"/>
      <c r="O304" s="737"/>
      <c r="P304" s="737"/>
      <c r="Q304" s="63"/>
    </row>
    <row r="305" spans="1:31" ht="33.75" customHeight="1">
      <c r="A305" s="1152" t="s">
        <v>4046</v>
      </c>
      <c r="B305" s="1153"/>
      <c r="C305" s="1153"/>
      <c r="D305" s="1153"/>
      <c r="E305" s="1153"/>
      <c r="F305" s="1153"/>
      <c r="G305" s="1153"/>
      <c r="H305" s="1153"/>
      <c r="I305" s="1153"/>
      <c r="J305" s="1153"/>
      <c r="K305" s="1153"/>
      <c r="L305" s="1153"/>
      <c r="M305" s="1153"/>
      <c r="N305" s="1153"/>
      <c r="O305" s="1153"/>
      <c r="P305" s="1153"/>
      <c r="Q305" s="1154"/>
      <c r="R305" s="1017" t="s">
        <v>1932</v>
      </c>
      <c r="S305" s="1017"/>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7"/>
      <c r="S306" s="1017"/>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3120</v>
      </c>
      <c r="C311" s="741"/>
      <c r="D311" s="740"/>
      <c r="E311" s="740"/>
      <c r="F311" s="740"/>
      <c r="G311" s="740"/>
      <c r="H311" s="740"/>
      <c r="O311" s="180" t="s">
        <v>2921</v>
      </c>
      <c r="P311" s="992"/>
      <c r="Q311" s="993"/>
    </row>
    <row r="312" spans="1:31" ht="3" customHeight="1"/>
    <row r="313" spans="1:31" ht="11.45" customHeight="1">
      <c r="B313" s="195" t="s">
        <v>3512</v>
      </c>
      <c r="P313" s="1166" t="s">
        <v>3924</v>
      </c>
      <c r="Q313" s="234"/>
    </row>
    <row r="314" spans="1:31" ht="11.45" customHeight="1">
      <c r="B314" s="195" t="s">
        <v>3513</v>
      </c>
      <c r="P314" s="1166" t="s">
        <v>3923</v>
      </c>
      <c r="Q314" s="234"/>
    </row>
    <row r="315" spans="1:31" ht="11.45" customHeight="1">
      <c r="B315" s="195" t="s">
        <v>924</v>
      </c>
      <c r="L315" s="1275" t="s">
        <v>3974</v>
      </c>
      <c r="M315" s="1276"/>
      <c r="N315" s="1276"/>
      <c r="O315" s="1277"/>
      <c r="P315" s="1166" t="s">
        <v>3924</v>
      </c>
      <c r="Q315" s="234"/>
    </row>
    <row r="316" spans="1:31" ht="11.45" customHeight="1">
      <c r="B316" s="690" t="s">
        <v>3514</v>
      </c>
      <c r="L316" s="1042"/>
      <c r="M316" s="1043"/>
      <c r="N316" s="1043"/>
      <c r="O316" s="1044"/>
    </row>
    <row r="317" spans="1:31" ht="4.1500000000000004" customHeight="1">
      <c r="A317" s="189"/>
      <c r="C317" s="190"/>
    </row>
    <row r="318" spans="1:31" ht="11.25" customHeight="1">
      <c r="B318" s="191" t="s">
        <v>2919</v>
      </c>
      <c r="D318" s="191"/>
      <c r="E318" s="191"/>
      <c r="F318" s="191"/>
      <c r="G318" s="191"/>
      <c r="H318" s="50"/>
      <c r="I318" s="179"/>
      <c r="J318" s="179"/>
      <c r="K318" s="179"/>
      <c r="L318" s="737"/>
      <c r="M318" s="737"/>
      <c r="N318" s="737"/>
      <c r="O318" s="737"/>
      <c r="P318" s="737"/>
      <c r="Q318" s="63"/>
    </row>
    <row r="319" spans="1:31" ht="13.15" customHeight="1">
      <c r="A319" s="1152" t="s">
        <v>4015</v>
      </c>
      <c r="B319" s="1153"/>
      <c r="C319" s="1153"/>
      <c r="D319" s="1153"/>
      <c r="E319" s="1153"/>
      <c r="F319" s="1153"/>
      <c r="G319" s="1153"/>
      <c r="H319" s="1153"/>
      <c r="I319" s="1153"/>
      <c r="J319" s="1153"/>
      <c r="K319" s="1153"/>
      <c r="L319" s="1153"/>
      <c r="M319" s="1153"/>
      <c r="N319" s="1153"/>
      <c r="O319" s="1153"/>
      <c r="P319" s="1153"/>
      <c r="Q319" s="1154"/>
      <c r="R319" s="1002" t="s">
        <v>1932</v>
      </c>
      <c r="S319" s="1002"/>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02"/>
      <c r="S320" s="1002"/>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02"/>
      <c r="S321" s="1002"/>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999"/>
      <c r="B324" s="1000"/>
      <c r="C324" s="1000"/>
      <c r="D324" s="1000"/>
      <c r="E324" s="1000"/>
      <c r="F324" s="1000"/>
      <c r="G324" s="1000"/>
      <c r="H324" s="1000"/>
      <c r="I324" s="1000"/>
      <c r="J324" s="1000"/>
      <c r="K324" s="1000"/>
      <c r="L324" s="1000"/>
      <c r="M324" s="1000"/>
      <c r="N324" s="1000"/>
      <c r="O324" s="1000"/>
      <c r="P324" s="1000"/>
      <c r="Q324" s="1001"/>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2921</v>
      </c>
      <c r="P327" s="992"/>
      <c r="Q327" s="993"/>
    </row>
    <row r="328" spans="1:31" ht="3" customHeight="1"/>
    <row r="329" spans="1:31" ht="22.15" customHeight="1">
      <c r="B329" s="192" t="s">
        <v>3058</v>
      </c>
      <c r="C329" s="994" t="s">
        <v>2543</v>
      </c>
      <c r="D329" s="994"/>
      <c r="E329" s="994"/>
      <c r="F329" s="994"/>
      <c r="G329" s="994"/>
      <c r="H329" s="994"/>
      <c r="I329" s="994"/>
      <c r="J329" s="994"/>
      <c r="K329" s="994"/>
      <c r="L329" s="994"/>
      <c r="M329" s="994"/>
      <c r="N329" s="994"/>
      <c r="O329" s="221" t="s">
        <v>3058</v>
      </c>
      <c r="P329" s="1166" t="s">
        <v>3924</v>
      </c>
      <c r="Q329" s="234"/>
    </row>
    <row r="330" spans="1:31" ht="11.45" customHeight="1">
      <c r="B330" s="192" t="s">
        <v>3061</v>
      </c>
      <c r="C330" s="994" t="s">
        <v>356</v>
      </c>
      <c r="D330" s="994"/>
      <c r="E330" s="994"/>
      <c r="F330" s="994"/>
      <c r="G330" s="994"/>
      <c r="H330" s="994"/>
      <c r="I330" s="994"/>
      <c r="J330" s="994"/>
      <c r="K330" s="994"/>
      <c r="L330" s="994"/>
      <c r="M330" s="740"/>
      <c r="O330" s="221" t="s">
        <v>3061</v>
      </c>
      <c r="P330" s="1166"/>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3924</v>
      </c>
      <c r="Q331" s="234"/>
    </row>
    <row r="332" spans="1:31" ht="22.15" customHeight="1">
      <c r="B332" s="192" t="s">
        <v>3210</v>
      </c>
      <c r="C332" s="994" t="s">
        <v>1058</v>
      </c>
      <c r="D332" s="994"/>
      <c r="E332" s="994"/>
      <c r="F332" s="994"/>
      <c r="G332" s="994"/>
      <c r="H332" s="994"/>
      <c r="I332" s="994"/>
      <c r="J332" s="994"/>
      <c r="K332" s="994"/>
      <c r="L332" s="994"/>
      <c r="M332" s="994"/>
      <c r="N332" s="994"/>
      <c r="O332" s="221" t="s">
        <v>3210</v>
      </c>
      <c r="P332" s="1166" t="s">
        <v>3924</v>
      </c>
      <c r="Q332" s="234"/>
    </row>
    <row r="333" spans="1:31" ht="11.25" customHeight="1">
      <c r="B333" s="191" t="s">
        <v>2919</v>
      </c>
      <c r="D333" s="191"/>
      <c r="E333" s="191"/>
      <c r="F333" s="191"/>
      <c r="G333" s="191"/>
      <c r="H333" s="50"/>
      <c r="I333" s="179"/>
      <c r="J333" s="179"/>
      <c r="K333" s="179"/>
      <c r="L333" s="737"/>
      <c r="M333" s="737"/>
      <c r="N333" s="737"/>
      <c r="O333" s="737"/>
      <c r="P333" s="737"/>
      <c r="Q333" s="63"/>
    </row>
    <row r="334" spans="1:31" ht="27" customHeight="1">
      <c r="A334" s="1152" t="s">
        <v>4047</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1553</v>
      </c>
      <c r="C341" s="5"/>
      <c r="D341" s="5"/>
      <c r="E341" s="5"/>
      <c r="F341" s="5"/>
      <c r="G341" s="5"/>
      <c r="H341" s="740"/>
      <c r="I341" s="740"/>
      <c r="J341" s="740"/>
      <c r="K341" s="740"/>
      <c r="L341" s="740"/>
      <c r="M341" s="740"/>
      <c r="O341" s="180" t="s">
        <v>2921</v>
      </c>
      <c r="P341" s="992"/>
      <c r="Q341" s="993"/>
    </row>
    <row r="342" spans="1:31" ht="12" customHeight="1">
      <c r="B342" s="57" t="s">
        <v>3058</v>
      </c>
      <c r="C342" s="160" t="s">
        <v>2083</v>
      </c>
      <c r="D342" s="744"/>
      <c r="E342" s="744"/>
      <c r="F342" s="744"/>
      <c r="G342" s="744"/>
      <c r="H342" s="744"/>
      <c r="I342" s="52"/>
      <c r="J342" s="62" t="s">
        <v>3058</v>
      </c>
      <c r="K342" s="1224" t="s">
        <v>3934</v>
      </c>
      <c r="L342" s="1225"/>
      <c r="M342" s="1225"/>
      <c r="N342" s="1225"/>
      <c r="O342" s="1226"/>
      <c r="P342" s="1166"/>
      <c r="Q342" s="234"/>
    </row>
    <row r="343" spans="1:31" ht="24" customHeight="1">
      <c r="B343" s="192" t="s">
        <v>3061</v>
      </c>
      <c r="C343" s="977" t="s">
        <v>2905</v>
      </c>
      <c r="D343" s="977"/>
      <c r="E343" s="977"/>
      <c r="F343" s="977"/>
      <c r="G343" s="977"/>
      <c r="H343" s="977"/>
      <c r="I343" s="977"/>
      <c r="J343" s="977"/>
      <c r="K343" s="977"/>
      <c r="L343" s="977"/>
      <c r="M343" s="977"/>
      <c r="O343" s="221" t="s">
        <v>3061</v>
      </c>
      <c r="P343" s="1257" t="s">
        <v>3924</v>
      </c>
      <c r="Q343" s="234"/>
    </row>
    <row r="344" spans="1:31" ht="12" customHeight="1">
      <c r="B344" s="57" t="s">
        <v>1238</v>
      </c>
      <c r="C344" s="65" t="s">
        <v>1554</v>
      </c>
      <c r="D344" s="65"/>
      <c r="E344" s="65"/>
      <c r="F344" s="65"/>
      <c r="G344" s="65"/>
      <c r="H344" s="65"/>
      <c r="I344" s="65"/>
      <c r="J344" s="65"/>
      <c r="K344" s="65"/>
      <c r="L344" s="40"/>
      <c r="M344" s="40"/>
      <c r="O344" s="62" t="s">
        <v>1238</v>
      </c>
      <c r="P344" s="1166" t="s">
        <v>3924</v>
      </c>
      <c r="Q344" s="234"/>
    </row>
    <row r="345" spans="1:31" ht="12" customHeight="1">
      <c r="B345" s="57" t="s">
        <v>3210</v>
      </c>
      <c r="C345" s="65" t="s">
        <v>355</v>
      </c>
      <c r="D345" s="65"/>
      <c r="E345" s="65"/>
      <c r="F345" s="65"/>
      <c r="G345" s="65"/>
      <c r="H345" s="65"/>
      <c r="I345" s="65"/>
      <c r="J345" s="65"/>
      <c r="K345" s="65"/>
      <c r="L345" s="65"/>
      <c r="M345" s="65"/>
      <c r="O345" s="62" t="s">
        <v>3210</v>
      </c>
      <c r="P345" s="1166" t="s">
        <v>3924</v>
      </c>
      <c r="Q345" s="234"/>
    </row>
    <row r="346" spans="1:31" ht="22.9" customHeight="1">
      <c r="B346" s="192" t="s">
        <v>2762</v>
      </c>
      <c r="C346" s="994" t="s">
        <v>429</v>
      </c>
      <c r="D346" s="994"/>
      <c r="E346" s="994"/>
      <c r="F346" s="994"/>
      <c r="G346" s="994"/>
      <c r="H346" s="994"/>
      <c r="I346" s="994"/>
      <c r="J346" s="994"/>
      <c r="K346" s="994"/>
      <c r="L346" s="994"/>
      <c r="M346" s="994"/>
      <c r="N346" s="994"/>
      <c r="O346" s="221" t="s">
        <v>2762</v>
      </c>
      <c r="P346" s="1257"/>
      <c r="Q346" s="353"/>
    </row>
    <row r="347" spans="1:31" ht="12" customHeight="1">
      <c r="B347" s="57" t="s">
        <v>2763</v>
      </c>
      <c r="C347" s="65" t="s">
        <v>1985</v>
      </c>
      <c r="D347" s="65"/>
      <c r="E347" s="65"/>
      <c r="F347" s="65"/>
      <c r="G347" s="65"/>
      <c r="H347" s="65"/>
      <c r="I347" s="65"/>
      <c r="J347" s="65"/>
      <c r="K347" s="65"/>
      <c r="L347" s="65"/>
      <c r="M347" s="65"/>
      <c r="O347" s="62" t="s">
        <v>2763</v>
      </c>
      <c r="P347" s="1166" t="s">
        <v>3924</v>
      </c>
      <c r="Q347" s="234"/>
    </row>
    <row r="348" spans="1:31" ht="11.25" customHeight="1">
      <c r="B348" s="191" t="s">
        <v>2919</v>
      </c>
      <c r="D348" s="191"/>
      <c r="E348" s="191"/>
      <c r="F348" s="191"/>
      <c r="G348" s="191"/>
      <c r="H348" s="50"/>
      <c r="I348" s="179"/>
      <c r="J348" s="179"/>
      <c r="K348" s="179"/>
      <c r="L348" s="737"/>
      <c r="M348" s="737"/>
      <c r="N348" s="737"/>
      <c r="O348" s="737"/>
      <c r="P348" s="737"/>
      <c r="Q348" s="63"/>
    </row>
    <row r="349" spans="1:31" ht="11.45" customHeight="1">
      <c r="A349" s="1159" t="s">
        <v>4016</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5" customHeight="1">
      <c r="A351" s="1014"/>
      <c r="B351" s="1015"/>
      <c r="C351" s="1015"/>
      <c r="D351" s="1015"/>
      <c r="E351" s="1015"/>
      <c r="F351" s="1015"/>
      <c r="G351" s="1015"/>
      <c r="H351" s="1015"/>
      <c r="I351" s="1015"/>
      <c r="J351" s="1015"/>
      <c r="K351" s="1015"/>
      <c r="L351" s="1015"/>
      <c r="M351" s="1015"/>
      <c r="N351" s="1015"/>
      <c r="O351" s="1015"/>
      <c r="P351" s="1015"/>
      <c r="Q351" s="1016"/>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3753</v>
      </c>
      <c r="C353" s="5"/>
      <c r="D353" s="5"/>
      <c r="E353" s="5"/>
      <c r="F353" s="5"/>
      <c r="G353" s="5"/>
      <c r="H353" s="740"/>
      <c r="I353" s="740"/>
      <c r="J353" s="740"/>
      <c r="O353" s="180" t="s">
        <v>2921</v>
      </c>
      <c r="P353" s="992"/>
      <c r="Q353" s="993"/>
    </row>
    <row r="354" spans="1:31" ht="11.45" customHeight="1">
      <c r="B354" s="57" t="s">
        <v>3058</v>
      </c>
      <c r="C354" s="160" t="s">
        <v>1657</v>
      </c>
      <c r="D354" s="744"/>
      <c r="E354" s="744"/>
      <c r="F354" s="744"/>
      <c r="G354" s="744"/>
      <c r="H354" s="744"/>
      <c r="I354" s="52"/>
      <c r="J354" s="62" t="s">
        <v>3058</v>
      </c>
      <c r="K354" s="1224"/>
      <c r="L354" s="1225"/>
      <c r="M354" s="1225"/>
      <c r="N354" s="1225"/>
      <c r="O354" s="1226"/>
      <c r="P354" s="1166"/>
      <c r="Q354" s="234"/>
    </row>
    <row r="355" spans="1:31" ht="11.45" customHeight="1">
      <c r="B355" s="57" t="s">
        <v>3061</v>
      </c>
      <c r="C355" s="65" t="s">
        <v>2767</v>
      </c>
      <c r="D355" s="65"/>
      <c r="E355" s="65"/>
      <c r="F355" s="65"/>
      <c r="G355" s="65"/>
      <c r="H355" s="65"/>
      <c r="I355" s="65"/>
      <c r="J355" s="65"/>
      <c r="K355" s="65"/>
      <c r="L355" s="40"/>
      <c r="M355" s="40"/>
      <c r="O355" s="62" t="s">
        <v>3061</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2762</v>
      </c>
      <c r="C358" s="994" t="s">
        <v>635</v>
      </c>
      <c r="D358" s="994"/>
      <c r="E358" s="994"/>
      <c r="F358" s="994"/>
      <c r="G358" s="994"/>
      <c r="H358" s="994"/>
      <c r="I358" s="994"/>
      <c r="J358" s="994"/>
      <c r="K358" s="994"/>
      <c r="L358" s="994"/>
      <c r="M358" s="994"/>
      <c r="N358" s="994"/>
      <c r="O358" s="221" t="s">
        <v>2762</v>
      </c>
      <c r="P358" s="1166"/>
      <c r="Q358" s="234"/>
    </row>
    <row r="359" spans="1:31" ht="20.45" customHeight="1">
      <c r="B359" s="192" t="s">
        <v>2763</v>
      </c>
      <c r="C359" s="977" t="s">
        <v>230</v>
      </c>
      <c r="D359" s="977"/>
      <c r="E359" s="977"/>
      <c r="F359" s="977"/>
      <c r="G359" s="977"/>
      <c r="H359" s="977"/>
      <c r="I359" s="977"/>
      <c r="J359" s="977"/>
      <c r="K359" s="977"/>
      <c r="L359" s="977"/>
      <c r="M359" s="977"/>
      <c r="N359" s="977"/>
      <c r="O359" s="221" t="s">
        <v>2763</v>
      </c>
      <c r="P359" s="1257"/>
      <c r="Q359" s="234"/>
    </row>
    <row r="360" spans="1:31" ht="11.45" customHeight="1">
      <c r="B360" s="57" t="s">
        <v>3018</v>
      </c>
      <c r="C360" s="40" t="s">
        <v>851</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7"/>
      <c r="M361" s="737"/>
      <c r="N361" s="737"/>
      <c r="O361" s="737"/>
      <c r="P361" s="737"/>
      <c r="Q361" s="63"/>
    </row>
    <row r="362" spans="1:31" ht="11.45" customHeight="1">
      <c r="A362" s="1152" t="s">
        <v>3975</v>
      </c>
      <c r="B362" s="1153"/>
      <c r="C362" s="1153"/>
      <c r="D362" s="1153"/>
      <c r="E362" s="1153"/>
      <c r="F362" s="1153"/>
      <c r="G362" s="1153"/>
      <c r="H362" s="1153"/>
      <c r="I362" s="1153"/>
      <c r="J362" s="1153"/>
      <c r="K362" s="1153"/>
      <c r="L362" s="1153"/>
      <c r="M362" s="1153"/>
      <c r="N362" s="1153"/>
      <c r="O362" s="1153"/>
      <c r="P362" s="1153"/>
      <c r="Q362" s="1154"/>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5" customHeight="1">
      <c r="A364" s="1014"/>
      <c r="B364" s="1015"/>
      <c r="C364" s="1015"/>
      <c r="D364" s="1015"/>
      <c r="E364" s="1015"/>
      <c r="F364" s="1015"/>
      <c r="G364" s="1015"/>
      <c r="H364" s="1015"/>
      <c r="I364" s="1015"/>
      <c r="J364" s="1015"/>
      <c r="K364" s="1015"/>
      <c r="L364" s="1015"/>
      <c r="M364" s="1015"/>
      <c r="N364" s="1015"/>
      <c r="O364" s="1015"/>
      <c r="P364" s="1015"/>
      <c r="Q364" s="1016"/>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1082</v>
      </c>
      <c r="C366" s="5"/>
      <c r="D366" s="118"/>
      <c r="E366" s="740"/>
      <c r="F366" s="740"/>
      <c r="G366" s="740"/>
      <c r="H366" s="740"/>
      <c r="I366" s="740"/>
      <c r="J366" s="740"/>
      <c r="K366" s="740"/>
      <c r="L366" s="740"/>
      <c r="M366" s="740"/>
      <c r="O366" s="180" t="s">
        <v>2921</v>
      </c>
      <c r="P366" s="992"/>
      <c r="Q366" s="993"/>
    </row>
    <row r="367" spans="1:31" s="2" customFormat="1" ht="23.45" customHeight="1">
      <c r="B367" s="192" t="s">
        <v>3058</v>
      </c>
      <c r="C367" s="994" t="s">
        <v>201</v>
      </c>
      <c r="D367" s="994"/>
      <c r="E367" s="994"/>
      <c r="F367" s="994"/>
      <c r="G367" s="994"/>
      <c r="H367" s="994"/>
      <c r="I367" s="994"/>
      <c r="J367" s="994"/>
      <c r="K367" s="994"/>
      <c r="L367" s="994"/>
      <c r="M367" s="221" t="s">
        <v>3058</v>
      </c>
      <c r="N367" s="1278" t="s">
        <v>2800</v>
      </c>
      <c r="O367" s="1279"/>
      <c r="P367" s="1012" t="s">
        <v>2800</v>
      </c>
      <c r="Q367" s="1013"/>
    </row>
    <row r="368" spans="1:31" s="2" customFormat="1" ht="12" customHeight="1">
      <c r="B368" s="57" t="s">
        <v>3061</v>
      </c>
      <c r="C368" s="157" t="s">
        <v>2</v>
      </c>
      <c r="D368" s="204"/>
      <c r="E368" s="204"/>
      <c r="G368" s="62" t="s">
        <v>3061</v>
      </c>
      <c r="H368" s="1235"/>
      <c r="I368" s="1236"/>
      <c r="J368" s="1236"/>
      <c r="K368" s="1236"/>
      <c r="L368" s="1236"/>
      <c r="M368" s="1236"/>
      <c r="N368" s="1236"/>
      <c r="O368" s="1237"/>
      <c r="P368" s="1166"/>
      <c r="Q368" s="234"/>
    </row>
    <row r="369" spans="1:31" s="2" customFormat="1" ht="12" customHeight="1">
      <c r="B369" s="57" t="s">
        <v>1238</v>
      </c>
      <c r="C369" s="40" t="s">
        <v>2125</v>
      </c>
      <c r="D369" s="12"/>
      <c r="E369" s="12"/>
      <c r="F369" s="12"/>
      <c r="G369" s="8"/>
      <c r="H369" s="8"/>
      <c r="I369" s="40"/>
      <c r="K369" s="8"/>
      <c r="L369" s="8"/>
      <c r="M369" s="8"/>
      <c r="O369" s="62" t="s">
        <v>1238</v>
      </c>
      <c r="P369" s="1166"/>
      <c r="Q369" s="234"/>
    </row>
    <row r="370" spans="1:31" ht="11.25" customHeight="1">
      <c r="B370" s="191" t="s">
        <v>2919</v>
      </c>
      <c r="D370" s="191"/>
      <c r="E370" s="191"/>
      <c r="F370" s="191"/>
      <c r="G370" s="191"/>
      <c r="H370" s="50"/>
      <c r="I370" s="179"/>
      <c r="J370" s="179"/>
      <c r="K370" s="179"/>
      <c r="L370" s="737"/>
      <c r="M370" s="737"/>
      <c r="N370" s="737"/>
      <c r="O370" s="737"/>
      <c r="P370" s="737"/>
      <c r="Q370" s="63"/>
    </row>
    <row r="371" spans="1:31" ht="11.45" customHeight="1">
      <c r="A371" s="1152" t="s">
        <v>3975</v>
      </c>
      <c r="B371" s="1153"/>
      <c r="C371" s="1153"/>
      <c r="D371" s="1153"/>
      <c r="E371" s="1153"/>
      <c r="F371" s="1153"/>
      <c r="G371" s="1153"/>
      <c r="H371" s="1153"/>
      <c r="I371" s="1153"/>
      <c r="J371" s="1153"/>
      <c r="K371" s="1153"/>
      <c r="L371" s="1153"/>
      <c r="M371" s="1153"/>
      <c r="N371" s="1153"/>
      <c r="O371" s="1153"/>
      <c r="P371" s="1153"/>
      <c r="Q371" s="1154"/>
      <c r="R371" s="1002" t="s">
        <v>1932</v>
      </c>
      <c r="S371" s="1002"/>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02"/>
      <c r="S372" s="1002"/>
    </row>
    <row r="373" spans="1:31" s="31" customFormat="1" ht="3" customHeight="1">
      <c r="C373" s="134"/>
      <c r="D373" s="134"/>
      <c r="R373" s="1002"/>
      <c r="S373" s="1002"/>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2529</v>
      </c>
      <c r="C378" s="5"/>
      <c r="D378" s="5"/>
      <c r="E378" s="740"/>
      <c r="F378" s="190" t="s">
        <v>1057</v>
      </c>
      <c r="G378" s="740"/>
      <c r="H378" s="740"/>
      <c r="I378" s="740"/>
      <c r="J378" s="740"/>
      <c r="K378" s="740"/>
      <c r="L378" s="740"/>
      <c r="M378" s="740"/>
      <c r="O378" s="180" t="s">
        <v>2921</v>
      </c>
      <c r="P378" s="992"/>
      <c r="Q378" s="1011"/>
    </row>
    <row r="379" spans="1:31" ht="12" customHeight="1">
      <c r="A379" s="194"/>
      <c r="B379" s="57" t="s">
        <v>3058</v>
      </c>
      <c r="C379" s="65" t="s">
        <v>2126</v>
      </c>
      <c r="D379" s="743"/>
      <c r="E379" s="743"/>
      <c r="H379" s="190"/>
      <c r="O379" s="62" t="s">
        <v>3058</v>
      </c>
      <c r="P379" s="1166" t="s">
        <v>3923</v>
      </c>
      <c r="Q379" s="234"/>
    </row>
    <row r="380" spans="1:31" ht="12" customHeight="1">
      <c r="A380" s="194"/>
      <c r="B380" s="57" t="s">
        <v>3061</v>
      </c>
      <c r="C380" s="65" t="s">
        <v>1241</v>
      </c>
      <c r="D380" s="743"/>
      <c r="E380" s="743"/>
      <c r="O380" s="62" t="s">
        <v>3061</v>
      </c>
      <c r="P380" s="1166" t="s">
        <v>3923</v>
      </c>
      <c r="Q380" s="234"/>
    </row>
    <row r="381" spans="1:31" ht="12" customHeight="1">
      <c r="A381" s="194"/>
      <c r="B381" s="57" t="s">
        <v>1238</v>
      </c>
      <c r="C381" s="65" t="s">
        <v>1242</v>
      </c>
      <c r="D381" s="743"/>
      <c r="E381" s="743"/>
      <c r="O381" s="62" t="s">
        <v>1238</v>
      </c>
      <c r="P381" s="1166" t="s">
        <v>3924</v>
      </c>
      <c r="Q381" s="234"/>
    </row>
    <row r="382" spans="1:31" ht="12" customHeight="1">
      <c r="A382" s="194"/>
      <c r="B382" s="57" t="s">
        <v>3210</v>
      </c>
      <c r="C382" s="65" t="s">
        <v>877</v>
      </c>
      <c r="E382" s="190"/>
      <c r="O382" s="62" t="s">
        <v>3210</v>
      </c>
      <c r="P382" s="1166" t="s">
        <v>3923</v>
      </c>
      <c r="Q382" s="234"/>
    </row>
    <row r="383" spans="1:31" ht="12" customHeight="1">
      <c r="B383" s="57" t="s">
        <v>2762</v>
      </c>
      <c r="C383" s="65" t="s">
        <v>3173</v>
      </c>
      <c r="E383" s="190"/>
      <c r="G383" s="62" t="s">
        <v>2762</v>
      </c>
      <c r="H383" s="1235" t="s">
        <v>1580</v>
      </c>
      <c r="I383" s="1236"/>
      <c r="J383" s="1236"/>
      <c r="K383" s="1236"/>
      <c r="L383" s="1236"/>
      <c r="M383" s="1236"/>
      <c r="N383" s="1236"/>
      <c r="O383" s="1237"/>
      <c r="P383" s="1166"/>
      <c r="Q383" s="234"/>
    </row>
    <row r="384" spans="1:31" ht="11.25" customHeight="1">
      <c r="B384" s="191" t="s">
        <v>2919</v>
      </c>
      <c r="D384" s="191"/>
      <c r="E384" s="191"/>
      <c r="F384" s="191"/>
      <c r="G384" s="191"/>
      <c r="H384" s="50"/>
      <c r="I384" s="179"/>
      <c r="J384" s="179"/>
      <c r="K384" s="179"/>
      <c r="L384" s="737"/>
      <c r="M384" s="737"/>
      <c r="N384" s="737"/>
      <c r="O384" s="737"/>
      <c r="P384" s="737"/>
      <c r="Q384" s="63"/>
    </row>
    <row r="385" spans="1:31" ht="11.45" customHeight="1">
      <c r="A385" s="1159" t="s">
        <v>3976</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5" customHeight="1">
      <c r="A387" s="1014"/>
      <c r="B387" s="1015"/>
      <c r="C387" s="1015"/>
      <c r="D387" s="1015"/>
      <c r="E387" s="1015"/>
      <c r="F387" s="1015"/>
      <c r="G387" s="1015"/>
      <c r="H387" s="1015"/>
      <c r="I387" s="1015"/>
      <c r="J387" s="1015"/>
      <c r="K387" s="1015"/>
      <c r="L387" s="1015"/>
      <c r="M387" s="1015"/>
      <c r="N387" s="1015"/>
      <c r="O387" s="1015"/>
      <c r="P387" s="1015"/>
      <c r="Q387" s="1016"/>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0" t="s">
        <v>3754</v>
      </c>
      <c r="C389" s="1010"/>
      <c r="D389" s="1010"/>
      <c r="E389" s="1010"/>
      <c r="F389" s="1010"/>
      <c r="G389" s="1010"/>
      <c r="H389" s="740"/>
      <c r="I389" s="740"/>
      <c r="J389" s="740"/>
      <c r="K389" s="740"/>
      <c r="L389" s="740"/>
      <c r="M389" s="740"/>
      <c r="O389" s="180" t="s">
        <v>2921</v>
      </c>
      <c r="P389" s="992"/>
      <c r="Q389" s="1011"/>
    </row>
    <row r="390" spans="1:31" ht="23.45" customHeight="1">
      <c r="A390" s="189"/>
      <c r="B390" s="192" t="s">
        <v>3058</v>
      </c>
      <c r="C390" s="994" t="s">
        <v>907</v>
      </c>
      <c r="D390" s="994"/>
      <c r="E390" s="994"/>
      <c r="F390" s="994"/>
      <c r="G390" s="994"/>
      <c r="H390" s="994"/>
      <c r="I390" s="994"/>
      <c r="J390" s="994"/>
      <c r="K390" s="994"/>
      <c r="L390" s="994"/>
      <c r="M390" s="994"/>
      <c r="N390" s="994"/>
      <c r="O390" s="221" t="s">
        <v>3058</v>
      </c>
      <c r="P390" s="1166" t="s">
        <v>3961</v>
      </c>
      <c r="Q390" s="234"/>
    </row>
    <row r="391" spans="1:31" ht="12" customHeight="1">
      <c r="A391" s="189"/>
      <c r="B391" s="57" t="s">
        <v>3061</v>
      </c>
      <c r="C391" s="197" t="s">
        <v>852</v>
      </c>
      <c r="D391" s="740"/>
      <c r="E391" s="740"/>
      <c r="F391" s="740"/>
      <c r="G391" s="740"/>
      <c r="H391" s="740"/>
      <c r="I391" s="740"/>
      <c r="J391" s="740"/>
      <c r="K391" s="740"/>
      <c r="L391" s="740"/>
      <c r="M391" s="740"/>
      <c r="O391" s="62" t="s">
        <v>3061</v>
      </c>
      <c r="P391" s="1166" t="s">
        <v>3924</v>
      </c>
      <c r="Q391" s="234"/>
    </row>
    <row r="392" spans="1:31" ht="11.25" customHeight="1">
      <c r="B392" s="131" t="s">
        <v>2919</v>
      </c>
      <c r="D392" s="131"/>
      <c r="E392" s="131"/>
      <c r="F392" s="131"/>
      <c r="G392" s="131"/>
      <c r="H392" s="50"/>
      <c r="I392" s="179"/>
      <c r="J392" s="179"/>
      <c r="K392" s="187" t="s">
        <v>2920</v>
      </c>
      <c r="L392" s="737"/>
      <c r="M392" s="737"/>
      <c r="N392" s="737"/>
      <c r="O392" s="237"/>
      <c r="P392" s="737"/>
      <c r="Q392" s="63"/>
    </row>
    <row r="393" spans="1:31" ht="11.45" customHeight="1">
      <c r="A393" s="1159" t="s">
        <v>3978</v>
      </c>
      <c r="B393" s="1160"/>
      <c r="C393" s="1160"/>
      <c r="D393" s="1160"/>
      <c r="E393" s="1160"/>
      <c r="F393" s="1160"/>
      <c r="G393" s="1160"/>
      <c r="H393" s="1160"/>
      <c r="I393" s="1160"/>
      <c r="J393" s="1161"/>
      <c r="K393" s="1014"/>
      <c r="L393" s="1015"/>
      <c r="M393" s="1015"/>
      <c r="N393" s="1015"/>
      <c r="O393" s="1015"/>
      <c r="P393" s="1015"/>
      <c r="Q393" s="1016"/>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0" t="s">
        <v>2004</v>
      </c>
      <c r="C395" s="1010"/>
      <c r="D395" s="1010"/>
      <c r="E395" s="1010"/>
      <c r="F395" s="1010"/>
      <c r="G395" s="1010"/>
      <c r="H395" s="740"/>
      <c r="I395" s="740"/>
      <c r="J395" s="740"/>
      <c r="K395" s="740"/>
      <c r="L395" s="740"/>
      <c r="M395" s="740"/>
      <c r="O395" s="180" t="s">
        <v>2921</v>
      </c>
      <c r="P395" s="992"/>
      <c r="Q395" s="1011"/>
    </row>
    <row r="396" spans="1:31" ht="12" customHeight="1">
      <c r="A396" s="52"/>
      <c r="B396" s="57" t="s">
        <v>3058</v>
      </c>
      <c r="C396" s="49" t="s">
        <v>1243</v>
      </c>
      <c r="D396" s="52"/>
      <c r="E396" s="52"/>
      <c r="F396" s="52"/>
      <c r="G396" s="52"/>
      <c r="H396" s="52"/>
      <c r="I396" s="52"/>
      <c r="J396" s="52"/>
      <c r="K396" s="52"/>
      <c r="L396" s="52"/>
      <c r="M396" s="52"/>
      <c r="N396" s="52"/>
      <c r="O396" s="62" t="s">
        <v>3058</v>
      </c>
      <c r="P396" s="1166" t="s">
        <v>3923</v>
      </c>
      <c r="Q396" s="234"/>
    </row>
    <row r="397" spans="1:31" ht="12" customHeight="1">
      <c r="A397" s="52"/>
      <c r="B397" s="57" t="s">
        <v>3061</v>
      </c>
      <c r="C397" s="49" t="s">
        <v>3312</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2765</v>
      </c>
      <c r="P399" s="1166"/>
      <c r="Q399" s="234"/>
    </row>
    <row r="400" spans="1:31" ht="12" customHeight="1">
      <c r="A400" s="52"/>
      <c r="B400" s="57" t="s">
        <v>1238</v>
      </c>
      <c r="C400" s="977" t="s">
        <v>3311</v>
      </c>
      <c r="D400" s="977"/>
      <c r="E400" s="977"/>
      <c r="F400" s="977"/>
      <c r="G400" s="977"/>
      <c r="H400" s="977"/>
      <c r="I400" s="977"/>
      <c r="J400" s="977"/>
      <c r="K400" s="977"/>
      <c r="L400" s="977"/>
      <c r="M400" s="977"/>
      <c r="N400" s="977"/>
      <c r="O400" s="62" t="s">
        <v>1238</v>
      </c>
      <c r="P400" s="1166"/>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2764</v>
      </c>
      <c r="P402" s="1280"/>
      <c r="Q402" s="706" t="s">
        <v>311</v>
      </c>
    </row>
    <row r="403" spans="1:31" ht="12" customHeight="1">
      <c r="A403" s="52"/>
      <c r="B403" s="57"/>
      <c r="C403" s="183" t="s">
        <v>3315</v>
      </c>
      <c r="D403" s="52"/>
      <c r="E403" s="52"/>
      <c r="F403" s="40"/>
      <c r="G403" s="40"/>
      <c r="H403" s="52"/>
      <c r="K403" s="40"/>
      <c r="L403" s="40"/>
      <c r="M403" s="40"/>
      <c r="N403" s="52"/>
      <c r="O403" s="62" t="s">
        <v>2765</v>
      </c>
      <c r="P403" s="1280"/>
      <c r="Q403" s="706"/>
    </row>
    <row r="404" spans="1:31" ht="12" customHeight="1">
      <c r="A404" s="52"/>
      <c r="B404" s="57"/>
      <c r="C404" s="183" t="s">
        <v>3316</v>
      </c>
      <c r="D404" s="52"/>
      <c r="E404" s="52"/>
      <c r="F404" s="40"/>
      <c r="G404" s="40"/>
      <c r="H404" s="52"/>
      <c r="K404" s="40"/>
      <c r="L404" s="40"/>
      <c r="M404" s="40"/>
      <c r="N404" s="52"/>
      <c r="O404" s="62" t="s">
        <v>2766</v>
      </c>
      <c r="P404" s="1280"/>
      <c r="Q404" s="706" t="s">
        <v>311</v>
      </c>
    </row>
    <row r="405" spans="1:31" ht="12" customHeight="1">
      <c r="A405" s="52"/>
      <c r="B405" s="57"/>
      <c r="C405" s="183" t="s">
        <v>3317</v>
      </c>
      <c r="D405" s="52"/>
      <c r="E405" s="52"/>
      <c r="F405" s="40"/>
      <c r="G405" s="40"/>
      <c r="H405" s="52"/>
      <c r="K405" s="40"/>
      <c r="L405" s="40"/>
      <c r="M405" s="40"/>
      <c r="N405" s="52"/>
      <c r="O405" s="62" t="s">
        <v>3569</v>
      </c>
      <c r="P405" s="1280"/>
      <c r="Q405" s="706" t="s">
        <v>311</v>
      </c>
    </row>
    <row r="406" spans="1:31" ht="12" customHeight="1">
      <c r="A406" s="52"/>
      <c r="B406" s="57"/>
      <c r="C406" s="183" t="s">
        <v>3318</v>
      </c>
      <c r="D406" s="52"/>
      <c r="E406" s="52"/>
      <c r="F406" s="40"/>
      <c r="G406" s="40"/>
      <c r="H406" s="52"/>
      <c r="K406" s="40"/>
      <c r="L406" s="40"/>
      <c r="M406" s="40"/>
      <c r="N406" s="52"/>
      <c r="O406" s="62" t="s">
        <v>2303</v>
      </c>
      <c r="P406" s="1280"/>
      <c r="Q406" s="706" t="s">
        <v>311</v>
      </c>
    </row>
    <row r="407" spans="1:31" ht="12" customHeight="1">
      <c r="A407" s="52"/>
      <c r="B407" s="57" t="s">
        <v>2762</v>
      </c>
      <c r="C407" s="40" t="s">
        <v>3612</v>
      </c>
      <c r="D407" s="40"/>
      <c r="E407" s="40"/>
      <c r="F407" s="40"/>
      <c r="G407" s="40"/>
      <c r="J407" s="52"/>
      <c r="K407" s="40"/>
      <c r="L407" s="40"/>
      <c r="M407" s="40"/>
      <c r="N407" s="52"/>
      <c r="O407" s="62" t="s">
        <v>2762</v>
      </c>
      <c r="P407" s="62"/>
      <c r="Q407" s="62"/>
    </row>
    <row r="408" spans="1:31" ht="12" customHeight="1">
      <c r="A408" s="52"/>
      <c r="B408" s="57"/>
      <c r="C408" s="1281" t="s">
        <v>3319</v>
      </c>
      <c r="D408" s="40"/>
      <c r="E408" s="40"/>
      <c r="F408" s="40"/>
      <c r="G408" s="40"/>
      <c r="J408" s="52"/>
      <c r="K408" s="40"/>
      <c r="L408" s="40"/>
      <c r="M408" s="40"/>
      <c r="N408" s="52"/>
      <c r="O408" s="62" t="s">
        <v>2764</v>
      </c>
      <c r="P408" s="1166"/>
      <c r="Q408" s="234"/>
    </row>
    <row r="409" spans="1:31" ht="12" customHeight="1">
      <c r="A409" s="52"/>
      <c r="B409" s="57"/>
      <c r="C409" s="1281" t="s">
        <v>1826</v>
      </c>
      <c r="D409" s="40"/>
      <c r="E409" s="40"/>
      <c r="F409" s="40"/>
      <c r="G409" s="40"/>
      <c r="N409" s="52"/>
      <c r="O409" s="62" t="s">
        <v>2765</v>
      </c>
      <c r="P409" s="1166"/>
      <c r="Q409" s="234"/>
    </row>
    <row r="410" spans="1:31" ht="12" customHeight="1">
      <c r="A410" s="52"/>
      <c r="C410" s="1281" t="s">
        <v>1827</v>
      </c>
      <c r="D410" s="65"/>
      <c r="E410" s="65"/>
      <c r="F410" s="65"/>
      <c r="G410" s="65"/>
      <c r="J410" s="52"/>
      <c r="K410" s="65"/>
      <c r="L410" s="65"/>
      <c r="M410" s="65"/>
      <c r="N410" s="52"/>
      <c r="O410" s="62" t="s">
        <v>2766</v>
      </c>
      <c r="P410" s="1166"/>
      <c r="Q410" s="234"/>
    </row>
    <row r="411" spans="1:31" ht="12" customHeight="1">
      <c r="A411" s="52"/>
      <c r="B411" s="57"/>
      <c r="C411" s="1281" t="s">
        <v>3382</v>
      </c>
      <c r="D411" s="65"/>
      <c r="E411" s="65"/>
      <c r="F411" s="65"/>
      <c r="G411" s="62" t="s">
        <v>3569</v>
      </c>
      <c r="H411" s="1282"/>
      <c r="I411" s="1283"/>
      <c r="J411" s="1283"/>
      <c r="K411" s="1283"/>
      <c r="L411" s="1283"/>
      <c r="M411" s="1283"/>
      <c r="N411" s="1283"/>
      <c r="O411" s="1247"/>
      <c r="P411" s="1166"/>
      <c r="Q411" s="234"/>
    </row>
    <row r="412" spans="1:31" ht="12" customHeight="1">
      <c r="B412" s="191" t="s">
        <v>2919</v>
      </c>
      <c r="D412" s="191"/>
      <c r="E412" s="191"/>
      <c r="F412" s="191"/>
      <c r="G412" s="191"/>
      <c r="H412" s="50"/>
      <c r="I412" s="179"/>
      <c r="J412" s="179"/>
      <c r="K412" s="179"/>
      <c r="L412" s="737"/>
      <c r="M412" s="737"/>
      <c r="N412" s="737"/>
      <c r="O412" s="737"/>
      <c r="P412" s="737"/>
      <c r="Q412" s="63"/>
    </row>
    <row r="413" spans="1:31" ht="12" customHeight="1">
      <c r="A413" s="1152" t="s">
        <v>3977</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999"/>
      <c r="B417" s="1000"/>
      <c r="C417" s="1000"/>
      <c r="D417" s="1000"/>
      <c r="E417" s="1000"/>
      <c r="F417" s="1000"/>
      <c r="G417" s="1000"/>
      <c r="H417" s="1000"/>
      <c r="I417" s="1000"/>
      <c r="J417" s="1000"/>
      <c r="K417" s="1000"/>
      <c r="L417" s="1000"/>
      <c r="M417" s="1000"/>
      <c r="N417" s="1000"/>
      <c r="O417" s="1000"/>
      <c r="P417" s="1000"/>
      <c r="Q417" s="1001"/>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3121</v>
      </c>
      <c r="C420" s="5"/>
      <c r="D420" s="118"/>
      <c r="E420" s="740"/>
      <c r="F420" s="740"/>
      <c r="G420" s="740"/>
      <c r="H420" s="740"/>
      <c r="O420" s="180" t="s">
        <v>2921</v>
      </c>
      <c r="P420" s="992"/>
      <c r="Q420" s="993"/>
    </row>
    <row r="421" spans="1:31" ht="13.15" customHeight="1">
      <c r="B421" s="57" t="s">
        <v>3058</v>
      </c>
      <c r="C421" s="49" t="s">
        <v>887</v>
      </c>
      <c r="D421" s="52"/>
      <c r="E421" s="52"/>
      <c r="F421" s="52"/>
      <c r="G421" s="52"/>
      <c r="H421" s="52"/>
      <c r="I421" s="52"/>
      <c r="J421" s="52"/>
      <c r="K421" s="52"/>
      <c r="L421" s="52"/>
      <c r="M421" s="52"/>
      <c r="O421" s="62" t="s">
        <v>3058</v>
      </c>
      <c r="P421" s="1166" t="s">
        <v>3961</v>
      </c>
      <c r="Q421" s="234"/>
    </row>
    <row r="422" spans="1:31" ht="13.15" customHeight="1">
      <c r="B422" s="57" t="s">
        <v>3061</v>
      </c>
      <c r="C422" s="49" t="s">
        <v>888</v>
      </c>
      <c r="D422" s="52"/>
      <c r="E422" s="52"/>
      <c r="F422" s="52"/>
      <c r="G422" s="52"/>
      <c r="H422" s="52"/>
      <c r="I422" s="52"/>
      <c r="J422" s="52"/>
      <c r="K422" s="52"/>
      <c r="L422" s="52"/>
      <c r="M422" s="52"/>
      <c r="O422" s="62" t="s">
        <v>3061</v>
      </c>
      <c r="P422" s="1166" t="s">
        <v>3961</v>
      </c>
      <c r="Q422" s="234"/>
    </row>
    <row r="423" spans="1:31" ht="24" customHeight="1">
      <c r="B423" s="192" t="s">
        <v>1238</v>
      </c>
      <c r="C423" s="1009" t="s">
        <v>889</v>
      </c>
      <c r="D423" s="1009"/>
      <c r="E423" s="1009"/>
      <c r="F423" s="1009"/>
      <c r="G423" s="1009"/>
      <c r="H423" s="1009"/>
      <c r="I423" s="1009"/>
      <c r="J423" s="1009"/>
      <c r="K423" s="1009"/>
      <c r="L423" s="1009"/>
      <c r="M423" s="1009"/>
      <c r="N423" s="1009"/>
      <c r="O423" s="221" t="s">
        <v>1238</v>
      </c>
      <c r="P423" s="1257" t="s">
        <v>3961</v>
      </c>
      <c r="Q423" s="353"/>
    </row>
    <row r="424" spans="1:31" ht="11.25" customHeight="1">
      <c r="B424" s="191" t="s">
        <v>2919</v>
      </c>
      <c r="D424" s="191"/>
      <c r="E424" s="191"/>
      <c r="F424" s="191"/>
      <c r="G424" s="191"/>
      <c r="H424" s="50"/>
      <c r="I424" s="179"/>
      <c r="J424" s="179"/>
      <c r="K424" s="179"/>
      <c r="L424" s="737"/>
      <c r="M424" s="737"/>
      <c r="N424" s="737"/>
      <c r="O424" s="737"/>
      <c r="P424" s="737"/>
      <c r="Q424" s="63"/>
    </row>
    <row r="425" spans="1:31" ht="11.45" customHeight="1">
      <c r="A425" s="1152" t="s">
        <v>4017</v>
      </c>
      <c r="B425" s="1153"/>
      <c r="C425" s="1153"/>
      <c r="D425" s="1153"/>
      <c r="E425" s="1153"/>
      <c r="F425" s="1153"/>
      <c r="G425" s="1153"/>
      <c r="H425" s="1153"/>
      <c r="I425" s="1153"/>
      <c r="J425" s="1153"/>
      <c r="K425" s="1153"/>
      <c r="L425" s="1153"/>
      <c r="M425" s="1153"/>
      <c r="N425" s="1153"/>
      <c r="O425" s="1153"/>
      <c r="P425" s="1153"/>
      <c r="Q425" s="1154"/>
      <c r="R425" s="1002" t="s">
        <v>1932</v>
      </c>
      <c r="S425" s="1002"/>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02"/>
      <c r="S426" s="1002"/>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02"/>
      <c r="S427" s="1002"/>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999"/>
      <c r="B430" s="1000"/>
      <c r="C430" s="1000"/>
      <c r="D430" s="1000"/>
      <c r="E430" s="1000"/>
      <c r="F430" s="1000"/>
      <c r="G430" s="1000"/>
      <c r="H430" s="1000"/>
      <c r="I430" s="1000"/>
      <c r="J430" s="1000"/>
      <c r="K430" s="1000"/>
      <c r="L430" s="1000"/>
      <c r="M430" s="1000"/>
      <c r="N430" s="1000"/>
      <c r="O430" s="1000"/>
      <c r="P430" s="1000"/>
      <c r="Q430" s="1001"/>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1354</v>
      </c>
      <c r="C433" s="5"/>
      <c r="D433" s="118"/>
      <c r="E433" s="740"/>
      <c r="F433" s="740"/>
      <c r="G433" s="740"/>
      <c r="H433" s="740"/>
      <c r="I433" s="740"/>
      <c r="J433" s="740"/>
      <c r="K433" s="740"/>
      <c r="L433" s="740"/>
      <c r="M433" s="740"/>
      <c r="O433" s="180" t="s">
        <v>2921</v>
      </c>
      <c r="P433" s="992"/>
      <c r="Q433" s="993"/>
    </row>
    <row r="434" spans="1:31" ht="11.25" customHeight="1">
      <c r="A434" s="741"/>
      <c r="B434" s="191" t="s">
        <v>2919</v>
      </c>
      <c r="D434" s="191"/>
      <c r="E434" s="191"/>
      <c r="F434" s="191"/>
      <c r="G434" s="191"/>
      <c r="H434" s="50"/>
      <c r="I434" s="179"/>
      <c r="J434" s="179"/>
      <c r="K434" s="179"/>
      <c r="L434" s="737"/>
      <c r="M434" s="737"/>
      <c r="N434" s="737"/>
      <c r="O434" s="737"/>
      <c r="P434" s="737"/>
      <c r="Q434" s="63"/>
    </row>
    <row r="435" spans="1:31" ht="11.45" customHeight="1">
      <c r="A435" s="1152" t="s">
        <v>4018</v>
      </c>
      <c r="B435" s="1153"/>
      <c r="C435" s="1153"/>
      <c r="D435" s="1153"/>
      <c r="E435" s="1153"/>
      <c r="F435" s="1153"/>
      <c r="G435" s="1153"/>
      <c r="H435" s="1153"/>
      <c r="I435" s="1153"/>
      <c r="J435" s="1153"/>
      <c r="K435" s="1153"/>
      <c r="L435" s="1153"/>
      <c r="M435" s="1153"/>
      <c r="N435" s="1153"/>
      <c r="O435" s="1153"/>
      <c r="P435" s="1153"/>
      <c r="Q435" s="1154"/>
      <c r="R435" s="1002" t="s">
        <v>1932</v>
      </c>
      <c r="S435" s="1002"/>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02"/>
      <c r="S436" s="1002"/>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999"/>
      <c r="B439" s="1000"/>
      <c r="C439" s="1000"/>
      <c r="D439" s="1000"/>
      <c r="E439" s="1000"/>
      <c r="F439" s="1000"/>
      <c r="G439" s="1000"/>
      <c r="H439" s="1000"/>
      <c r="I439" s="1000"/>
      <c r="J439" s="1000"/>
      <c r="K439" s="1000"/>
      <c r="L439" s="1000"/>
      <c r="M439" s="1000"/>
      <c r="N439" s="1000"/>
      <c r="O439" s="1000"/>
      <c r="P439" s="1000"/>
      <c r="Q439" s="1001"/>
    </row>
    <row r="440" spans="1:31" ht="37.15" customHeight="1">
      <c r="A440" s="999"/>
      <c r="B440" s="1000"/>
      <c r="C440" s="1000"/>
      <c r="D440" s="1000"/>
      <c r="E440" s="1000"/>
      <c r="F440" s="1000"/>
      <c r="G440" s="1000"/>
      <c r="H440" s="1000"/>
      <c r="I440" s="1000"/>
      <c r="J440" s="1000"/>
      <c r="K440" s="1000"/>
      <c r="L440" s="1000"/>
      <c r="M440" s="1000"/>
      <c r="N440" s="1000"/>
      <c r="O440" s="1000"/>
      <c r="P440" s="1000"/>
      <c r="Q440" s="1001"/>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84"/>
      <c r="B445" s="1284" t="s">
        <v>1238</v>
      </c>
      <c r="C445" s="1284" t="s">
        <v>795</v>
      </c>
      <c r="D445" s="1284"/>
      <c r="E445" s="1284"/>
      <c r="F445" s="1284"/>
      <c r="G445" s="1284"/>
      <c r="H445" s="1284"/>
      <c r="I445" s="1284"/>
      <c r="J445" s="1284"/>
      <c r="K445" s="1284"/>
      <c r="L445" s="1284"/>
      <c r="M445" s="1284"/>
      <c r="N445" s="1284"/>
      <c r="O445" s="1284" t="s">
        <v>1238</v>
      </c>
      <c r="P445" s="1284"/>
      <c r="Q445" s="1284"/>
    </row>
    <row r="446" spans="1:31" ht="12" customHeight="1">
      <c r="A446" s="1284"/>
      <c r="B446" s="1284"/>
      <c r="C446" s="1284" t="s">
        <v>2764</v>
      </c>
      <c r="D446" s="1284" t="s">
        <v>883</v>
      </c>
      <c r="E446" s="1284"/>
      <c r="F446" s="1284"/>
      <c r="G446" s="1284"/>
      <c r="H446" s="1284"/>
      <c r="I446" s="1284"/>
      <c r="J446" s="1284"/>
      <c r="K446" s="1284"/>
      <c r="L446" s="1284"/>
      <c r="M446" s="1284"/>
      <c r="N446" s="1284"/>
      <c r="O446" s="1284" t="s">
        <v>2764</v>
      </c>
      <c r="P446" s="1284"/>
      <c r="Q446" s="1284"/>
    </row>
    <row r="447" spans="1:31" ht="12" customHeight="1">
      <c r="A447" s="1284"/>
      <c r="B447" s="1284"/>
      <c r="C447" s="1284" t="s">
        <v>2765</v>
      </c>
      <c r="D447" s="1284" t="s">
        <v>0</v>
      </c>
      <c r="E447" s="1284"/>
      <c r="F447" s="1284"/>
      <c r="G447" s="1284"/>
      <c r="H447" s="1284"/>
      <c r="I447" s="1284"/>
      <c r="J447" s="1284"/>
      <c r="K447" s="1284"/>
      <c r="L447" s="1284"/>
      <c r="M447" s="1284"/>
      <c r="N447" s="1284"/>
      <c r="O447" s="1284" t="s">
        <v>2765</v>
      </c>
      <c r="P447" s="1284"/>
      <c r="Q447" s="1284"/>
    </row>
    <row r="448" spans="1:31" ht="12" customHeight="1">
      <c r="A448" s="1284"/>
      <c r="B448" s="1284"/>
      <c r="C448" s="1284" t="s">
        <v>2766</v>
      </c>
      <c r="D448" s="1284" t="s">
        <v>796</v>
      </c>
      <c r="E448" s="1284"/>
      <c r="F448" s="1284"/>
      <c r="G448" s="1284"/>
      <c r="H448" s="1284"/>
      <c r="I448" s="1284"/>
      <c r="J448" s="1284"/>
      <c r="K448" s="1284"/>
      <c r="L448" s="1284"/>
      <c r="M448" s="1284"/>
      <c r="N448" s="1284"/>
      <c r="O448" s="1284" t="s">
        <v>2766</v>
      </c>
      <c r="P448" s="1284"/>
      <c r="Q448" s="1284"/>
    </row>
    <row r="449" spans="1:19" ht="12" customHeight="1">
      <c r="A449" s="1284"/>
      <c r="B449" s="1284"/>
      <c r="C449" s="1284" t="s">
        <v>3569</v>
      </c>
      <c r="D449" s="1284" t="s">
        <v>797</v>
      </c>
      <c r="E449" s="1284"/>
      <c r="F449" s="1284"/>
      <c r="G449" s="1284"/>
      <c r="H449" s="1284"/>
      <c r="I449" s="1284"/>
      <c r="J449" s="1284"/>
      <c r="K449" s="1284"/>
      <c r="L449" s="1284"/>
      <c r="M449" s="1284"/>
      <c r="N449" s="1284"/>
      <c r="O449" s="1284" t="s">
        <v>3569</v>
      </c>
      <c r="P449" s="1284"/>
      <c r="Q449" s="1284"/>
    </row>
    <row r="450" spans="1:19" ht="12" customHeight="1">
      <c r="A450" s="1284"/>
      <c r="B450" s="1284"/>
      <c r="C450" s="1284" t="s">
        <v>2303</v>
      </c>
      <c r="D450" s="1284" t="s">
        <v>798</v>
      </c>
      <c r="E450" s="1284"/>
      <c r="F450" s="1284"/>
      <c r="G450" s="1284"/>
      <c r="H450" s="1284"/>
      <c r="I450" s="1284"/>
      <c r="J450" s="1284"/>
      <c r="K450" s="1284"/>
      <c r="L450" s="1284"/>
      <c r="M450" s="1284"/>
      <c r="N450" s="1284"/>
      <c r="O450" s="1284" t="s">
        <v>2303</v>
      </c>
      <c r="P450" s="1284"/>
      <c r="Q450" s="1284"/>
    </row>
    <row r="451" spans="1:19" ht="12" customHeight="1">
      <c r="A451" s="1284"/>
      <c r="B451" s="1284"/>
      <c r="C451" s="1284" t="s">
        <v>2304</v>
      </c>
      <c r="D451" s="1284" t="s">
        <v>2356</v>
      </c>
      <c r="E451" s="1284"/>
      <c r="F451" s="1284"/>
      <c r="G451" s="1284"/>
      <c r="H451" s="1284"/>
      <c r="I451" s="1284"/>
      <c r="J451" s="1284"/>
      <c r="K451" s="1284"/>
      <c r="L451" s="1284"/>
      <c r="M451" s="1284"/>
      <c r="N451" s="1284"/>
      <c r="O451" s="1284" t="s">
        <v>2304</v>
      </c>
      <c r="P451" s="1284"/>
      <c r="Q451" s="1284"/>
    </row>
    <row r="452" spans="1:19" ht="12" customHeight="1">
      <c r="A452" s="1284"/>
      <c r="B452" s="1284"/>
      <c r="C452" s="1284" t="s">
        <v>112</v>
      </c>
      <c r="D452" s="1284" t="s">
        <v>799</v>
      </c>
      <c r="E452" s="1284"/>
      <c r="F452" s="1284"/>
      <c r="G452" s="1284"/>
      <c r="H452" s="1284"/>
      <c r="I452" s="1284"/>
      <c r="J452" s="1284"/>
      <c r="K452" s="1284"/>
      <c r="L452" s="1284"/>
      <c r="M452" s="1284"/>
      <c r="N452" s="1284"/>
      <c r="O452" s="1284" t="s">
        <v>112</v>
      </c>
      <c r="P452" s="1284"/>
      <c r="Q452" s="1284"/>
    </row>
    <row r="453" spans="1:19" ht="12" customHeight="1">
      <c r="A453" s="1284"/>
      <c r="B453" s="1284"/>
      <c r="C453" s="1284" t="s">
        <v>789</v>
      </c>
      <c r="D453" s="1284" t="s">
        <v>800</v>
      </c>
      <c r="E453" s="1284"/>
      <c r="F453" s="1284"/>
      <c r="G453" s="1284"/>
      <c r="H453" s="1284"/>
      <c r="I453" s="1284"/>
      <c r="J453" s="1284"/>
      <c r="K453" s="1284"/>
      <c r="L453" s="1284"/>
      <c r="M453" s="1284"/>
      <c r="N453" s="1284"/>
      <c r="O453" s="1284" t="s">
        <v>789</v>
      </c>
      <c r="P453" s="1284"/>
      <c r="Q453" s="1284"/>
    </row>
    <row r="454" spans="1:19" ht="12" customHeight="1">
      <c r="A454" s="1284"/>
      <c r="B454" s="1284"/>
      <c r="C454" s="1284" t="s">
        <v>790</v>
      </c>
      <c r="D454" s="1284" t="s">
        <v>2648</v>
      </c>
      <c r="E454" s="1284"/>
      <c r="F454" s="1284"/>
      <c r="G454" s="1284"/>
      <c r="H454" s="1284"/>
      <c r="I454" s="1284"/>
      <c r="J454" s="1284"/>
      <c r="K454" s="1284"/>
      <c r="L454" s="1284"/>
      <c r="M454" s="1284"/>
      <c r="N454" s="1284"/>
      <c r="O454" s="1284" t="s">
        <v>790</v>
      </c>
      <c r="P454" s="1284"/>
      <c r="Q454" s="1284"/>
    </row>
    <row r="455" spans="1:19" ht="12" customHeight="1">
      <c r="A455" s="1284"/>
      <c r="B455" s="1284"/>
      <c r="C455" s="1284" t="s">
        <v>791</v>
      </c>
      <c r="D455" s="1284" t="s">
        <v>2971</v>
      </c>
      <c r="E455" s="1284"/>
      <c r="F455" s="1284"/>
      <c r="G455" s="1284"/>
      <c r="H455" s="1284"/>
      <c r="I455" s="1284"/>
      <c r="J455" s="1284"/>
      <c r="K455" s="1284"/>
      <c r="L455" s="1284"/>
      <c r="M455" s="1284"/>
      <c r="N455" s="1284"/>
      <c r="O455" s="1284" t="s">
        <v>2973</v>
      </c>
      <c r="P455" s="1284"/>
      <c r="Q455" s="1284"/>
    </row>
    <row r="456" spans="1:19" ht="12" customHeight="1">
      <c r="A456" s="1284"/>
      <c r="B456" s="1284"/>
      <c r="C456" s="1284" t="s">
        <v>791</v>
      </c>
      <c r="D456" s="1284" t="s">
        <v>2972</v>
      </c>
      <c r="E456" s="1284"/>
      <c r="F456" s="1284"/>
      <c r="G456" s="1284"/>
      <c r="H456" s="1284"/>
      <c r="I456" s="1284"/>
      <c r="J456" s="1284"/>
      <c r="K456" s="1284"/>
      <c r="L456" s="1284"/>
      <c r="M456" s="1284"/>
      <c r="N456" s="1284"/>
      <c r="O456" s="1284"/>
      <c r="P456" s="1284"/>
      <c r="Q456" s="1284"/>
    </row>
    <row r="457" spans="1:19" ht="12" customHeight="1">
      <c r="A457" s="1284"/>
      <c r="B457" s="1284"/>
      <c r="C457" s="1284" t="s">
        <v>792</v>
      </c>
      <c r="D457" s="1284" t="s">
        <v>2974</v>
      </c>
      <c r="E457" s="1284"/>
      <c r="F457" s="1284"/>
      <c r="G457" s="1284"/>
      <c r="H457" s="1284"/>
      <c r="I457" s="1284"/>
      <c r="J457" s="1284"/>
      <c r="K457" s="1284"/>
      <c r="L457" s="1284"/>
      <c r="M457" s="1284"/>
      <c r="N457" s="1284"/>
      <c r="O457" s="1284" t="s">
        <v>792</v>
      </c>
      <c r="P457" s="1284"/>
      <c r="Q457" s="1284"/>
    </row>
    <row r="458" spans="1:19" ht="12" customHeight="1">
      <c r="A458" s="1284"/>
      <c r="B458" s="1284"/>
      <c r="C458" s="1284" t="s">
        <v>793</v>
      </c>
      <c r="D458" s="1284" t="s">
        <v>2975</v>
      </c>
      <c r="E458" s="1284"/>
      <c r="F458" s="1284"/>
      <c r="G458" s="1284"/>
      <c r="H458" s="1284"/>
      <c r="I458" s="1284"/>
      <c r="J458" s="1284"/>
      <c r="K458" s="1284"/>
      <c r="L458" s="1284"/>
      <c r="M458" s="1284"/>
      <c r="N458" s="1284"/>
      <c r="O458" s="1284" t="s">
        <v>793</v>
      </c>
      <c r="P458" s="1284"/>
      <c r="Q458" s="1284"/>
    </row>
    <row r="459" spans="1:19" ht="12" customHeight="1">
      <c r="A459" s="1284"/>
      <c r="B459" s="1284"/>
      <c r="C459" s="1284" t="s">
        <v>794</v>
      </c>
      <c r="D459" s="1284" t="s">
        <v>2976</v>
      </c>
      <c r="E459" s="1284"/>
      <c r="F459" s="1284"/>
      <c r="G459" s="1284"/>
      <c r="H459" s="1284" t="s">
        <v>2800</v>
      </c>
      <c r="I459" s="1284"/>
      <c r="J459" s="1284"/>
      <c r="K459" s="1284"/>
      <c r="L459" s="1284"/>
      <c r="M459" s="1284"/>
      <c r="N459" s="1284"/>
      <c r="O459" s="1284" t="s">
        <v>794</v>
      </c>
      <c r="P459" s="1284"/>
      <c r="Q459" s="1284"/>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7E" sheet="1" objects="1" scenarios="1" formatColumns="0" formatRows="0"/>
  <mergeCells count="273">
    <mergeCell ref="A425:Q425"/>
    <mergeCell ref="A435:Q435"/>
    <mergeCell ref="A260:Q260"/>
    <mergeCell ref="A272:Q272"/>
    <mergeCell ref="A285:Q285"/>
    <mergeCell ref="A362:Q362"/>
    <mergeCell ref="A385:Q385"/>
    <mergeCell ref="A275:Q275"/>
    <mergeCell ref="P266:Q266"/>
    <mergeCell ref="C268:N268"/>
    <mergeCell ref="C269:N269"/>
    <mergeCell ref="C270:N270"/>
    <mergeCell ref="A305:Q305"/>
    <mergeCell ref="A319:Q319"/>
    <mergeCell ref="A334:Q334"/>
    <mergeCell ref="A349:Q349"/>
    <mergeCell ref="C358:N358"/>
    <mergeCell ref="C346:N346"/>
    <mergeCell ref="A387:Q387"/>
    <mergeCell ref="A376:Q376"/>
    <mergeCell ref="K354:O354"/>
    <mergeCell ref="A372:Q372"/>
    <mergeCell ref="A375:Q375"/>
    <mergeCell ref="P378:Q378"/>
    <mergeCell ref="A325:Q325"/>
    <mergeCell ref="G299:N299"/>
    <mergeCell ref="G297:N297"/>
    <mergeCell ref="C294:N294"/>
    <mergeCell ref="G300:N300"/>
    <mergeCell ref="A338:Q338"/>
    <mergeCell ref="C330:L330"/>
    <mergeCell ref="P327:Q327"/>
    <mergeCell ref="A321:Q321"/>
    <mergeCell ref="A335:Q335"/>
    <mergeCell ref="A323:Q323"/>
    <mergeCell ref="A320:Q320"/>
    <mergeCell ref="D300:F300"/>
    <mergeCell ref="L316:O316"/>
    <mergeCell ref="P45:Q45"/>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8:Q138"/>
    <mergeCell ref="A264:Q264"/>
    <mergeCell ref="A252:Q252"/>
    <mergeCell ref="A263:Q263"/>
    <mergeCell ref="J47:L47"/>
    <mergeCell ref="C53:M53"/>
    <mergeCell ref="A60:Q60"/>
    <mergeCell ref="D218:H218"/>
    <mergeCell ref="M245:O245"/>
    <mergeCell ref="P241:Q241"/>
    <mergeCell ref="P65:Q65"/>
    <mergeCell ref="A63:Q63"/>
    <mergeCell ref="K49:Q49"/>
    <mergeCell ref="L57:P57"/>
    <mergeCell ref="P51:Q51"/>
    <mergeCell ref="A49:J49"/>
    <mergeCell ref="A59:Q59"/>
    <mergeCell ref="M87:P87"/>
    <mergeCell ref="J177:N177"/>
    <mergeCell ref="J176:N176"/>
    <mergeCell ref="A97:Q97"/>
    <mergeCell ref="A133:Q133"/>
    <mergeCell ref="A134:Q134"/>
    <mergeCell ref="A156:Q156"/>
    <mergeCell ref="A169:Q169"/>
    <mergeCell ref="P103:Q103"/>
    <mergeCell ref="A135:Q135"/>
    <mergeCell ref="A147:Q147"/>
    <mergeCell ref="A172:Q172"/>
    <mergeCell ref="K144:O144"/>
    <mergeCell ref="N143:O143"/>
    <mergeCell ref="A173:Q173"/>
    <mergeCell ref="A149:Q149"/>
    <mergeCell ref="A146:Q146"/>
    <mergeCell ref="P162:Q162"/>
    <mergeCell ref="J175:N175"/>
    <mergeCell ref="A206:Q206"/>
    <mergeCell ref="A181:Q181"/>
    <mergeCell ref="D88:N88"/>
    <mergeCell ref="C154:N154"/>
    <mergeCell ref="C176:G176"/>
    <mergeCell ref="P141:Q141"/>
    <mergeCell ref="A98:Q98"/>
    <mergeCell ref="A150:Q150"/>
    <mergeCell ref="A100:Q100"/>
    <mergeCell ref="A139:Q139"/>
    <mergeCell ref="A157:Q157"/>
    <mergeCell ref="A160:Q160"/>
    <mergeCell ref="B162:D162"/>
    <mergeCell ref="A170:Q170"/>
    <mergeCell ref="A192:Q192"/>
    <mergeCell ref="A201:Q201"/>
    <mergeCell ref="A179:Q179"/>
    <mergeCell ref="A190:Q190"/>
    <mergeCell ref="J188:N188"/>
    <mergeCell ref="P152:Q152"/>
    <mergeCell ref="A159:Q159"/>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6:Q16"/>
    <mergeCell ref="A17:Q17"/>
    <mergeCell ref="A18:Q18"/>
    <mergeCell ref="A15:Q15"/>
    <mergeCell ref="R371:S373"/>
    <mergeCell ref="R319:S321"/>
    <mergeCell ref="A308:Q308"/>
    <mergeCell ref="A339:Q339"/>
    <mergeCell ref="A351:Q351"/>
    <mergeCell ref="A13:Q13"/>
    <mergeCell ref="D301:F302"/>
    <mergeCell ref="P278:Q278"/>
    <mergeCell ref="A276:Q276"/>
    <mergeCell ref="C281:N281"/>
    <mergeCell ref="C283:N283"/>
    <mergeCell ref="C279:M279"/>
    <mergeCell ref="A306:Q306"/>
    <mergeCell ref="G301:N301"/>
    <mergeCell ref="G302:N302"/>
    <mergeCell ref="L315:O315"/>
    <mergeCell ref="A324:Q324"/>
    <mergeCell ref="A36:Q36"/>
    <mergeCell ref="A25:Q25"/>
    <mergeCell ref="A40:Q40"/>
    <mergeCell ref="M75:N75"/>
    <mergeCell ref="P83:Q83"/>
    <mergeCell ref="A364:Q364"/>
    <mergeCell ref="R15:S18"/>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H411:O411"/>
    <mergeCell ref="C400:N400"/>
    <mergeCell ref="C390:N390"/>
    <mergeCell ref="P395:Q395"/>
    <mergeCell ref="P367:Q367"/>
    <mergeCell ref="A416:Q416"/>
    <mergeCell ref="P389:Q389"/>
    <mergeCell ref="B395:G395"/>
    <mergeCell ref="K393:Q393"/>
    <mergeCell ref="A413:Q413"/>
    <mergeCell ref="A393:J393"/>
    <mergeCell ref="R435:S436"/>
    <mergeCell ref="A436:Q436"/>
    <mergeCell ref="A414:Q414"/>
    <mergeCell ref="R425:S427"/>
    <mergeCell ref="A426:Q426"/>
    <mergeCell ref="C332:N332"/>
    <mergeCell ref="C329:N329"/>
    <mergeCell ref="P353:Q353"/>
    <mergeCell ref="C343:M343"/>
    <mergeCell ref="A371:Q371"/>
    <mergeCell ref="N367:O367"/>
    <mergeCell ref="C367:L367"/>
    <mergeCell ref="P366:Q366"/>
    <mergeCell ref="H368:O368"/>
    <mergeCell ref="C423:N423"/>
    <mergeCell ref="A429:Q429"/>
    <mergeCell ref="K342:O342"/>
    <mergeCell ref="P341:Q341"/>
    <mergeCell ref="A427:Q427"/>
    <mergeCell ref="P420:Q420"/>
    <mergeCell ref="C359:N359"/>
    <mergeCell ref="H383:O383"/>
    <mergeCell ref="B389:G389"/>
    <mergeCell ref="A418:Q418"/>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A43:Q43"/>
    <mergeCell ref="A35:Q35"/>
    <mergeCell ref="A38:Q38"/>
    <mergeCell ref="A39:Q39"/>
    <mergeCell ref="A42:Q42"/>
    <mergeCell ref="A34:Q34"/>
    <mergeCell ref="J32:N32"/>
    <mergeCell ref="R22:S25"/>
    <mergeCell ref="A23:Q23"/>
    <mergeCell ref="A24:Q24"/>
    <mergeCell ref="A27:Q27"/>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P194:Q194"/>
    <mergeCell ref="A239:Q239"/>
    <mergeCell ref="A250:Q250"/>
    <mergeCell ref="M213:O213"/>
    <mergeCell ref="P255:Q255"/>
    <mergeCell ref="M243:O243"/>
    <mergeCell ref="M212:O212"/>
    <mergeCell ref="M211:O211"/>
    <mergeCell ref="A235:Q235"/>
    <mergeCell ref="P216:Q216"/>
    <mergeCell ref="A249:Q24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71" zoomScaleNormal="90" workbookViewId="0">
      <selection activeCell="A292" sqref="A292:P292"/>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2011-038 Thomson Estates, Thomson, McDuffie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59</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09" t="s">
        <v>3893</v>
      </c>
      <c r="G10" s="40">
        <f>F17</f>
        <v>0</v>
      </c>
      <c r="H10" s="246" t="s">
        <v>321</v>
      </c>
      <c r="M10" s="7">
        <v>7</v>
      </c>
      <c r="N10" s="82" t="s">
        <v>3058</v>
      </c>
      <c r="O10" s="1151"/>
      <c r="P10" s="69"/>
    </row>
    <row r="11" spans="1:19" s="52" customFormat="1" ht="11.25" customHeight="1">
      <c r="A11" s="257" t="s">
        <v>3061</v>
      </c>
      <c r="B11" s="238" t="s">
        <v>1215</v>
      </c>
      <c r="D11" s="58"/>
      <c r="E11" s="58"/>
      <c r="F11" s="709" t="s">
        <v>3893</v>
      </c>
      <c r="G11" s="40">
        <f>K17</f>
        <v>0</v>
      </c>
      <c r="H11" s="246" t="s">
        <v>322</v>
      </c>
      <c r="J11" s="59"/>
      <c r="M11" s="7">
        <v>0</v>
      </c>
      <c r="N11" s="82" t="s">
        <v>3061</v>
      </c>
      <c r="O11" s="1151"/>
      <c r="P11" s="69"/>
      <c r="Q11" s="146"/>
    </row>
    <row r="12" spans="1:19" s="53" customFormat="1" ht="11.25" customHeight="1">
      <c r="A12" s="257" t="s">
        <v>1238</v>
      </c>
      <c r="B12" s="238" t="s">
        <v>3208</v>
      </c>
      <c r="D12" s="58"/>
      <c r="E12" s="58"/>
      <c r="F12" s="709" t="s">
        <v>3893</v>
      </c>
      <c r="G12" s="40">
        <f>P17</f>
        <v>0</v>
      </c>
      <c r="H12" s="246" t="s">
        <v>323</v>
      </c>
      <c r="J12" s="59"/>
      <c r="M12" s="7">
        <v>1</v>
      </c>
      <c r="N12" s="82" t="s">
        <v>1238</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02" t="s">
        <v>1932</v>
      </c>
      <c r="R14" s="1002"/>
    </row>
    <row r="15" spans="1:19" s="52" customFormat="1" ht="12.6" customHeight="1">
      <c r="A15" s="1155"/>
      <c r="B15" s="1156"/>
      <c r="C15" s="1156"/>
      <c r="D15" s="1156"/>
      <c r="E15" s="1156"/>
      <c r="F15" s="1156"/>
      <c r="G15" s="1156"/>
      <c r="H15" s="1156"/>
      <c r="I15" s="1156"/>
      <c r="J15" s="1156"/>
      <c r="K15" s="1156"/>
      <c r="L15" s="1156"/>
      <c r="M15" s="1156"/>
      <c r="N15" s="1156"/>
      <c r="O15" s="1156"/>
      <c r="P15" s="1157"/>
      <c r="Q15" s="1002"/>
      <c r="R15" s="1002"/>
      <c r="S15" s="217"/>
    </row>
    <row r="16" spans="1:19" s="52" customFormat="1" ht="10.9" customHeight="1">
      <c r="A16" s="260" t="s">
        <v>2920</v>
      </c>
      <c r="C16" s="129"/>
      <c r="D16" s="129"/>
      <c r="F16" s="179" t="s">
        <v>2739</v>
      </c>
      <c r="K16" s="179" t="s">
        <v>2739</v>
      </c>
      <c r="P16" s="62" t="s">
        <v>2739</v>
      </c>
      <c r="R16" s="217"/>
      <c r="S16" s="217"/>
    </row>
    <row r="17" spans="1:19" s="52" customFormat="1" ht="12" customHeight="1">
      <c r="A17" s="1064" t="s">
        <v>3637</v>
      </c>
      <c r="B17" s="1064"/>
      <c r="C17" s="1064"/>
      <c r="D17" s="1064"/>
      <c r="E17" s="83" t="s">
        <v>785</v>
      </c>
      <c r="F17" s="96">
        <f>SUM(F18:F29)</f>
        <v>0</v>
      </c>
      <c r="G17" s="1065" t="s">
        <v>3638</v>
      </c>
      <c r="H17" s="1064"/>
      <c r="I17" s="1064"/>
      <c r="J17" s="83" t="s">
        <v>785</v>
      </c>
      <c r="K17" s="96">
        <f>SUM(K18:K29)</f>
        <v>0</v>
      </c>
      <c r="L17" s="746" t="s">
        <v>2247</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1002" t="s">
        <v>1932</v>
      </c>
      <c r="R18" s="1002"/>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1002"/>
      <c r="R19" s="1002"/>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1002"/>
      <c r="R20" s="1002"/>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1002"/>
      <c r="R21" s="1002"/>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6</v>
      </c>
      <c r="L32" s="82" t="s">
        <v>1939</v>
      </c>
      <c r="M32" s="148">
        <f>IF(OR('Part VI-Revenues &amp; Expenses'!$M$61="", 'Part VI-Revenues &amp; Expenses'!$M$61=0),"",J32/'Part VI-Revenues &amp; Expenses'!$M$61)</f>
        <v>0.16216216216216217</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1014"/>
      <c r="B36" s="1015"/>
      <c r="C36" s="1015"/>
      <c r="D36" s="1015"/>
      <c r="E36" s="1015"/>
      <c r="F36" s="1015"/>
      <c r="G36" s="1015"/>
      <c r="H36" s="1015"/>
      <c r="I36" s="1015"/>
      <c r="J36" s="1015"/>
      <c r="K36" s="1015"/>
      <c r="L36" s="1015"/>
      <c r="M36" s="1015"/>
      <c r="N36" s="1015"/>
      <c r="O36" s="1015"/>
      <c r="P36" s="1016"/>
    </row>
    <row r="37" spans="1:18" ht="13.15" customHeight="1"/>
    <row r="38" spans="1:18" s="53" customFormat="1" ht="12.6" customHeight="1">
      <c r="A38" s="210" t="s">
        <v>3821</v>
      </c>
      <c r="B38" s="142" t="s">
        <v>2928</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3058</v>
      </c>
      <c r="B41" s="238" t="s">
        <v>2930</v>
      </c>
      <c r="C41" s="5"/>
      <c r="D41" s="5"/>
      <c r="E41" s="246" t="s">
        <v>2933</v>
      </c>
      <c r="F41" s="461"/>
      <c r="G41" s="246" t="s">
        <v>2929</v>
      </c>
      <c r="I41" s="49"/>
      <c r="K41" s="58"/>
      <c r="L41" s="1158"/>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v>2</v>
      </c>
      <c r="P42" s="89"/>
      <c r="R42" s="573"/>
    </row>
    <row r="43" spans="1:18" s="53" customFormat="1" ht="12.6" customHeight="1">
      <c r="A43" s="189" t="s">
        <v>1238</v>
      </c>
      <c r="B43" s="238" t="s">
        <v>2932</v>
      </c>
      <c r="D43" s="51"/>
      <c r="E43" s="246" t="s">
        <v>624</v>
      </c>
      <c r="F43" s="599"/>
      <c r="G43" s="246" t="s">
        <v>625</v>
      </c>
      <c r="L43" s="1158"/>
      <c r="M43" s="7" t="s">
        <v>1900</v>
      </c>
      <c r="N43" s="252" t="s">
        <v>1238</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4048</v>
      </c>
      <c r="B46" s="1153"/>
      <c r="C46" s="1153"/>
      <c r="D46" s="1153"/>
      <c r="E46" s="1153"/>
      <c r="F46" s="1153"/>
      <c r="G46" s="1153"/>
      <c r="H46" s="1153"/>
      <c r="I46" s="1153"/>
      <c r="J46" s="1153"/>
      <c r="K46" s="1153"/>
      <c r="L46" s="1153"/>
      <c r="M46" s="1153"/>
      <c r="N46" s="1153"/>
      <c r="O46" s="1153"/>
      <c r="P46" s="1154"/>
      <c r="Q46" s="1002" t="s">
        <v>1932</v>
      </c>
      <c r="R46" s="1002"/>
    </row>
    <row r="47" spans="1:18" s="53" customFormat="1" ht="23.45" customHeight="1">
      <c r="A47" s="1163"/>
      <c r="B47" s="1164"/>
      <c r="C47" s="1164"/>
      <c r="D47" s="1164"/>
      <c r="E47" s="1164"/>
      <c r="F47" s="1164"/>
      <c r="G47" s="1164"/>
      <c r="H47" s="1164"/>
      <c r="I47" s="1164"/>
      <c r="J47" s="1164"/>
      <c r="K47" s="1164"/>
      <c r="L47" s="1164"/>
      <c r="M47" s="1164"/>
      <c r="N47" s="1164"/>
      <c r="O47" s="1164"/>
      <c r="P47" s="1165"/>
      <c r="Q47" s="1002"/>
      <c r="R47" s="1002"/>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1002" t="s">
        <v>1932</v>
      </c>
      <c r="R50" s="1002"/>
    </row>
    <row r="51" spans="1:18" s="53" customFormat="1" ht="23.45" customHeight="1">
      <c r="A51" s="999"/>
      <c r="B51" s="1000"/>
      <c r="C51" s="1000"/>
      <c r="D51" s="1000"/>
      <c r="E51" s="1000"/>
      <c r="F51" s="1000"/>
      <c r="G51" s="1000"/>
      <c r="H51" s="1000"/>
      <c r="I51" s="1000"/>
      <c r="J51" s="1000"/>
      <c r="K51" s="1000"/>
      <c r="L51" s="1000"/>
      <c r="M51" s="1000"/>
      <c r="N51" s="1000"/>
      <c r="O51" s="1000"/>
      <c r="P51" s="1001"/>
      <c r="Q51" s="1002"/>
      <c r="R51" s="1002"/>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2939</v>
      </c>
      <c r="I55" s="49"/>
      <c r="J55" s="58"/>
      <c r="K55" s="58"/>
      <c r="M55" s="3">
        <v>2</v>
      </c>
      <c r="N55" s="62"/>
      <c r="O55" s="205">
        <f>MIN($M55,(O56+O57))</f>
        <v>0</v>
      </c>
      <c r="P55" s="205">
        <f>MIN($M55,(P56+P57))</f>
        <v>0</v>
      </c>
      <c r="Q55" s="146" t="s">
        <v>651</v>
      </c>
    </row>
    <row r="56" spans="1:18" s="53" customFormat="1" ht="12" customHeight="1">
      <c r="A56" s="189" t="s">
        <v>3058</v>
      </c>
      <c r="B56" s="238" t="s">
        <v>1709</v>
      </c>
      <c r="C56" s="5"/>
      <c r="D56" s="5"/>
      <c r="E56" s="46"/>
      <c r="F56" s="5"/>
      <c r="G56" s="49"/>
      <c r="I56" s="49"/>
      <c r="K56" s="58"/>
      <c r="L56" s="573" t="str">
        <f>IF(OR($O56=$M56,$O56=0,$O56=""),"","* * Check Score! * *")</f>
        <v/>
      </c>
      <c r="M56" s="3">
        <v>2</v>
      </c>
      <c r="N56" s="252" t="s">
        <v>3058</v>
      </c>
      <c r="O56" s="1162"/>
      <c r="P56" s="89"/>
      <c r="R56" s="573"/>
    </row>
    <row r="57" spans="1:18" s="53" customFormat="1" ht="12.6" customHeight="1">
      <c r="A57" s="189" t="s">
        <v>3061</v>
      </c>
      <c r="B57" s="238" t="s">
        <v>1710</v>
      </c>
      <c r="E57" s="51"/>
      <c r="K57" s="58"/>
      <c r="L57" s="573" t="str">
        <f>IF(OR($O57=$M57,$O57=0,$O57=""),"","* * Check Score! * *")</f>
        <v/>
      </c>
      <c r="M57" s="3">
        <v>1</v>
      </c>
      <c r="N57" s="62" t="s">
        <v>3061</v>
      </c>
      <c r="O57" s="1162"/>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4019</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3702</v>
      </c>
      <c r="D64" s="51"/>
      <c r="E64" s="600" t="s">
        <v>3704</v>
      </c>
      <c r="I64" s="59" t="s">
        <v>2939</v>
      </c>
      <c r="M64" s="3">
        <v>1</v>
      </c>
      <c r="N64" s="616" t="str">
        <f>IF(OR($O64=$M64,$O64=0,$O64=""),"","***")</f>
        <v/>
      </c>
      <c r="O64" s="1162"/>
      <c r="P64" s="89"/>
      <c r="Q64" s="146" t="s">
        <v>651</v>
      </c>
    </row>
    <row r="65" spans="1:17" s="53" customFormat="1" ht="12.6" customHeight="1">
      <c r="A65" s="210"/>
      <c r="B65" s="600" t="s">
        <v>1211</v>
      </c>
      <c r="D65" s="51"/>
      <c r="H65" s="59"/>
      <c r="I65" s="59"/>
      <c r="J65" s="59"/>
      <c r="K65" s="59"/>
      <c r="L65" s="59"/>
      <c r="M65" s="3"/>
      <c r="N65" s="616"/>
      <c r="O65" s="1166"/>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t="s">
        <v>4019</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2090</v>
      </c>
      <c r="I74" s="59" t="s">
        <v>2939</v>
      </c>
      <c r="M74" s="3">
        <v>2</v>
      </c>
      <c r="N74" s="62"/>
      <c r="O74" s="1162"/>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t="s">
        <v>4019</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3979</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2658</v>
      </c>
      <c r="C83" s="1070"/>
      <c r="D83" s="1070"/>
      <c r="E83" s="1070"/>
      <c r="F83" s="1070"/>
      <c r="G83" s="1070"/>
      <c r="H83" s="1070"/>
      <c r="I83" s="1070"/>
      <c r="J83" s="1070"/>
      <c r="K83" s="1070"/>
      <c r="L83" s="1070"/>
      <c r="M83" s="1070"/>
      <c r="N83" s="1"/>
      <c r="O83" s="1174" t="s">
        <v>3924</v>
      </c>
      <c r="P83" s="551"/>
    </row>
    <row r="84" spans="1:18" s="598" customFormat="1" ht="34.9" customHeight="1">
      <c r="B84" s="194" t="s">
        <v>3058</v>
      </c>
      <c r="C84" s="1077" t="s">
        <v>1569</v>
      </c>
      <c r="D84" s="1040"/>
      <c r="E84" s="1040"/>
      <c r="F84" s="1040"/>
      <c r="G84" s="1040"/>
      <c r="H84" s="1040"/>
      <c r="I84" s="1040"/>
      <c r="J84" s="1040"/>
      <c r="K84" s="1040"/>
      <c r="L84" s="1040"/>
      <c r="M84" s="698" t="str">
        <f>IF(AND($I$93="Stable Communities &lt; 10%",O84=""), "X","")</f>
        <v/>
      </c>
      <c r="N84" s="221" t="s">
        <v>3058</v>
      </c>
      <c r="O84" s="1175" t="s">
        <v>3961</v>
      </c>
      <c r="P84" s="703"/>
    </row>
    <row r="85" spans="1:18" s="598" customFormat="1" ht="34.9" customHeight="1">
      <c r="B85" s="194" t="s">
        <v>3061</v>
      </c>
      <c r="C85" s="994" t="s">
        <v>1570</v>
      </c>
      <c r="D85" s="1040"/>
      <c r="E85" s="1040"/>
      <c r="F85" s="1040"/>
      <c r="G85" s="1040"/>
      <c r="H85" s="1040"/>
      <c r="I85" s="1040"/>
      <c r="J85" s="1040"/>
      <c r="K85" s="1040"/>
      <c r="L85" s="1040"/>
      <c r="M85" s="698" t="str">
        <f>IF(AND($I$93="Stable Communities &lt; 10%",O85=""), "X","")</f>
        <v/>
      </c>
      <c r="N85" s="221" t="s">
        <v>3061</v>
      </c>
      <c r="O85" s="1176" t="s">
        <v>3961</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4020</v>
      </c>
      <c r="B87" s="1178"/>
      <c r="C87" s="1178"/>
      <c r="D87" s="1178"/>
      <c r="E87" s="1178"/>
      <c r="F87" s="1178"/>
      <c r="G87" s="1178"/>
      <c r="H87" s="1178"/>
      <c r="I87" s="1178"/>
      <c r="J87" s="1178"/>
      <c r="K87" s="1178"/>
      <c r="L87" s="1178"/>
      <c r="M87" s="1178"/>
      <c r="N87" s="1178"/>
      <c r="O87" s="1178"/>
      <c r="P87" s="1179"/>
    </row>
    <row r="88" spans="1:18" s="53" customFormat="1" ht="22.9" customHeight="1">
      <c r="A88" s="1180" t="s">
        <v>4021</v>
      </c>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061"/>
      <c r="B90" s="1074"/>
      <c r="C90" s="1074"/>
      <c r="D90" s="1074"/>
      <c r="E90" s="1074"/>
      <c r="F90" s="1074"/>
      <c r="G90" s="1074"/>
      <c r="H90" s="1074"/>
      <c r="I90" s="1074"/>
      <c r="J90" s="1074"/>
      <c r="K90" s="1074"/>
      <c r="L90" s="1074"/>
      <c r="M90" s="1074"/>
      <c r="N90" s="1074"/>
      <c r="O90" s="1074"/>
      <c r="P90" s="1075"/>
    </row>
    <row r="91" spans="1:18" s="53" customFormat="1" ht="24.6" customHeight="1">
      <c r="A91" s="1058"/>
      <c r="B91" s="1072"/>
      <c r="C91" s="1072"/>
      <c r="D91" s="1072"/>
      <c r="E91" s="1072"/>
      <c r="F91" s="1072"/>
      <c r="G91" s="1072"/>
      <c r="H91" s="1072"/>
      <c r="I91" s="1072"/>
      <c r="J91" s="1072"/>
      <c r="K91" s="1072"/>
      <c r="L91" s="1072"/>
      <c r="M91" s="1072"/>
      <c r="N91" s="1072"/>
      <c r="O91" s="1072"/>
      <c r="P91" s="1073"/>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3639</v>
      </c>
      <c r="C93" s="126"/>
      <c r="D93" s="74"/>
      <c r="E93" s="74"/>
      <c r="I93" s="1170" t="s">
        <v>3987</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
      </c>
      <c r="B96" s="565" t="s">
        <v>3062</v>
      </c>
      <c r="C96" s="235" t="s">
        <v>867</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t="s">
        <v>2253</v>
      </c>
      <c r="P97" s="354"/>
    </row>
    <row r="98" spans="1:16" ht="11.45" customHeight="1">
      <c r="B98" s="233" t="s">
        <v>3681</v>
      </c>
      <c r="C98" s="585" t="s">
        <v>3622</v>
      </c>
      <c r="E98" s="159"/>
      <c r="G98" s="137" t="s">
        <v>3623</v>
      </c>
      <c r="M98" s="590" t="str">
        <f>IF(AND($I$93="Stable Communities &lt; 10%",O98=""), "X","")</f>
        <v/>
      </c>
      <c r="N98" s="233" t="s">
        <v>3681</v>
      </c>
      <c r="O98" s="1174" t="s">
        <v>2253</v>
      </c>
      <c r="P98" s="551"/>
    </row>
    <row r="99" spans="1:16" ht="11.45" customHeight="1">
      <c r="B99" s="233" t="s">
        <v>3682</v>
      </c>
      <c r="C99" s="585" t="s">
        <v>2190</v>
      </c>
      <c r="E99" s="159"/>
      <c r="M99" s="590" t="str">
        <f>IF(AND($I$93="Stable Communities &lt; 10%",O99=""), "X","")</f>
        <v/>
      </c>
      <c r="N99" s="233" t="s">
        <v>3684</v>
      </c>
      <c r="O99" s="1184" t="s">
        <v>2253</v>
      </c>
      <c r="P99" s="355"/>
    </row>
    <row r="100" spans="1:16" ht="11.45" customHeight="1">
      <c r="A100" s="564" t="str">
        <f>IF($I$93="Stable Communities &lt; 20%", "X","")</f>
        <v/>
      </c>
      <c r="B100" s="565" t="s">
        <v>3064</v>
      </c>
      <c r="C100" s="235" t="s">
        <v>867</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t="s">
        <v>2253</v>
      </c>
      <c r="P101" s="354"/>
    </row>
    <row r="102" spans="1:16" ht="11.45" customHeight="1">
      <c r="B102" s="233" t="s">
        <v>3681</v>
      </c>
      <c r="C102" s="585" t="s">
        <v>3622</v>
      </c>
      <c r="E102" s="159"/>
      <c r="G102" s="137" t="s">
        <v>3623</v>
      </c>
      <c r="M102" s="590" t="str">
        <f>IF(AND($I$93="Stable Communities &lt; 20%",O102=""), "X","")</f>
        <v/>
      </c>
      <c r="N102" s="233" t="s">
        <v>3681</v>
      </c>
      <c r="O102" s="1174" t="s">
        <v>2253</v>
      </c>
      <c r="P102" s="551"/>
    </row>
    <row r="103" spans="1:16" ht="11.45" customHeight="1">
      <c r="B103" s="233" t="s">
        <v>3682</v>
      </c>
      <c r="C103" s="585" t="s">
        <v>2190</v>
      </c>
      <c r="E103" s="159"/>
      <c r="M103" s="590" t="str">
        <f>IF(AND($I$93="Stable Communities &lt; 20%",O103=""), "X","")</f>
        <v/>
      </c>
      <c r="N103" s="233" t="s">
        <v>3684</v>
      </c>
      <c r="O103" s="1184" t="s">
        <v>2253</v>
      </c>
      <c r="P103" s="355"/>
    </row>
    <row r="104" spans="1:16" ht="11.45" customHeight="1">
      <c r="A104" s="189" t="s">
        <v>3061</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913</v>
      </c>
      <c r="D106" s="137"/>
      <c r="M106" s="589" t="str">
        <f>IF(AND($I$93="HOPE VI Initiative",O106=""), "X","")</f>
        <v/>
      </c>
      <c r="N106" s="233" t="s">
        <v>3680</v>
      </c>
      <c r="O106" s="1183" t="s">
        <v>2253</v>
      </c>
      <c r="P106" s="354"/>
    </row>
    <row r="107" spans="1:16" ht="10.9" customHeight="1">
      <c r="B107" s="566" t="s">
        <v>3681</v>
      </c>
      <c r="C107" s="567" t="s">
        <v>914</v>
      </c>
      <c r="M107" s="589" t="str">
        <f>IF(AND($I$93="HOPE VI Initiative",O107=""), "X","")</f>
        <v/>
      </c>
      <c r="N107" s="233" t="s">
        <v>3681</v>
      </c>
      <c r="O107" s="1174" t="s">
        <v>2253</v>
      </c>
      <c r="P107" s="551"/>
    </row>
    <row r="108" spans="1:16" ht="10.9" customHeight="1">
      <c r="B108" s="566" t="s">
        <v>3682</v>
      </c>
      <c r="C108" s="567" t="s">
        <v>915</v>
      </c>
      <c r="M108" s="589" t="str">
        <f>IF(AND($I$93="HOPE VI Initiative",O108=""), "X","")</f>
        <v/>
      </c>
      <c r="N108" s="233" t="s">
        <v>3682</v>
      </c>
      <c r="O108" s="1174" t="s">
        <v>2253</v>
      </c>
      <c r="P108" s="551"/>
    </row>
    <row r="109" spans="1:16" ht="10.9" customHeight="1">
      <c r="B109" s="566" t="s">
        <v>3683</v>
      </c>
      <c r="C109" s="72" t="s">
        <v>916</v>
      </c>
      <c r="M109" s="589" t="str">
        <f>IF(AND($I$93="HOPE VI Initiative",O109=""), "X","")</f>
        <v/>
      </c>
      <c r="N109" s="233" t="s">
        <v>3683</v>
      </c>
      <c r="O109" s="1184" t="s">
        <v>2253</v>
      </c>
      <c r="P109" s="355"/>
    </row>
    <row r="110" spans="1:16" s="53" customFormat="1" ht="11.45" customHeight="1">
      <c r="A110" s="564"/>
      <c r="B110" s="565" t="s">
        <v>3064</v>
      </c>
      <c r="C110" s="153" t="s">
        <v>539</v>
      </c>
      <c r="D110" s="139"/>
      <c r="E110" s="50"/>
      <c r="G110" s="594" t="s">
        <v>920</v>
      </c>
      <c r="M110" s="70"/>
      <c r="N110" s="565" t="s">
        <v>3064</v>
      </c>
      <c r="O110" s="1184" t="s">
        <v>3924</v>
      </c>
      <c r="P110" s="355"/>
    </row>
    <row r="111" spans="1:16" s="53" customFormat="1" ht="11.45" customHeight="1">
      <c r="A111" s="564" t="str">
        <f>IF($I$93="Redevelopment Zone", "X","")</f>
        <v/>
      </c>
      <c r="B111" s="565" t="s">
        <v>3821</v>
      </c>
      <c r="C111" s="153" t="s">
        <v>540</v>
      </c>
      <c r="D111" s="139"/>
      <c r="F111" s="589"/>
      <c r="G111" s="50" t="s">
        <v>1650</v>
      </c>
      <c r="H111" s="1185" t="s">
        <v>4022</v>
      </c>
      <c r="I111" s="161" t="s">
        <v>1562</v>
      </c>
      <c r="J111" s="1186">
        <v>13189950200</v>
      </c>
      <c r="K111" s="1187"/>
      <c r="L111" s="1188"/>
      <c r="M111" s="70"/>
      <c r="N111" s="565" t="s">
        <v>3821</v>
      </c>
      <c r="O111" s="1184" t="s">
        <v>3924</v>
      </c>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t="s">
        <v>2253</v>
      </c>
      <c r="P112" s="355"/>
    </row>
    <row r="113" spans="1:16" ht="11.45" customHeight="1">
      <c r="B113" s="566" t="s">
        <v>3680</v>
      </c>
      <c r="C113" s="50" t="s">
        <v>921</v>
      </c>
      <c r="D113" s="137"/>
      <c r="G113" s="137" t="s">
        <v>919</v>
      </c>
      <c r="H113" s="1192"/>
      <c r="M113" s="589" t="str">
        <f>IF(AND($I$93="Local Redevelopment Plan",O113=""), "X","")</f>
        <v/>
      </c>
      <c r="N113" s="566" t="s">
        <v>3680</v>
      </c>
      <c r="O113" s="1183" t="s">
        <v>2253</v>
      </c>
      <c r="P113" s="354"/>
    </row>
    <row r="114" spans="1:16" ht="10.9" customHeight="1">
      <c r="B114" s="566" t="s">
        <v>3681</v>
      </c>
      <c r="C114" s="567" t="s">
        <v>3709</v>
      </c>
      <c r="D114" s="137"/>
      <c r="M114" s="589"/>
      <c r="N114" s="566" t="s">
        <v>3681</v>
      </c>
      <c r="O114" s="1193" t="s">
        <v>2253</v>
      </c>
      <c r="P114" s="617"/>
    </row>
    <row r="115" spans="1:16" ht="10.9" customHeight="1">
      <c r="B115" s="566" t="s">
        <v>3682</v>
      </c>
      <c r="C115" s="567" t="s">
        <v>3710</v>
      </c>
      <c r="M115" s="589" t="str">
        <f t="shared" ref="M115:M124" si="0">IF(AND($I$93="Local Redevelopment Plan",O115=""), "X","")</f>
        <v/>
      </c>
      <c r="N115" s="566" t="s">
        <v>3682</v>
      </c>
      <c r="O115" s="1174" t="s">
        <v>2253</v>
      </c>
      <c r="P115" s="551"/>
    </row>
    <row r="116" spans="1:16" ht="10.9" customHeight="1">
      <c r="B116" s="566" t="s">
        <v>3683</v>
      </c>
      <c r="C116" s="567" t="s">
        <v>3711</v>
      </c>
      <c r="M116" s="589" t="str">
        <f t="shared" si="0"/>
        <v/>
      </c>
      <c r="N116" s="566" t="s">
        <v>3683</v>
      </c>
      <c r="O116" s="1174" t="s">
        <v>2253</v>
      </c>
      <c r="P116" s="551"/>
    </row>
    <row r="117" spans="1:16" ht="10.9" customHeight="1">
      <c r="B117" s="566" t="s">
        <v>3684</v>
      </c>
      <c r="C117" s="72" t="s">
        <v>3712</v>
      </c>
      <c r="M117" s="589" t="str">
        <f t="shared" si="0"/>
        <v/>
      </c>
      <c r="N117" s="566" t="s">
        <v>3684</v>
      </c>
      <c r="O117" s="1174" t="s">
        <v>2253</v>
      </c>
      <c r="P117" s="551"/>
    </row>
    <row r="118" spans="1:16" ht="10.9" customHeight="1">
      <c r="B118" s="566" t="s">
        <v>3707</v>
      </c>
      <c r="C118" s="567" t="s">
        <v>3713</v>
      </c>
      <c r="D118" s="137"/>
      <c r="M118" s="589" t="str">
        <f t="shared" si="0"/>
        <v/>
      </c>
      <c r="N118" s="566" t="s">
        <v>3707</v>
      </c>
      <c r="O118" s="1174" t="s">
        <v>2253</v>
      </c>
      <c r="P118" s="551"/>
    </row>
    <row r="119" spans="1:16" ht="10.9" customHeight="1">
      <c r="B119" s="566" t="s">
        <v>3708</v>
      </c>
      <c r="C119" s="567" t="s">
        <v>3714</v>
      </c>
      <c r="M119" s="589" t="str">
        <f t="shared" si="0"/>
        <v/>
      </c>
      <c r="N119" s="566" t="s">
        <v>3708</v>
      </c>
      <c r="O119" s="1184" t="s">
        <v>2253</v>
      </c>
      <c r="P119" s="355"/>
    </row>
    <row r="120" spans="1:16" ht="11.45" customHeight="1">
      <c r="A120" s="564" t="str">
        <f>IF($I$93="Stable Communities &lt; 20%", "X","")</f>
        <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t="s">
        <v>2253</v>
      </c>
      <c r="P121" s="354"/>
    </row>
    <row r="122" spans="1:16" ht="10.9" customHeight="1">
      <c r="B122" s="566" t="s">
        <v>3716</v>
      </c>
      <c r="C122" s="72" t="s">
        <v>3720</v>
      </c>
      <c r="M122" s="589" t="str">
        <f t="shared" si="0"/>
        <v/>
      </c>
      <c r="N122" s="566" t="s">
        <v>3716</v>
      </c>
      <c r="O122" s="1174" t="s">
        <v>2253</v>
      </c>
      <c r="P122" s="551"/>
    </row>
    <row r="123" spans="1:16" ht="10.9" customHeight="1">
      <c r="B123" s="566" t="s">
        <v>3717</v>
      </c>
      <c r="C123" s="567" t="s">
        <v>3721</v>
      </c>
      <c r="M123" s="589" t="str">
        <f t="shared" si="0"/>
        <v/>
      </c>
      <c r="N123" s="566" t="s">
        <v>3717</v>
      </c>
      <c r="O123" s="1174" t="s">
        <v>2253</v>
      </c>
      <c r="P123" s="551"/>
    </row>
    <row r="124" spans="1:16" ht="10.9" customHeight="1">
      <c r="B124" s="566" t="s">
        <v>918</v>
      </c>
      <c r="C124" s="72" t="s">
        <v>3722</v>
      </c>
      <c r="M124" s="589" t="str">
        <f t="shared" si="0"/>
        <v/>
      </c>
      <c r="N124" s="566" t="s">
        <v>918</v>
      </c>
      <c r="O124" s="1184" t="s">
        <v>2253</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4023</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5" customHeight="1">
      <c r="A129" s="1061"/>
      <c r="B129" s="1074"/>
      <c r="C129" s="1074"/>
      <c r="D129" s="1074"/>
      <c r="E129" s="1074"/>
      <c r="F129" s="1074"/>
      <c r="G129" s="1074"/>
      <c r="H129" s="1074"/>
      <c r="I129" s="1074"/>
      <c r="J129" s="1074"/>
      <c r="K129" s="1074"/>
      <c r="L129" s="1074"/>
      <c r="M129" s="1074"/>
      <c r="N129" s="1074"/>
      <c r="O129" s="1074"/>
      <c r="P129" s="1075"/>
    </row>
    <row r="130" spans="1:17" s="53" customFormat="1" ht="23.45" customHeight="1">
      <c r="A130" s="1058"/>
      <c r="B130" s="1072"/>
      <c r="C130" s="1072"/>
      <c r="D130" s="1072"/>
      <c r="E130" s="1072"/>
      <c r="F130" s="1072"/>
      <c r="G130" s="1072"/>
      <c r="H130" s="1072"/>
      <c r="I130" s="1072"/>
      <c r="J130" s="1072"/>
      <c r="K130" s="1072"/>
      <c r="L130" s="1072"/>
      <c r="M130" s="1072"/>
      <c r="N130" s="1072"/>
      <c r="O130" s="1072"/>
      <c r="P130" s="1073"/>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7"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4"/>
      <c r="P133" s="696"/>
    </row>
    <row r="134" spans="1:17" s="137" customFormat="1" ht="22.9" customHeight="1">
      <c r="B134" s="596" t="s">
        <v>3062</v>
      </c>
      <c r="C134" s="1067" t="s">
        <v>1564</v>
      </c>
      <c r="D134" s="1040"/>
      <c r="E134" s="1040"/>
      <c r="F134" s="1040"/>
      <c r="G134" s="1040"/>
      <c r="H134" s="1040"/>
      <c r="I134" s="1040"/>
      <c r="J134" s="1040"/>
      <c r="K134" s="1040"/>
      <c r="L134" s="1040"/>
      <c r="M134" s="695"/>
      <c r="N134" s="596" t="s">
        <v>3062</v>
      </c>
      <c r="O134" s="1166"/>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3064</v>
      </c>
      <c r="C136" s="160" t="s">
        <v>1566</v>
      </c>
      <c r="M136" s="8"/>
      <c r="N136" s="252" t="s">
        <v>3064</v>
      </c>
      <c r="O136" s="1183"/>
      <c r="P136" s="354"/>
    </row>
    <row r="137" spans="1:17" s="137" customFormat="1" ht="11.45" customHeight="1">
      <c r="B137" s="252" t="s">
        <v>3821</v>
      </c>
      <c r="C137" s="160" t="s">
        <v>1567</v>
      </c>
      <c r="M137" s="8"/>
      <c r="N137" s="252" t="s">
        <v>3821</v>
      </c>
      <c r="O137" s="1174"/>
      <c r="P137" s="551"/>
    </row>
    <row r="138" spans="1:17" s="137" customFormat="1" ht="11.45" customHeight="1">
      <c r="B138" s="252" t="s">
        <v>1885</v>
      </c>
      <c r="C138" s="160" t="s">
        <v>1568</v>
      </c>
      <c r="M138" s="8"/>
      <c r="N138" s="252" t="s">
        <v>1885</v>
      </c>
      <c r="O138" s="1184"/>
      <c r="P138" s="355"/>
    </row>
    <row r="139" spans="1:17" ht="12" customHeight="1">
      <c r="A139" s="256" t="s">
        <v>2055</v>
      </c>
      <c r="B139" s="737"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734</v>
      </c>
      <c r="M140" s="1166">
        <v>4</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4019</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0"/>
      <c r="G143" s="740"/>
      <c r="H143" s="740"/>
      <c r="I143" s="740"/>
      <c r="J143" s="740"/>
      <c r="K143" s="740"/>
      <c r="L143" s="740"/>
      <c r="M143" s="740"/>
      <c r="N143" s="94"/>
      <c r="O143" s="90"/>
      <c r="P143" s="3"/>
    </row>
    <row r="144" spans="1:17" s="53" customFormat="1" ht="11.45" customHeight="1">
      <c r="A144" s="1014"/>
      <c r="B144" s="1015"/>
      <c r="C144" s="1015"/>
      <c r="D144" s="1015"/>
      <c r="E144" s="1015"/>
      <c r="F144" s="1015"/>
      <c r="G144" s="1015"/>
      <c r="H144" s="1015"/>
      <c r="I144" s="1015"/>
      <c r="J144" s="1015"/>
      <c r="K144" s="1015"/>
      <c r="L144" s="1015"/>
      <c r="M144" s="1015"/>
      <c r="N144" s="1015"/>
      <c r="O144" s="1015"/>
      <c r="P144" s="1016"/>
    </row>
    <row r="145" spans="1:17" ht="8.4499999999999993"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55" t="s">
        <v>3726</v>
      </c>
      <c r="C149" s="1040"/>
      <c r="D149" s="1040"/>
      <c r="E149" s="1040"/>
      <c r="F149" s="1040"/>
      <c r="G149" s="1040"/>
      <c r="H149" s="1040"/>
      <c r="I149" s="1040"/>
      <c r="J149" s="1040"/>
      <c r="K149" s="1040"/>
      <c r="L149" s="1040"/>
      <c r="M149" s="1040"/>
      <c r="N149" s="1040"/>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55" t="s">
        <v>3339</v>
      </c>
      <c r="C152" s="1040"/>
      <c r="D152" s="1040"/>
      <c r="E152" s="1040"/>
      <c r="F152" s="1040"/>
      <c r="G152" s="1040"/>
      <c r="H152" s="1040"/>
      <c r="I152" s="1040"/>
      <c r="J152" s="1040"/>
      <c r="K152" s="1040"/>
      <c r="L152" s="1040"/>
      <c r="M152" s="1040"/>
      <c r="N152" s="1040"/>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2667</v>
      </c>
      <c r="M154" s="589"/>
      <c r="N154" s="566"/>
      <c r="O154" s="566" t="s">
        <v>3708</v>
      </c>
      <c r="P154" s="551"/>
    </row>
    <row r="155" spans="1:17" ht="11.45" customHeight="1">
      <c r="A155" s="566" t="s">
        <v>3715</v>
      </c>
      <c r="B155" s="72" t="s">
        <v>2668</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4049</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999"/>
      <c r="B161" s="1000"/>
      <c r="C161" s="1000"/>
      <c r="D161" s="1000"/>
      <c r="E161" s="1000"/>
      <c r="F161" s="1000"/>
      <c r="G161" s="1000"/>
      <c r="H161" s="1000"/>
      <c r="I161" s="1000"/>
      <c r="J161" s="1000"/>
      <c r="K161" s="1000"/>
      <c r="L161" s="1000"/>
      <c r="M161" s="1000"/>
      <c r="N161" s="1000"/>
      <c r="O161" s="1000"/>
      <c r="P161" s="1001"/>
    </row>
    <row r="162" spans="1:18" s="53" customFormat="1" ht="24" customHeight="1">
      <c r="A162" s="999"/>
      <c r="B162" s="1000"/>
      <c r="C162" s="1000"/>
      <c r="D162" s="1000"/>
      <c r="E162" s="1000"/>
      <c r="F162" s="1000"/>
      <c r="G162" s="1000"/>
      <c r="H162" s="1000"/>
      <c r="I162" s="1000"/>
      <c r="J162" s="1000"/>
      <c r="K162" s="1000"/>
      <c r="L162" s="1000"/>
      <c r="M162" s="1000"/>
      <c r="N162" s="1000"/>
      <c r="O162" s="1000"/>
      <c r="P162" s="1001"/>
    </row>
    <row r="163" spans="1:18" s="53" customFormat="1" ht="24" customHeight="1">
      <c r="A163" s="999"/>
      <c r="B163" s="1000"/>
      <c r="C163" s="1000"/>
      <c r="D163" s="1000"/>
      <c r="E163" s="1000"/>
      <c r="F163" s="1000"/>
      <c r="G163" s="1000"/>
      <c r="H163" s="1000"/>
      <c r="I163" s="1000"/>
      <c r="J163" s="1000"/>
      <c r="K163" s="1000"/>
      <c r="L163" s="1000"/>
      <c r="M163" s="1000"/>
      <c r="N163" s="1000"/>
      <c r="O163" s="1000"/>
      <c r="P163" s="1001"/>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3058</v>
      </c>
      <c r="C167" s="238" t="s">
        <v>3359</v>
      </c>
      <c r="D167" s="76"/>
      <c r="E167" s="76"/>
      <c r="G167" s="31"/>
      <c r="K167" s="62" t="s">
        <v>2215</v>
      </c>
      <c r="L167" s="1166" t="s">
        <v>3924</v>
      </c>
      <c r="M167" s="8">
        <v>1</v>
      </c>
      <c r="N167" s="62" t="s">
        <v>3058</v>
      </c>
      <c r="O167" s="1162">
        <v>1</v>
      </c>
      <c r="P167" s="89"/>
      <c r="Q167" s="146"/>
      <c r="R167" s="573" t="str">
        <f>IF(OR($O167=$M167,$O167=0,$O167=""),"","* * Check Score! * *")</f>
        <v/>
      </c>
    </row>
    <row r="168" spans="1:18" s="53" customFormat="1" ht="12" customHeight="1">
      <c r="B168" s="737" t="s">
        <v>3061</v>
      </c>
      <c r="C168" s="238" t="s">
        <v>3360</v>
      </c>
      <c r="D168" s="72"/>
      <c r="E168" s="40"/>
      <c r="F168" s="72"/>
      <c r="K168" s="65"/>
      <c r="L168" s="573" t="str">
        <f>IF(OR($O168=$M168,$O168=0,$O168=""),"","* * Check Score! * *")</f>
        <v/>
      </c>
      <c r="M168" s="8">
        <v>1</v>
      </c>
      <c r="N168" s="62" t="s">
        <v>3061</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4024</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7" t="s">
        <v>3058</v>
      </c>
      <c r="C176" s="238" t="s">
        <v>2840</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3062</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3064</v>
      </c>
      <c r="C179" s="1068" t="s">
        <v>2900</v>
      </c>
      <c r="D179" s="1068"/>
      <c r="E179" s="1068"/>
      <c r="F179" s="1068"/>
      <c r="G179" s="1068"/>
      <c r="H179" s="1068"/>
      <c r="I179" s="1068"/>
      <c r="J179" s="1068"/>
      <c r="K179" s="1068"/>
      <c r="L179" s="1068"/>
      <c r="M179" s="694">
        <v>1</v>
      </c>
    </row>
    <row r="180" spans="1:18" ht="12" customHeight="1">
      <c r="B180" s="737" t="s">
        <v>3061</v>
      </c>
      <c r="C180" s="238" t="s">
        <v>2669</v>
      </c>
      <c r="D180" s="42"/>
      <c r="E180" s="42"/>
      <c r="F180" s="42"/>
      <c r="G180" s="157"/>
      <c r="H180" s="42"/>
      <c r="I180" s="42"/>
      <c r="J180" s="42"/>
      <c r="K180" s="42"/>
      <c r="L180" s="42"/>
      <c r="M180" s="1">
        <v>6</v>
      </c>
      <c r="N180" s="62" t="s">
        <v>3061</v>
      </c>
      <c r="O180" s="128">
        <f>IF((O181+O182+O183)=7,5,MIN($M180,(O181+O182+O183)))</f>
        <v>0</v>
      </c>
      <c r="P180" s="128">
        <f>IF((P181+P182+P183)=7,5,MIN($M180,(P181+P182+P183)))</f>
        <v>0</v>
      </c>
      <c r="R180" s="573" t="str">
        <f>IF(OR($O180=$M180,$O180=0,$O180=""),"","* * Check Score! * *")</f>
        <v/>
      </c>
    </row>
    <row r="181" spans="1:18" s="137" customFormat="1" ht="11.45" customHeight="1">
      <c r="B181" s="252" t="s">
        <v>3062</v>
      </c>
      <c r="C181" s="160" t="s">
        <v>2671</v>
      </c>
      <c r="L181" s="573"/>
      <c r="M181" s="8">
        <v>6</v>
      </c>
      <c r="N181" s="252" t="s">
        <v>3062</v>
      </c>
      <c r="O181" s="1162"/>
      <c r="P181" s="89"/>
    </row>
    <row r="182" spans="1:18" s="137" customFormat="1" ht="11.45" customHeight="1">
      <c r="B182" s="252" t="s">
        <v>3064</v>
      </c>
      <c r="C182" s="160" t="s">
        <v>2672</v>
      </c>
      <c r="L182" s="573" t="str">
        <f>IF(OR($O182=$M182,$O182=0,$O182=""),"","* * Check Score! * *")</f>
        <v/>
      </c>
      <c r="M182" s="8">
        <v>2</v>
      </c>
      <c r="N182" s="252" t="s">
        <v>3064</v>
      </c>
      <c r="O182" s="1162"/>
      <c r="P182" s="89"/>
    </row>
    <row r="183" spans="1:18" s="137" customFormat="1" ht="11.45" customHeight="1">
      <c r="B183" s="252" t="s">
        <v>3821</v>
      </c>
      <c r="C183" s="160" t="s">
        <v>2670</v>
      </c>
      <c r="L183" s="573" t="str">
        <f>IF(OR($O183=$M183,$O183=0,$O183=""),"","* * Check Score! * *")</f>
        <v/>
      </c>
      <c r="M183" s="8">
        <v>2</v>
      </c>
      <c r="N183" s="252" t="s">
        <v>3821</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4025</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3</v>
      </c>
      <c r="P191" s="96">
        <f>MIN($M191,P193+P192)</f>
        <v>0</v>
      </c>
      <c r="Q191" s="146" t="s">
        <v>651</v>
      </c>
    </row>
    <row r="192" spans="1:18" s="53" customFormat="1" ht="12" customHeight="1">
      <c r="A192" s="189" t="s">
        <v>3058</v>
      </c>
      <c r="B192" s="398" t="s">
        <v>922</v>
      </c>
      <c r="D192" s="42"/>
      <c r="E192" s="42"/>
      <c r="F192" s="42"/>
      <c r="L192" s="573" t="str">
        <f>IF(OR($O192=$M192,$O192=0,$O192=""),"","* * Check Score! * *")</f>
        <v/>
      </c>
      <c r="M192" s="7">
        <v>3</v>
      </c>
      <c r="N192" s="62" t="s">
        <v>3058</v>
      </c>
      <c r="O192" s="1162">
        <v>3</v>
      </c>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4026</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15" customHeight="1">
      <c r="A197" s="1014"/>
      <c r="B197" s="1015"/>
      <c r="C197" s="1015"/>
      <c r="D197" s="1015"/>
      <c r="E197" s="1015"/>
      <c r="F197" s="1015"/>
      <c r="G197" s="1015"/>
      <c r="H197" s="1015"/>
      <c r="I197" s="1015"/>
      <c r="J197" s="1015"/>
      <c r="K197" s="1015"/>
      <c r="L197" s="1015"/>
      <c r="M197" s="1015"/>
      <c r="N197" s="1015"/>
      <c r="O197" s="1015"/>
      <c r="P197" s="1016"/>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2674</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2675</v>
      </c>
      <c r="D201" s="50"/>
      <c r="E201" s="50"/>
      <c r="F201" s="40"/>
      <c r="G201" s="139"/>
      <c r="H201" s="139"/>
      <c r="I201" s="139"/>
      <c r="J201" s="139"/>
      <c r="K201" s="139"/>
      <c r="L201" s="46"/>
      <c r="M201" s="7">
        <v>1</v>
      </c>
      <c r="N201" s="62" t="s">
        <v>3061</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4027</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15" customHeight="1">
      <c r="A205" s="1014"/>
      <c r="B205" s="1015"/>
      <c r="C205" s="1015"/>
      <c r="D205" s="1015"/>
      <c r="E205" s="1015"/>
      <c r="F205" s="1015"/>
      <c r="G205" s="1015"/>
      <c r="H205" s="1015"/>
      <c r="I205" s="1015"/>
      <c r="J205" s="1015"/>
      <c r="K205" s="1015"/>
      <c r="L205" s="1015"/>
      <c r="M205" s="1015"/>
      <c r="N205" s="1015"/>
      <c r="O205" s="1015"/>
      <c r="P205" s="1016"/>
    </row>
    <row r="206" spans="1:18" ht="6.6" customHeight="1"/>
    <row r="207" spans="1:18" s="78" customFormat="1" ht="12.6" customHeight="1">
      <c r="A207" s="210" t="s">
        <v>2676</v>
      </c>
      <c r="B207" s="142" t="s">
        <v>1037</v>
      </c>
      <c r="G207" s="158"/>
      <c r="H207" s="158"/>
      <c r="I207" s="158"/>
      <c r="J207" s="263" t="s">
        <v>3640</v>
      </c>
      <c r="K207" s="158"/>
      <c r="L207" s="573" t="str">
        <f>IF(OR($O207=$M207,$O207=0,$O207=2,$O207=""),"","* * Check Score! * *")</f>
        <v/>
      </c>
      <c r="M207" s="3">
        <v>3</v>
      </c>
      <c r="N207" s="7"/>
      <c r="O207" s="81">
        <f>IF(OR(AND(J209=2,M209=3),AND(J209="",M209=3)),3,IF(AND(J209=3,M209=2),2,0))</f>
        <v>2</v>
      </c>
      <c r="P207" s="89"/>
      <c r="Q207" s="146" t="s">
        <v>651</v>
      </c>
      <c r="R207" s="31"/>
    </row>
    <row r="208" spans="1:18" s="78" customFormat="1" ht="25.15" customHeight="1">
      <c r="A208" s="210"/>
      <c r="B208" s="1071"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t="s">
        <v>3981</v>
      </c>
      <c r="E209" s="1200"/>
      <c r="F209" s="1200"/>
      <c r="G209" s="1201"/>
      <c r="I209" s="702" t="s">
        <v>1572</v>
      </c>
      <c r="J209" s="1166">
        <v>3</v>
      </c>
      <c r="L209" s="702" t="s">
        <v>1573</v>
      </c>
      <c r="M209" s="1166">
        <v>2</v>
      </c>
      <c r="N209" s="64"/>
      <c r="O209" s="64"/>
      <c r="P209" s="64"/>
      <c r="Q209" s="701"/>
      <c r="R209" s="700"/>
    </row>
    <row r="210" spans="1:18" s="53" customFormat="1" ht="13.9" customHeight="1">
      <c r="A210" s="52"/>
      <c r="B210" s="59" t="s">
        <v>333</v>
      </c>
      <c r="C210" s="52"/>
      <c r="D210" s="58"/>
      <c r="E210" s="58"/>
      <c r="F210" s="58"/>
      <c r="G210" s="58"/>
      <c r="H210" s="46"/>
      <c r="I210" s="46"/>
      <c r="J210" s="117" t="s">
        <v>2920</v>
      </c>
      <c r="M210" s="56"/>
      <c r="N210" s="77"/>
      <c r="O210" s="4"/>
      <c r="P210" s="33"/>
    </row>
    <row r="211" spans="1:18" s="53" customFormat="1" ht="25.15" customHeight="1">
      <c r="A211" s="1159" t="s">
        <v>4028</v>
      </c>
      <c r="B211" s="1160"/>
      <c r="C211" s="1160"/>
      <c r="D211" s="1160"/>
      <c r="E211" s="1160"/>
      <c r="F211" s="1160"/>
      <c r="G211" s="1160"/>
      <c r="H211" s="1160"/>
      <c r="I211" s="1161"/>
      <c r="J211" s="1014"/>
      <c r="K211" s="1015"/>
      <c r="L211" s="1015"/>
      <c r="M211" s="1015"/>
      <c r="N211" s="1015"/>
      <c r="O211" s="1015"/>
      <c r="P211" s="1016"/>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2891</v>
      </c>
      <c r="D214" s="139"/>
      <c r="E214" s="1202" t="s">
        <v>3988</v>
      </c>
      <c r="F214" s="1203"/>
      <c r="G214" s="1204"/>
      <c r="H214" s="1205"/>
      <c r="I214" s="64" t="s">
        <v>2890</v>
      </c>
      <c r="O214" s="161" t="s">
        <v>3793</v>
      </c>
      <c r="P214" s="161" t="s">
        <v>3793</v>
      </c>
    </row>
    <row r="215" spans="1:18" s="137" customFormat="1" ht="11.45" customHeight="1">
      <c r="B215" s="566" t="s">
        <v>3680</v>
      </c>
      <c r="C215" s="160" t="s">
        <v>2679</v>
      </c>
      <c r="D215" s="160"/>
      <c r="E215" s="160"/>
      <c r="F215" s="160"/>
      <c r="G215" s="1206" t="s">
        <v>2551</v>
      </c>
      <c r="H215" s="1207"/>
      <c r="I215" s="1208"/>
      <c r="J215" s="1206" t="s">
        <v>2936</v>
      </c>
      <c r="K215" s="1207"/>
      <c r="L215" s="1208"/>
      <c r="N215" s="566" t="s">
        <v>3680</v>
      </c>
      <c r="O215" s="1166" t="s">
        <v>3924</v>
      </c>
      <c r="P215" s="234"/>
    </row>
    <row r="216" spans="1:18" s="137" customFormat="1" ht="11.45" customHeight="1">
      <c r="B216" s="566" t="s">
        <v>3681</v>
      </c>
      <c r="C216" s="160" t="s">
        <v>505</v>
      </c>
      <c r="D216" s="160"/>
      <c r="E216" s="160"/>
      <c r="F216" s="160"/>
      <c r="G216" s="160"/>
      <c r="L216" s="160"/>
      <c r="M216" s="160"/>
      <c r="N216" s="566" t="s">
        <v>3681</v>
      </c>
      <c r="O216" s="1166" t="s">
        <v>3924</v>
      </c>
      <c r="P216" s="234"/>
    </row>
    <row r="217" spans="1:18" s="137" customFormat="1" ht="11.45" customHeight="1">
      <c r="B217" s="566" t="s">
        <v>3682</v>
      </c>
      <c r="C217" s="160" t="s">
        <v>2624</v>
      </c>
      <c r="D217" s="160"/>
      <c r="E217" s="160"/>
      <c r="F217" s="160"/>
      <c r="G217" s="160"/>
      <c r="H217" s="160"/>
      <c r="L217" s="160"/>
      <c r="M217" s="160"/>
      <c r="N217" s="566" t="s">
        <v>3682</v>
      </c>
      <c r="O217" s="1166" t="s">
        <v>3924</v>
      </c>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t="s">
        <v>3924</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4029</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869</v>
      </c>
      <c r="E229" s="120"/>
      <c r="F229" s="65"/>
      <c r="G229" s="65"/>
      <c r="H229" s="65"/>
      <c r="I229" s="65"/>
      <c r="J229" s="67"/>
      <c r="K229" s="75"/>
      <c r="L229" s="71" t="str">
        <f>IF(M229&gt;14,"Over limit!","")</f>
        <v/>
      </c>
      <c r="N229" s="252" t="s">
        <v>3062</v>
      </c>
      <c r="O229" s="1166"/>
      <c r="P229" s="234"/>
    </row>
    <row r="230" spans="1:18" s="137" customFormat="1" ht="12" customHeight="1">
      <c r="B230" s="252" t="s">
        <v>3064</v>
      </c>
      <c r="C230" s="137" t="s">
        <v>870</v>
      </c>
      <c r="N230" s="252" t="s">
        <v>3064</v>
      </c>
      <c r="O230" s="1166"/>
      <c r="P230" s="234"/>
    </row>
    <row r="231" spans="1:18" s="137" customFormat="1" ht="12" customHeight="1">
      <c r="B231" s="252" t="s">
        <v>3821</v>
      </c>
      <c r="C231" s="137" t="s">
        <v>871</v>
      </c>
      <c r="N231" s="252" t="s">
        <v>3821</v>
      </c>
      <c r="O231" s="1166"/>
      <c r="P231" s="234"/>
    </row>
    <row r="232" spans="1:18" s="137" customFormat="1" ht="12" customHeight="1">
      <c r="B232" s="252" t="s">
        <v>1885</v>
      </c>
      <c r="C232" s="137" t="s">
        <v>872</v>
      </c>
      <c r="N232" s="252" t="s">
        <v>1885</v>
      </c>
      <c r="O232" s="1166"/>
      <c r="P232" s="234"/>
    </row>
    <row r="233" spans="1:18" s="137" customFormat="1" ht="12" customHeight="1">
      <c r="B233" s="252" t="s">
        <v>1886</v>
      </c>
      <c r="C233" s="137" t="s">
        <v>884</v>
      </c>
      <c r="N233" s="252" t="s">
        <v>1886</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2216</v>
      </c>
      <c r="H236" s="68" t="s">
        <v>2217</v>
      </c>
      <c r="K236" s="255"/>
      <c r="L236" s="573" t="str">
        <f t="shared" ref="L236:L243" si="1">IF(OR($O236=$M236,$O236=0,$O236=""),"","* * Check Score! * *")</f>
        <v/>
      </c>
      <c r="M236" s="7">
        <v>1</v>
      </c>
      <c r="N236" s="252" t="s">
        <v>3062</v>
      </c>
      <c r="O236" s="1166"/>
      <c r="P236" s="89"/>
      <c r="R236" s="573" t="str">
        <f>IF(OR($O236=$M236,$O236=0,$O236=""),"","* * Check Score! * *")</f>
        <v/>
      </c>
    </row>
    <row r="237" spans="1:18" ht="12" customHeight="1">
      <c r="A237" s="254"/>
      <c r="B237" s="252" t="s">
        <v>3064</v>
      </c>
      <c r="C237" s="46" t="s">
        <v>2220</v>
      </c>
      <c r="H237" s="68" t="s">
        <v>2217</v>
      </c>
      <c r="L237" s="573" t="str">
        <f t="shared" si="1"/>
        <v/>
      </c>
      <c r="M237" s="7">
        <v>1</v>
      </c>
      <c r="N237" s="252" t="s">
        <v>3064</v>
      </c>
      <c r="O237" s="1166"/>
      <c r="P237" s="89"/>
      <c r="R237" s="573" t="str">
        <f t="shared" ref="R237:R243" si="2">IF(OR($O237=$M237,$O237=0,$O237=""),"","* * Check Score! * *")</f>
        <v/>
      </c>
    </row>
    <row r="238" spans="1:18" ht="12" customHeight="1">
      <c r="B238" s="252" t="s">
        <v>3821</v>
      </c>
      <c r="C238" s="46" t="s">
        <v>2224</v>
      </c>
      <c r="H238" s="68" t="s">
        <v>2217</v>
      </c>
      <c r="L238" s="573" t="str">
        <f>IF(OR($O238=$M238,$O238=0,$O238=""),"","* * Check Score! * *")</f>
        <v/>
      </c>
      <c r="M238" s="7">
        <v>1</v>
      </c>
      <c r="N238" s="252" t="s">
        <v>3821</v>
      </c>
      <c r="O238" s="1166"/>
      <c r="P238" s="89"/>
      <c r="R238" s="573" t="str">
        <f>IF(OR($O238=$M238,$O238=0,$O238=""),"","* * Check Score! * *")</f>
        <v/>
      </c>
    </row>
    <row r="239" spans="1:18" ht="12" customHeight="1">
      <c r="A239" s="254"/>
      <c r="B239" s="252" t="s">
        <v>1885</v>
      </c>
      <c r="C239" s="46" t="s">
        <v>873</v>
      </c>
      <c r="L239" s="573" t="str">
        <f t="shared" si="1"/>
        <v/>
      </c>
      <c r="M239" s="7">
        <v>1</v>
      </c>
      <c r="N239" s="252" t="s">
        <v>1885</v>
      </c>
      <c r="O239" s="1166"/>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2941</v>
      </c>
      <c r="C241" s="46" t="s">
        <v>2222</v>
      </c>
      <c r="H241" s="68" t="s">
        <v>2218</v>
      </c>
      <c r="L241" s="573" t="str">
        <f t="shared" si="1"/>
        <v/>
      </c>
      <c r="M241" s="7">
        <v>2</v>
      </c>
      <c r="N241" s="252" t="s">
        <v>2941</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c r="P247" s="89"/>
      <c r="R247" s="573" t="str">
        <f>IF(OR($O247=$M247,$O247=0,$O247=""),"","* * Check Score! * *")</f>
        <v/>
      </c>
    </row>
    <row r="248" spans="1:18" s="53" customFormat="1" ht="12.6" customHeight="1">
      <c r="A248" s="253"/>
      <c r="B248" s="252" t="s">
        <v>3062</v>
      </c>
      <c r="C248" s="46" t="s">
        <v>983</v>
      </c>
      <c r="E248" s="1209"/>
      <c r="F248" s="1210"/>
      <c r="G248" s="1210"/>
      <c r="H248" s="1211"/>
      <c r="K248" s="255"/>
      <c r="M248" s="7"/>
      <c r="N248" s="7"/>
      <c r="O248" s="7"/>
      <c r="P248" s="7"/>
    </row>
    <row r="249" spans="1:18" ht="33" customHeight="1">
      <c r="A249" s="254"/>
      <c r="B249" s="596" t="s">
        <v>3064</v>
      </c>
      <c r="C249" s="597" t="s">
        <v>3559</v>
      </c>
      <c r="D249" s="598"/>
      <c r="E249" s="1212"/>
      <c r="F249" s="1213"/>
      <c r="G249" s="1213"/>
      <c r="H249" s="1213"/>
      <c r="I249" s="1213"/>
      <c r="J249" s="1213"/>
      <c r="K249" s="1213"/>
      <c r="L249" s="1213"/>
      <c r="M249" s="1213"/>
      <c r="N249" s="1213"/>
      <c r="O249" s="1213"/>
      <c r="P249" s="1214"/>
    </row>
    <row r="250" spans="1:18" ht="12.6" customHeight="1">
      <c r="B250" s="252" t="s">
        <v>3821</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t="s">
        <v>4030</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c r="P260" s="234"/>
    </row>
    <row r="261" spans="1:18" s="53" customFormat="1" ht="24.6" customHeight="1">
      <c r="A261" s="52"/>
      <c r="B261" s="1069" t="s">
        <v>3916</v>
      </c>
      <c r="C261" s="1070"/>
      <c r="D261" s="1070"/>
      <c r="E261" s="1070"/>
      <c r="F261" s="1070"/>
      <c r="G261" s="1070"/>
      <c r="H261" s="1070"/>
      <c r="I261" s="1070"/>
      <c r="J261" s="1070"/>
      <c r="K261" s="1070"/>
      <c r="L261" s="1070"/>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999"/>
      <c r="B267" s="1000"/>
      <c r="C267" s="1000"/>
      <c r="D267" s="1000"/>
      <c r="E267" s="1000"/>
      <c r="F267" s="1000"/>
      <c r="G267" s="1000"/>
      <c r="H267" s="1000"/>
      <c r="I267" s="1000"/>
      <c r="J267" s="1000"/>
      <c r="K267" s="1000"/>
      <c r="L267" s="1000"/>
      <c r="M267" s="1000"/>
      <c r="N267" s="1000"/>
      <c r="O267" s="1000"/>
      <c r="P267" s="1001"/>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2687</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2688</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66" t="s">
        <v>3517</v>
      </c>
      <c r="C273" s="1067"/>
      <c r="D273" s="1067"/>
      <c r="E273" s="1067"/>
      <c r="F273" s="1067"/>
      <c r="G273" s="1067"/>
      <c r="H273" s="1067"/>
      <c r="I273" s="1067"/>
      <c r="J273" s="1067"/>
      <c r="K273" s="1067"/>
      <c r="L273" s="1067"/>
      <c r="M273" s="1067"/>
      <c r="N273" s="62"/>
      <c r="O273" s="1166" t="s">
        <v>3961</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t="s">
        <v>4031</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1014"/>
      <c r="B277" s="1015"/>
      <c r="C277" s="1015"/>
      <c r="D277" s="1015"/>
      <c r="E277" s="1015"/>
      <c r="F277" s="1015"/>
      <c r="G277" s="1015"/>
      <c r="H277" s="1015"/>
      <c r="I277" s="1015"/>
      <c r="J277" s="1015"/>
      <c r="K277" s="1015"/>
      <c r="L277" s="1015"/>
      <c r="M277" s="1015"/>
      <c r="N277" s="1015"/>
      <c r="O277" s="1015"/>
      <c r="P277" s="1016"/>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3835</v>
      </c>
      <c r="M281" s="52"/>
      <c r="N281" s="52"/>
      <c r="O281" s="1166" t="s">
        <v>3923</v>
      </c>
      <c r="P281" s="234"/>
    </row>
    <row r="282" spans="1:18" s="45" customFormat="1" ht="3" customHeight="1">
      <c r="M282" s="52"/>
      <c r="N282" s="52"/>
      <c r="O282" s="52"/>
      <c r="P282" s="52"/>
    </row>
    <row r="283" spans="1:18" ht="12.6" customHeight="1">
      <c r="B283" s="258" t="s">
        <v>3058</v>
      </c>
      <c r="C283" s="256" t="s">
        <v>2160</v>
      </c>
      <c r="D283" s="42"/>
      <c r="E283" s="42"/>
      <c r="F283" s="42"/>
      <c r="G283" s="42"/>
      <c r="H283" s="42"/>
      <c r="I283" s="42"/>
      <c r="J283" s="42"/>
      <c r="K283" s="42"/>
      <c r="L283" s="42"/>
      <c r="M283" s="156"/>
      <c r="N283" s="62" t="s">
        <v>3058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1166" t="s">
        <v>3980</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4032</v>
      </c>
      <c r="B288" s="1153"/>
      <c r="C288" s="1153"/>
      <c r="D288" s="1153"/>
      <c r="E288" s="1153"/>
      <c r="F288" s="1153"/>
      <c r="G288" s="1153"/>
      <c r="H288" s="1153"/>
      <c r="I288" s="1153"/>
      <c r="J288" s="1153"/>
      <c r="K288" s="1153"/>
      <c r="L288" s="1153"/>
      <c r="M288" s="1153"/>
      <c r="N288" s="1153"/>
      <c r="O288" s="1153"/>
      <c r="P288" s="1154"/>
      <c r="Q288" s="1002" t="s">
        <v>1932</v>
      </c>
      <c r="R288" s="1002"/>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1002" t="s">
        <v>1932</v>
      </c>
      <c r="R291" s="1002"/>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59</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3183</v>
      </c>
      <c r="D301" s="166"/>
      <c r="E301" s="166"/>
      <c r="F301" s="166"/>
      <c r="G301" s="166"/>
      <c r="H301" s="166"/>
      <c r="I301" s="166"/>
      <c r="J301" s="166" t="s">
        <v>2800</v>
      </c>
      <c r="K301" s="166"/>
      <c r="L301" s="166"/>
      <c r="M301" s="155"/>
      <c r="Q301" s="155"/>
      <c r="R301" s="155"/>
      <c r="S301" s="155"/>
    </row>
    <row r="302" spans="1:19" ht="15">
      <c r="A302" s="155"/>
      <c r="B302" s="155"/>
      <c r="C302" s="113" t="s">
        <v>3841</v>
      </c>
      <c r="D302" s="113"/>
      <c r="E302" s="113"/>
      <c r="F302" s="113"/>
      <c r="G302" s="113"/>
      <c r="H302" s="113"/>
      <c r="I302" s="113"/>
      <c r="J302" s="358" t="s">
        <v>294</v>
      </c>
      <c r="K302" s="209"/>
      <c r="L302" s="166"/>
      <c r="M302" s="250"/>
      <c r="N302" s="251"/>
      <c r="Q302" s="155"/>
      <c r="R302" s="155"/>
      <c r="S302" s="155"/>
    </row>
    <row r="303" spans="1:19" ht="15">
      <c r="A303" s="155"/>
      <c r="B303" s="155"/>
      <c r="C303" s="113" t="s">
        <v>3184</v>
      </c>
      <c r="D303" s="113"/>
      <c r="E303" s="113"/>
      <c r="F303" s="113"/>
      <c r="G303" s="113"/>
      <c r="H303" s="113"/>
      <c r="I303" s="113"/>
      <c r="J303" s="358" t="s">
        <v>2636</v>
      </c>
      <c r="K303" s="209"/>
      <c r="L303" s="166"/>
      <c r="M303" s="250"/>
      <c r="N303" s="251"/>
      <c r="Q303" s="155"/>
      <c r="R303" s="155"/>
      <c r="S303" s="155"/>
    </row>
    <row r="304" spans="1:19" ht="15">
      <c r="A304" s="155"/>
      <c r="B304" s="155"/>
      <c r="C304" s="113" t="s">
        <v>3185</v>
      </c>
      <c r="D304" s="113"/>
      <c r="E304" s="113"/>
      <c r="F304" s="113"/>
      <c r="G304" s="113"/>
      <c r="H304" s="113"/>
      <c r="I304" s="113"/>
      <c r="J304" s="358" t="s">
        <v>2637</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3228</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3223</v>
      </c>
      <c r="D314" s="113"/>
      <c r="E314" s="113"/>
      <c r="F314" s="113"/>
      <c r="G314" s="113"/>
      <c r="H314" s="113"/>
      <c r="I314" s="113"/>
      <c r="J314" s="358" t="s">
        <v>2645</v>
      </c>
      <c r="K314" s="209"/>
      <c r="L314" s="166"/>
      <c r="M314" s="250"/>
      <c r="N314" s="251"/>
      <c r="Q314" s="155"/>
      <c r="R314" s="155"/>
      <c r="S314" s="155"/>
    </row>
    <row r="315" spans="1:19" ht="15">
      <c r="A315" s="155"/>
      <c r="B315" s="155"/>
      <c r="C315" s="360" t="s">
        <v>3224</v>
      </c>
      <c r="D315" s="113"/>
      <c r="E315" s="113"/>
      <c r="F315" s="113"/>
      <c r="G315" s="113"/>
      <c r="H315" s="113"/>
      <c r="I315" s="113"/>
      <c r="J315" s="358" t="s">
        <v>2646</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3807</v>
      </c>
      <c r="H324" s="673" t="s">
        <v>3808</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3165</v>
      </c>
      <c r="H326" s="674" t="s">
        <v>2033</v>
      </c>
      <c r="I326" s="674" t="s">
        <v>2030</v>
      </c>
      <c r="J326" s="166"/>
      <c r="K326" s="166"/>
      <c r="L326" s="166"/>
      <c r="M326" s="250"/>
      <c r="N326" s="251"/>
    </row>
    <row r="327" spans="1:19">
      <c r="A327" s="155"/>
      <c r="B327" s="155"/>
      <c r="C327" s="166"/>
      <c r="D327" s="166"/>
      <c r="E327" s="166"/>
      <c r="F327" s="166"/>
      <c r="G327" s="673" t="s">
        <v>2546</v>
      </c>
      <c r="H327" s="674" t="s">
        <v>3828</v>
      </c>
      <c r="I327" s="674" t="s">
        <v>2033</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2033</v>
      </c>
      <c r="H329" s="674" t="s">
        <v>2998</v>
      </c>
      <c r="I329" s="674" t="s">
        <v>3761</v>
      </c>
      <c r="J329" s="166"/>
      <c r="K329" s="166"/>
      <c r="L329" s="166"/>
      <c r="M329" s="250"/>
      <c r="N329" s="251"/>
    </row>
    <row r="330" spans="1:19">
      <c r="A330" s="155"/>
      <c r="B330" s="155"/>
      <c r="C330" s="166"/>
      <c r="D330" s="166"/>
      <c r="E330" s="166"/>
      <c r="F330" s="166"/>
      <c r="G330" s="673" t="s">
        <v>2251</v>
      </c>
      <c r="H330" s="674" t="s">
        <v>3410</v>
      </c>
      <c r="I330" s="674" t="s">
        <v>3763</v>
      </c>
      <c r="J330" s="166"/>
      <c r="K330" s="166"/>
      <c r="L330" s="166"/>
      <c r="M330" s="250"/>
      <c r="N330" s="251"/>
    </row>
    <row r="331" spans="1:19">
      <c r="A331" s="155"/>
      <c r="B331" s="155"/>
      <c r="C331" s="166"/>
      <c r="D331" s="166"/>
      <c r="E331" s="166"/>
      <c r="F331" s="166"/>
      <c r="G331" s="673" t="s">
        <v>1642</v>
      </c>
      <c r="H331" s="674" t="s">
        <v>3830</v>
      </c>
      <c r="I331" s="674" t="s">
        <v>3816</v>
      </c>
      <c r="J331" s="166"/>
      <c r="K331" s="166"/>
      <c r="L331" s="166"/>
      <c r="M331" s="250"/>
      <c r="N331" s="251"/>
    </row>
    <row r="332" spans="1:19">
      <c r="A332" s="155"/>
      <c r="B332" s="155"/>
      <c r="C332" s="166"/>
      <c r="D332" s="166"/>
      <c r="E332" s="166"/>
      <c r="F332" s="166"/>
      <c r="G332" s="673" t="s">
        <v>3763</v>
      </c>
      <c r="H332" s="674" t="s">
        <v>1003</v>
      </c>
      <c r="I332" s="674" t="s">
        <v>254</v>
      </c>
      <c r="J332" s="166"/>
      <c r="K332" s="166"/>
      <c r="L332" s="166"/>
      <c r="M332" s="250"/>
      <c r="N332" s="251"/>
    </row>
    <row r="333" spans="1:19">
      <c r="A333" s="155"/>
      <c r="B333" s="155"/>
      <c r="C333" s="166"/>
      <c r="D333" s="166"/>
      <c r="E333" s="166"/>
      <c r="F333" s="166"/>
      <c r="G333" s="673" t="s">
        <v>3152</v>
      </c>
      <c r="H333" s="674" t="s">
        <v>2633</v>
      </c>
      <c r="I333" s="674" t="s">
        <v>1549</v>
      </c>
      <c r="J333" s="166"/>
      <c r="K333" s="166"/>
      <c r="L333" s="166"/>
      <c r="M333" s="250"/>
      <c r="N333" s="251"/>
    </row>
    <row r="334" spans="1:19" ht="25.5">
      <c r="A334" s="155"/>
      <c r="B334" s="155"/>
      <c r="C334" s="166"/>
      <c r="D334" s="166"/>
      <c r="E334" s="166"/>
      <c r="F334" s="166"/>
      <c r="G334" s="673" t="s">
        <v>934</v>
      </c>
      <c r="H334" s="674" t="s">
        <v>3831</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3398</v>
      </c>
      <c r="I336" s="674" t="s">
        <v>1469</v>
      </c>
      <c r="J336" s="166"/>
      <c r="K336" s="166"/>
      <c r="L336" s="166"/>
      <c r="M336" s="250"/>
      <c r="N336" s="251"/>
    </row>
    <row r="337" spans="1:14">
      <c r="A337" s="155"/>
      <c r="B337" s="155"/>
      <c r="C337" s="166"/>
      <c r="D337" s="166"/>
      <c r="E337" s="166"/>
      <c r="F337" s="166"/>
      <c r="G337" s="673" t="s">
        <v>669</v>
      </c>
      <c r="H337" s="674" t="s">
        <v>2951</v>
      </c>
      <c r="I337" s="674" t="s">
        <v>1008</v>
      </c>
      <c r="J337" s="166"/>
      <c r="K337" s="166"/>
      <c r="L337" s="166"/>
      <c r="M337" s="250"/>
      <c r="N337" s="251"/>
    </row>
    <row r="338" spans="1:14" ht="51">
      <c r="A338" s="155"/>
      <c r="B338" s="155"/>
      <c r="C338" s="166"/>
      <c r="D338" s="166"/>
      <c r="E338" s="166"/>
      <c r="F338" s="166"/>
      <c r="G338" s="673" t="s">
        <v>298</v>
      </c>
      <c r="H338" s="674" t="s">
        <v>3834</v>
      </c>
      <c r="I338" s="674" t="s">
        <v>1013</v>
      </c>
      <c r="J338" s="166"/>
      <c r="K338" s="166"/>
      <c r="L338" s="166"/>
      <c r="M338" s="250"/>
      <c r="N338" s="251"/>
    </row>
    <row r="339" spans="1:14" ht="25.5">
      <c r="A339" s="155"/>
      <c r="B339" s="155"/>
      <c r="C339" s="166"/>
      <c r="D339" s="166"/>
      <c r="E339" s="166"/>
      <c r="F339" s="166"/>
      <c r="G339" s="673" t="s">
        <v>2548</v>
      </c>
      <c r="H339" s="674" t="s">
        <v>3827</v>
      </c>
      <c r="I339" s="674" t="s">
        <v>407</v>
      </c>
      <c r="J339" s="166"/>
      <c r="K339" s="166"/>
      <c r="L339" s="166"/>
      <c r="M339" s="250"/>
      <c r="N339" s="251"/>
    </row>
    <row r="340" spans="1:14" ht="25.5">
      <c r="A340" s="155"/>
      <c r="B340" s="155"/>
      <c r="C340" s="166"/>
      <c r="D340" s="166"/>
      <c r="E340" s="166"/>
      <c r="F340" s="166"/>
      <c r="G340" s="673" t="s">
        <v>881</v>
      </c>
      <c r="H340" s="674" t="s">
        <v>3832</v>
      </c>
      <c r="I340" s="674" t="s">
        <v>416</v>
      </c>
      <c r="J340" s="166"/>
      <c r="K340" s="166"/>
      <c r="L340" s="166"/>
      <c r="M340" s="250"/>
      <c r="N340" s="251"/>
    </row>
    <row r="341" spans="1:14">
      <c r="A341" s="155"/>
      <c r="B341" s="155"/>
      <c r="C341" s="166"/>
      <c r="D341" s="166"/>
      <c r="E341" s="166"/>
      <c r="F341" s="166"/>
      <c r="G341" s="673" t="s">
        <v>2549</v>
      </c>
      <c r="H341" s="674" t="s">
        <v>3833</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3189</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3387</v>
      </c>
      <c r="H349" s="674"/>
      <c r="I349" s="674" t="s">
        <v>2540</v>
      </c>
      <c r="J349" s="166"/>
      <c r="K349" s="166"/>
      <c r="L349" s="166"/>
      <c r="M349" s="250"/>
      <c r="N349" s="251"/>
    </row>
    <row r="350" spans="1:14">
      <c r="A350" s="155"/>
      <c r="B350" s="155"/>
      <c r="C350" s="166"/>
      <c r="D350" s="166"/>
      <c r="E350" s="166"/>
      <c r="F350" s="166"/>
      <c r="G350" s="673" t="s">
        <v>3389</v>
      </c>
      <c r="H350" s="674"/>
      <c r="I350" s="674" t="s">
        <v>1742</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2551</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2297</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7E" sheet="1" objects="1" scenarios="1" formatColumns="0" formatRows="0"/>
  <mergeCells count="140">
    <mergeCell ref="A126:P126"/>
    <mergeCell ref="A172:P172"/>
    <mergeCell ref="A188:P188"/>
    <mergeCell ref="A189:P189"/>
    <mergeCell ref="A197:P197"/>
    <mergeCell ref="A61:P61"/>
    <mergeCell ref="A90:P90"/>
    <mergeCell ref="H112:L112"/>
    <mergeCell ref="J111:L111"/>
    <mergeCell ref="I82:L82"/>
    <mergeCell ref="A91:P91"/>
    <mergeCell ref="A71:P71"/>
    <mergeCell ref="I75:L75"/>
    <mergeCell ref="I66:L66"/>
    <mergeCell ref="A80:P80"/>
    <mergeCell ref="A79:P79"/>
    <mergeCell ref="A72:P72"/>
    <mergeCell ref="A77:P77"/>
    <mergeCell ref="A87:P87"/>
    <mergeCell ref="A88:P88"/>
    <mergeCell ref="A94:P94"/>
    <mergeCell ref="B83:M83"/>
    <mergeCell ref="C85:L85"/>
    <mergeCell ref="C84:L84"/>
    <mergeCell ref="A127:P127"/>
    <mergeCell ref="A164:P164"/>
    <mergeCell ref="A158:P158"/>
    <mergeCell ref="A130:P130"/>
    <mergeCell ref="A129:P129"/>
    <mergeCell ref="A186:P186"/>
    <mergeCell ref="K135:M135"/>
    <mergeCell ref="C134:L134"/>
    <mergeCell ref="A157:P157"/>
    <mergeCell ref="A170:P170"/>
    <mergeCell ref="A185:P185"/>
    <mergeCell ref="A160:P160"/>
    <mergeCell ref="A292:P292"/>
    <mergeCell ref="A291:P291"/>
    <mergeCell ref="A268:P268"/>
    <mergeCell ref="A277:P277"/>
    <mergeCell ref="B273:M273"/>
    <mergeCell ref="A163:P163"/>
    <mergeCell ref="A161:P161"/>
    <mergeCell ref="C179:L179"/>
    <mergeCell ref="C178:L178"/>
    <mergeCell ref="C177:L177"/>
    <mergeCell ref="E250:F250"/>
    <mergeCell ref="E249:P249"/>
    <mergeCell ref="A225:P225"/>
    <mergeCell ref="B261:L261"/>
    <mergeCell ref="B208:M208"/>
    <mergeCell ref="D209:G209"/>
    <mergeCell ref="A253:P253"/>
    <mergeCell ref="A275:P275"/>
    <mergeCell ref="A288:P288"/>
    <mergeCell ref="J215:L215"/>
    <mergeCell ref="E214:H214"/>
    <mergeCell ref="A203:P203"/>
    <mergeCell ref="A195:P195"/>
    <mergeCell ref="A1:P1"/>
    <mergeCell ref="G25:J25"/>
    <mergeCell ref="L22:O22"/>
    <mergeCell ref="A22:E22"/>
    <mergeCell ref="L21:O21"/>
    <mergeCell ref="G20:J20"/>
    <mergeCell ref="L23:O23"/>
    <mergeCell ref="G19:J19"/>
    <mergeCell ref="G18:J18"/>
    <mergeCell ref="A14:P14"/>
    <mergeCell ref="A15:P15"/>
    <mergeCell ref="L25:O25"/>
    <mergeCell ref="A18:E18"/>
    <mergeCell ref="A19:E19"/>
    <mergeCell ref="A20:E20"/>
    <mergeCell ref="A17:D17"/>
    <mergeCell ref="G17:I17"/>
    <mergeCell ref="A21:E21"/>
    <mergeCell ref="Q14:R15"/>
    <mergeCell ref="Q18:R21"/>
    <mergeCell ref="Q46:R47"/>
    <mergeCell ref="Q50:R51"/>
    <mergeCell ref="Q288:R288"/>
    <mergeCell ref="A142:P142"/>
    <mergeCell ref="A144:P144"/>
    <mergeCell ref="A162:P162"/>
    <mergeCell ref="B149:N149"/>
    <mergeCell ref="B152:N152"/>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L27:O27"/>
    <mergeCell ref="Q291:R291"/>
    <mergeCell ref="J211:P211"/>
    <mergeCell ref="A221:P221"/>
    <mergeCell ref="A222:P222"/>
    <mergeCell ref="A289:P289"/>
    <mergeCell ref="A211:I211"/>
    <mergeCell ref="A257:P257"/>
    <mergeCell ref="E248:H248"/>
    <mergeCell ref="A264:P264"/>
    <mergeCell ref="A266:P266"/>
    <mergeCell ref="A263:P263"/>
    <mergeCell ref="A254:P254"/>
    <mergeCell ref="A224:P224"/>
    <mergeCell ref="A267:P267"/>
    <mergeCell ref="G215:I21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52:P52"/>
    <mergeCell ref="A26:E26"/>
    <mergeCell ref="G26:J26"/>
    <mergeCell ref="L26:O26"/>
    <mergeCell ref="A46:P46"/>
    <mergeCell ref="A59:P59"/>
    <mergeCell ref="A69:P69"/>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27" sqref="A27"/>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Thomson Estates</v>
      </c>
    </row>
    <row r="3" spans="1:6" ht="16.5">
      <c r="A3" s="1147" t="str">
        <f>CONCATENATE('Part I-Project Information'!F24,", ", 'Part I-Project Information'!J25," County")</f>
        <v>Thomson, McDuffie County</v>
      </c>
    </row>
    <row r="4" spans="1:6" ht="12" customHeight="1"/>
    <row r="5" spans="1:6" ht="111" hidden="1" customHeight="1">
      <c r="A5" s="1148"/>
      <c r="B5" s="774" t="s">
        <v>1591</v>
      </c>
      <c r="C5" s="774"/>
      <c r="D5" s="774"/>
      <c r="E5" s="774"/>
      <c r="F5" s="774"/>
    </row>
    <row r="6" spans="1:6" ht="6.6" hidden="1" customHeight="1">
      <c r="A6" s="1149"/>
      <c r="B6" s="774"/>
      <c r="C6" s="774"/>
      <c r="D6" s="774"/>
      <c r="E6" s="774"/>
      <c r="F6" s="774"/>
    </row>
    <row r="7" spans="1:6" ht="111" hidden="1" customHeight="1">
      <c r="A7" s="1148"/>
      <c r="C7" s="1150"/>
    </row>
    <row r="8" spans="1:6" ht="6.6" hidden="1" customHeight="1">
      <c r="A8" s="1149"/>
    </row>
    <row r="9" spans="1:6" ht="111" hidden="1" customHeight="1">
      <c r="A9" s="1148"/>
    </row>
    <row r="10" spans="1:6" ht="6.6" hidden="1" customHeight="1">
      <c r="A10" s="1149"/>
    </row>
    <row r="11" spans="1:6" ht="111" hidden="1" customHeight="1">
      <c r="A11" s="1148"/>
    </row>
    <row r="12" spans="1:6" ht="6.6" hidden="1" customHeight="1">
      <c r="A12" s="1149"/>
    </row>
    <row r="13" spans="1:6" ht="111" hidden="1" customHeight="1">
      <c r="A13" s="1148"/>
    </row>
    <row r="14" spans="1:6" ht="6.6" hidden="1" customHeight="1">
      <c r="A14" s="1149"/>
    </row>
    <row r="15" spans="1:6" ht="111" hidden="1" customHeight="1">
      <c r="A15" s="1148"/>
    </row>
    <row r="16" spans="1:6" ht="6.6" hidden="1" customHeight="1">
      <c r="A16" s="1149"/>
    </row>
    <row r="17" spans="1:1" ht="111" hidden="1" customHeight="1">
      <c r="A17" s="1148"/>
    </row>
    <row r="18" spans="1:1" ht="6.6" hidden="1" customHeight="1">
      <c r="A18" s="1149"/>
    </row>
    <row r="19" spans="1:1" ht="111" hidden="1" customHeight="1">
      <c r="A19" s="1148"/>
    </row>
    <row r="20" spans="1:1" ht="6.6" hidden="1" customHeight="1">
      <c r="A20" s="1149"/>
    </row>
    <row r="21" spans="1:1" ht="111" hidden="1" customHeight="1">
      <c r="A21" s="1148"/>
    </row>
    <row r="22" spans="1:1" ht="6.6" hidden="1" customHeight="1">
      <c r="A22" s="1149"/>
    </row>
    <row r="23" spans="1:1" ht="111" hidden="1" customHeight="1">
      <c r="A23" s="1148"/>
    </row>
    <row r="24" spans="1:1" ht="6.6" hidden="1" customHeight="1">
      <c r="A24" s="1149"/>
    </row>
    <row r="25" spans="1:1" ht="111" hidden="1" customHeight="1">
      <c r="A25" s="1148"/>
    </row>
    <row r="26" spans="1:1" ht="6.6" hidden="1" customHeight="1">
      <c r="A26" s="1149"/>
    </row>
    <row r="27" spans="1:1" ht="111" customHeight="1">
      <c r="A27" s="1148"/>
    </row>
  </sheetData>
  <sheetProtection password="DD7E"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14" sqref="A14:M14"/>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1033</v>
      </c>
      <c r="C22" s="1138"/>
      <c r="D22" s="1138"/>
      <c r="E22" s="1138"/>
      <c r="F22" s="1138"/>
      <c r="G22" s="1138"/>
      <c r="H22" s="1138"/>
      <c r="I22" s="1138"/>
      <c r="J22" s="1138"/>
      <c r="K22" s="1138"/>
      <c r="L22" s="1138"/>
      <c r="M22" s="1138"/>
    </row>
    <row r="23" spans="1:13" ht="165.6" customHeight="1">
      <c r="A23" s="1137" t="s">
        <v>2303</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7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J57" sqref="J5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7605041</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9126059</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8365544</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2969</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8">
        <v>3500</v>
      </c>
      <c r="R31" s="1079"/>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3036</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1580</v>
      </c>
      <c r="R37" s="424">
        <v>500000</v>
      </c>
      <c r="S37" s="434"/>
      <c r="T37" s="434"/>
      <c r="U37" s="434"/>
    </row>
    <row r="38" spans="1:21" s="418" customFormat="1" ht="11.45" customHeight="1">
      <c r="A38" s="243"/>
      <c r="B38" s="243" t="s">
        <v>3126</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3127</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80">
        <v>7.0000000000000007E-2</v>
      </c>
      <c r="R41" s="1080"/>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2915</v>
      </c>
      <c r="C46" s="243"/>
      <c r="D46" s="241"/>
      <c r="E46" s="241"/>
      <c r="F46" s="243"/>
      <c r="G46" s="243"/>
      <c r="H46" s="243"/>
      <c r="I46" s="241"/>
      <c r="J46" s="243" t="s">
        <v>2757</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2738</v>
      </c>
      <c r="G47" s="243"/>
      <c r="H47" s="243" t="s">
        <v>3434</v>
      </c>
      <c r="I47" s="241"/>
      <c r="J47" s="243" t="s">
        <v>1586</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2787</v>
      </c>
      <c r="G52" s="243"/>
      <c r="H52" s="243"/>
      <c r="I52" s="241"/>
      <c r="J52" s="243" t="s">
        <v>3583</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80" t="s">
        <v>3585</v>
      </c>
      <c r="R53" s="1080"/>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80">
        <v>0.02</v>
      </c>
      <c r="R64" s="1080"/>
    </row>
    <row r="65" spans="1:21" s="434" customFormat="1" ht="11.45" customHeight="1">
      <c r="A65" s="243"/>
      <c r="B65" s="243" t="s">
        <v>2796</v>
      </c>
      <c r="C65" s="243"/>
      <c r="D65" s="243"/>
      <c r="E65" s="243"/>
      <c r="F65" s="243"/>
      <c r="G65" s="243"/>
      <c r="H65" s="243"/>
      <c r="J65" s="243" t="s">
        <v>2795</v>
      </c>
      <c r="K65" s="243"/>
      <c r="L65" s="243"/>
      <c r="M65" s="243"/>
      <c r="N65" s="243"/>
      <c r="O65" s="243"/>
      <c r="Q65" s="1080">
        <v>7.0000000000000007E-2</v>
      </c>
      <c r="R65" s="1080"/>
    </row>
    <row r="66" spans="1:21" s="434" customFormat="1" ht="11.45" customHeight="1">
      <c r="A66" s="243"/>
      <c r="B66" s="243" t="s">
        <v>2797</v>
      </c>
      <c r="C66" s="243"/>
      <c r="D66" s="243"/>
      <c r="E66" s="243"/>
      <c r="F66" s="243"/>
      <c r="G66" s="243"/>
      <c r="H66" s="243"/>
      <c r="J66" s="243" t="s">
        <v>2795</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3132</v>
      </c>
      <c r="D93" s="1127">
        <v>63700</v>
      </c>
    </row>
    <row r="94" spans="3:12" ht="9" customHeight="1">
      <c r="C94" s="578" t="s">
        <v>3898</v>
      </c>
      <c r="D94" s="1127">
        <v>47100</v>
      </c>
    </row>
    <row r="95" spans="3:12" ht="9" customHeight="1">
      <c r="C95" s="577" t="s">
        <v>3398</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3756</v>
      </c>
      <c r="D113" s="1127">
        <v>44200</v>
      </c>
    </row>
    <row r="114" spans="3:4" ht="9" customHeight="1">
      <c r="C114" s="578" t="s">
        <v>3759</v>
      </c>
      <c r="D114" s="1127">
        <v>41600</v>
      </c>
    </row>
    <row r="115" spans="3:4" ht="9" customHeight="1">
      <c r="C115" s="578" t="s">
        <v>3762</v>
      </c>
      <c r="D115" s="1127">
        <v>42300</v>
      </c>
    </row>
    <row r="116" spans="3:4" ht="9" customHeight="1">
      <c r="C116" s="578" t="s">
        <v>3814</v>
      </c>
      <c r="D116" s="1127">
        <v>40400</v>
      </c>
    </row>
    <row r="117" spans="3:4" ht="9" customHeight="1">
      <c r="C117" s="578" t="s">
        <v>3817</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3370</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3896</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3273</v>
      </c>
      <c r="D158" s="1127">
        <v>48100</v>
      </c>
    </row>
    <row r="159" spans="3:4" ht="9" customHeight="1">
      <c r="C159" s="578" t="s">
        <v>3275</v>
      </c>
      <c r="D159" s="1127">
        <v>49000</v>
      </c>
    </row>
    <row r="160" spans="3:4" ht="9" customHeight="1">
      <c r="C160" s="577" t="s">
        <v>3277</v>
      </c>
      <c r="D160" s="1127">
        <v>45200</v>
      </c>
    </row>
    <row r="161" spans="3:4" ht="9" customHeight="1">
      <c r="C161" s="577" t="s">
        <v>3280</v>
      </c>
      <c r="D161" s="1127">
        <v>44700</v>
      </c>
    </row>
    <row r="162" spans="3:4" ht="9" customHeight="1">
      <c r="C162" s="578" t="s">
        <v>3282</v>
      </c>
      <c r="D162" s="1127">
        <v>38200</v>
      </c>
    </row>
    <row r="163" spans="3:4" ht="9" customHeight="1">
      <c r="C163" s="578" t="s">
        <v>3284</v>
      </c>
      <c r="D163" s="1127">
        <v>40800</v>
      </c>
    </row>
    <row r="164" spans="3:4" ht="9" customHeight="1">
      <c r="C164" s="578" t="s">
        <v>3286</v>
      </c>
      <c r="D164" s="1127">
        <v>46600</v>
      </c>
    </row>
    <row r="165" spans="3:4" ht="9" customHeight="1">
      <c r="C165" s="578" t="s">
        <v>3288</v>
      </c>
      <c r="D165" s="1127">
        <v>25200</v>
      </c>
    </row>
    <row r="166" spans="3:4" ht="9" customHeight="1">
      <c r="C166" s="578" t="s">
        <v>3290</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2977</v>
      </c>
      <c r="D170" s="1127">
        <v>47000</v>
      </c>
    </row>
    <row r="171" spans="3:4" ht="9" customHeight="1">
      <c r="C171" s="577" t="s">
        <v>2979</v>
      </c>
      <c r="D171" s="1127">
        <v>43300</v>
      </c>
    </row>
    <row r="172" spans="3:4" ht="9" customHeight="1">
      <c r="C172" s="577" t="s">
        <v>2981</v>
      </c>
      <c r="D172" s="1127">
        <v>51200</v>
      </c>
    </row>
    <row r="173" spans="3:4" ht="9" customHeight="1">
      <c r="C173" s="577" t="s">
        <v>2983</v>
      </c>
      <c r="D173" s="1127">
        <v>38400</v>
      </c>
    </row>
    <row r="174" spans="3:4" ht="9" customHeight="1">
      <c r="C174" s="578" t="s">
        <v>2985</v>
      </c>
      <c r="D174" s="1127">
        <v>50100</v>
      </c>
    </row>
    <row r="175" spans="3:4" ht="9" customHeight="1">
      <c r="C175" s="577" t="s">
        <v>2987</v>
      </c>
      <c r="D175" s="1127">
        <v>41000</v>
      </c>
    </row>
    <row r="176" spans="3:4" ht="9" customHeight="1">
      <c r="C176" s="577" t="s">
        <v>2990</v>
      </c>
      <c r="D176" s="1127">
        <v>50700</v>
      </c>
    </row>
    <row r="177" spans="3:4" ht="9" customHeight="1">
      <c r="C177" s="578" t="s">
        <v>3084</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3629</v>
      </c>
      <c r="D185" s="1127">
        <v>41100</v>
      </c>
    </row>
    <row r="186" spans="3:4" ht="9" customHeight="1">
      <c r="C186" s="577" t="s">
        <v>3631</v>
      </c>
      <c r="D186" s="1127">
        <v>42000</v>
      </c>
    </row>
    <row r="187" spans="3:4" ht="9" customHeight="1">
      <c r="C187" s="577" t="s">
        <v>3633</v>
      </c>
      <c r="D187" s="1127">
        <v>45200</v>
      </c>
    </row>
  </sheetData>
  <sheetProtection password="DD7E"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20" workbookViewId="0">
      <selection activeCell="A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Thomson Estates</v>
      </c>
    </row>
    <row r="3" spans="1:2">
      <c r="A3" s="748" t="str">
        <f>CONCATENATE('Part I-Project Information'!F24,", ", 'Part I-Project Information'!J25," County")</f>
        <v>Thomson, McDuffie County</v>
      </c>
    </row>
    <row r="4" spans="1:2" ht="12" customHeight="1"/>
    <row r="5" spans="1:2" ht="111" customHeight="1">
      <c r="A5" s="748" t="str">
        <f>'Project Narrative'!A5</f>
        <v>Thomson Estates will be a 37 unit, detached, single-family rental subdivision in Thomson, GA.  Low-Income Housing Tax Credits and a Permanent Loan will be used to fund this project.  The development will substantially improve the existing community by adding affordable housing to a neighborhood in need of more housing for the working class.  Rents will range from $434-$601 in keeping with the existing rental market.  We will be working closely with the Thomson Housing Authority to achieve their community goals as determined within the Georgia Institute for Community Housing Designation.</v>
      </c>
      <c r="B5" s="748" t="s">
        <v>1591</v>
      </c>
    </row>
    <row r="6" spans="1:2" ht="6.6" customHeight="1"/>
    <row r="7" spans="1:2" ht="111" customHeight="1">
      <c r="A7" s="748" t="str">
        <f>'Project Narrative'!A7</f>
        <v>The spacious homes provide a superior product to qualified residents.  The community will resemble typical single-family neighborhoods in multiple ways.  Resident Parking will be in individual driveways, trash will be collected weekly in individual garbage cans.  While community empowerment services educate the residents on homeownership, property management in conjuction with the Thomson Housing Authority will foster stewardship by promoting tenant efforts to improve their quality of life.</v>
      </c>
    </row>
    <row r="8" spans="1:2" ht="6.6" customHeight="1"/>
    <row r="9" spans="1:2" ht="111" customHeight="1">
      <c r="A9" s="748" t="str">
        <f>'Project Narrative'!A9</f>
        <v>We believe this project is the next step in affordable rural housing; by combining efficient building practices and LIHTC financing.
The following amenitites/services will be provided to our residents:
   Ongoing Social and Recreational Programs
   Community Building with Covered Porch
   Onsite Laundry
   Playground
   Covered Pavillion with Picnic and BBQ Facilities</v>
      </c>
    </row>
    <row r="10" spans="1:2" ht="6.6" customHeight="1"/>
    <row r="11" spans="1:2" ht="111" customHeight="1">
      <c r="A11" s="748" t="str">
        <f>'Project Narrative'!A11</f>
        <v>The units will be equipped with HVAC Systems, Energy Star appliances and a fire suppression system above a range cook top.</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4061</v>
      </c>
      <c r="M32" s="748" t="s">
        <v>2729</v>
      </c>
    </row>
    <row r="33" spans="1:15" ht="12" customHeight="1">
      <c r="E33" s="748" t="s">
        <v>4062</v>
      </c>
      <c r="O33" s="748" t="str">
        <f>'Part I-Project Information'!$O$4</f>
        <v>2011-038</v>
      </c>
    </row>
    <row r="34" spans="1:15" ht="12" customHeight="1"/>
    <row r="35" spans="1:15" ht="13.15" customHeight="1">
      <c r="A35" s="748" t="s">
        <v>950</v>
      </c>
      <c r="C35" s="748" t="s">
        <v>3588</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3130</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3440</v>
      </c>
      <c r="F42" s="748" t="str">
        <f>'Part I-Project Information'!$F$13</f>
        <v>Gary R. Hammond, Jr.</v>
      </c>
      <c r="M42" s="748" t="s">
        <v>3055</v>
      </c>
      <c r="N42" s="748" t="str">
        <f>'Part I-Project Information'!N13</f>
        <v xml:space="preserve">Principal </v>
      </c>
    </row>
    <row r="43" spans="1:15" ht="13.15" customHeight="1">
      <c r="C43" s="748" t="s">
        <v>3056</v>
      </c>
      <c r="F43" s="748" t="str">
        <f>'Part I-Project Information'!$F$14</f>
        <v>7000 Peachtree Dunwoody Road, Suite 4-100</v>
      </c>
      <c r="M43" s="748" t="s">
        <v>2746</v>
      </c>
      <c r="O43" s="748">
        <f>'Part I-Project Information'!O14</f>
        <v>7704810853</v>
      </c>
    </row>
    <row r="44" spans="1:15" ht="13.15" customHeight="1">
      <c r="C44" s="748" t="s">
        <v>953</v>
      </c>
      <c r="F44" s="748" t="str">
        <f>'Part I-Project Information'!$F$15</f>
        <v>Atlanta</v>
      </c>
      <c r="M44" s="748" t="s">
        <v>2832</v>
      </c>
      <c r="O44" s="748">
        <f>'Part I-Project Information'!O15</f>
        <v>6786384230</v>
      </c>
    </row>
    <row r="45" spans="1:15" ht="13.15" customHeight="1">
      <c r="C45" s="748" t="s">
        <v>2829</v>
      </c>
      <c r="F45" s="748" t="str">
        <f>'Part I-Project Information'!$F$16</f>
        <v>GA</v>
      </c>
      <c r="I45" s="748" t="s">
        <v>3352</v>
      </c>
      <c r="J45" s="748">
        <f>'Part I-Project Information'!J16</f>
        <v>303281636</v>
      </c>
      <c r="M45" s="748" t="s">
        <v>3054</v>
      </c>
      <c r="O45" s="748">
        <f>'Part I-Project Information'!O16</f>
        <v>4045430855</v>
      </c>
    </row>
    <row r="46" spans="1:15" ht="13.15" customHeight="1">
      <c r="C46" s="748" t="s">
        <v>2745</v>
      </c>
      <c r="F46" s="748">
        <f>'Part I-Project Information'!F17</f>
        <v>7704810855</v>
      </c>
      <c r="I46" s="748" t="s">
        <v>2744</v>
      </c>
      <c r="J46" s="748">
        <f>'Part I-Project Information'!J17</f>
        <v>100</v>
      </c>
      <c r="K46" s="748" t="s">
        <v>3059</v>
      </c>
      <c r="L46" s="748" t="str">
        <f>'Part I-Project Information'!L17</f>
        <v>grh@grhco.com</v>
      </c>
    </row>
    <row r="47" spans="1:15" ht="13.15" customHeight="1">
      <c r="C47" s="748" t="s">
        <v>997</v>
      </c>
    </row>
    <row r="48" spans="1:15" ht="7.15" customHeight="1"/>
    <row r="49" spans="1:16" ht="13.15" customHeight="1">
      <c r="A49" s="748" t="s">
        <v>2822</v>
      </c>
      <c r="C49" s="748" t="s">
        <v>2207</v>
      </c>
    </row>
    <row r="50" spans="1:16" ht="3" customHeight="1"/>
    <row r="51" spans="1:16" ht="13.15" customHeight="1">
      <c r="C51" s="748" t="s">
        <v>951</v>
      </c>
      <c r="F51" s="748" t="str">
        <f>'Part I-Project Information'!F22</f>
        <v>Thomson Estates</v>
      </c>
      <c r="M51" s="748" t="s">
        <v>3298</v>
      </c>
      <c r="O51" s="748" t="str">
        <f>'Part I-Project Information'!O22</f>
        <v>No</v>
      </c>
    </row>
    <row r="52" spans="1:16" ht="13.15" customHeight="1">
      <c r="C52" s="748" t="s">
        <v>952</v>
      </c>
      <c r="F52" s="748" t="str">
        <f>'Part I-Project Information'!F23</f>
        <v>Mendel Avenue</v>
      </c>
      <c r="M52" s="748" t="s">
        <v>3144</v>
      </c>
      <c r="O52" s="748" t="str">
        <f>'Part I-Project Information'!O23</f>
        <v>No</v>
      </c>
    </row>
    <row r="53" spans="1:16" ht="13.15" customHeight="1">
      <c r="C53" s="748" t="s">
        <v>953</v>
      </c>
      <c r="F53" s="748" t="str">
        <f>'Part I-Project Information'!F24</f>
        <v>Thomson</v>
      </c>
      <c r="I53" s="748" t="s">
        <v>4063</v>
      </c>
      <c r="J53" s="748">
        <f>'Part I-Project Information'!J24</f>
        <v>308241636</v>
      </c>
      <c r="L53" s="748" t="str">
        <f>IF(AND(NOT(F51=""),NOT(F53="Select from list"),J53=""),"Enter Zip!","")</f>
        <v/>
      </c>
      <c r="M53" s="748" t="s">
        <v>3414</v>
      </c>
      <c r="O53" s="748">
        <f>'Part I-Project Information'!O24</f>
        <v>31.46</v>
      </c>
    </row>
    <row r="54" spans="1:16" ht="13.15" customHeight="1">
      <c r="C54" s="748" t="s">
        <v>3143</v>
      </c>
      <c r="F54" s="748" t="str">
        <f>'Part I-Project Information'!F25</f>
        <v>Yes</v>
      </c>
      <c r="I54" s="748" t="s">
        <v>954</v>
      </c>
      <c r="J54" s="748" t="str">
        <f>'Part I-Project Information'!J25</f>
        <v>McDuffie</v>
      </c>
      <c r="M54" s="748" t="s">
        <v>3433</v>
      </c>
      <c r="O54" s="748">
        <f>'Part I-Project Information'!O25</f>
        <v>13189950200</v>
      </c>
    </row>
    <row r="55" spans="1:16" ht="13.15" customHeight="1">
      <c r="C55" s="748" t="s">
        <v>2313</v>
      </c>
      <c r="F55" s="748" t="str">
        <f>'Part I-Project Information'!F26</f>
        <v>Yes</v>
      </c>
      <c r="I55" s="748" t="s">
        <v>885</v>
      </c>
      <c r="J55" s="748" t="str">
        <f>'Part I-Project Information'!J26</f>
        <v>Augusta-Richmond Co.</v>
      </c>
      <c r="M55" s="748" t="s">
        <v>665</v>
      </c>
      <c r="N55" s="748" t="str">
        <f>'Part I-Project Information'!N26</f>
        <v>Yes</v>
      </c>
      <c r="O55" s="748" t="s">
        <v>666</v>
      </c>
      <c r="P55" s="748">
        <f>'Part I-Project Information'!P26</f>
        <v>0</v>
      </c>
    </row>
    <row r="56" spans="1:16" ht="3" customHeight="1"/>
    <row r="57" spans="1:16" ht="13.15" customHeight="1">
      <c r="F57" s="748" t="s">
        <v>4064</v>
      </c>
      <c r="H57" s="748" t="s">
        <v>1225</v>
      </c>
      <c r="J57" s="748" t="s">
        <v>1226</v>
      </c>
    </row>
    <row r="58" spans="1:16" ht="13.15" customHeight="1">
      <c r="C58" s="748" t="s">
        <v>955</v>
      </c>
      <c r="F58" s="748">
        <f>'Part I-Project Information'!F29</f>
        <v>10</v>
      </c>
      <c r="H58" s="748">
        <f>'Part I-Project Information'!H29</f>
        <v>24</v>
      </c>
      <c r="J58" s="748">
        <f>'Part I-Project Information'!J29</f>
        <v>124</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City of Thomson</v>
      </c>
    </row>
    <row r="62" spans="1:16" ht="13.15" customHeight="1">
      <c r="C62" s="748" t="s">
        <v>974</v>
      </c>
      <c r="F62" s="748" t="str">
        <f>'Part I-Project Information'!F33</f>
        <v>Kenneth Usry</v>
      </c>
      <c r="K62" s="748" t="s">
        <v>3055</v>
      </c>
      <c r="L62" s="748" t="str">
        <f>'Part I-Project Information'!L33</f>
        <v>Mayor</v>
      </c>
    </row>
    <row r="63" spans="1:16" ht="13.15" customHeight="1">
      <c r="C63" s="748" t="s">
        <v>3056</v>
      </c>
      <c r="F63" s="748" t="str">
        <f>'Part I-Project Information'!F34</f>
        <v>309 Main Street</v>
      </c>
      <c r="K63" s="748" t="s">
        <v>953</v>
      </c>
      <c r="L63" s="748" t="str">
        <f>'Part I-Project Information'!L34</f>
        <v>Thomson</v>
      </c>
    </row>
    <row r="64" spans="1:16" ht="13.15" customHeight="1">
      <c r="C64" s="748" t="s">
        <v>3352</v>
      </c>
      <c r="F64" s="748">
        <f>'Part I-Project Information'!F35</f>
        <v>308242612</v>
      </c>
      <c r="H64" s="748" t="s">
        <v>3057</v>
      </c>
      <c r="I64" s="748">
        <f>'Part I-Project Information'!I35</f>
        <v>7065951781</v>
      </c>
      <c r="L64" s="748" t="s">
        <v>2832</v>
      </c>
      <c r="M64" s="748">
        <f>'Part I-Project Information'!M35</f>
        <v>0</v>
      </c>
    </row>
    <row r="65" spans="1:16" ht="7.15" customHeight="1"/>
    <row r="66" spans="1:16" ht="13.15" customHeight="1">
      <c r="A66" s="748" t="s">
        <v>2824</v>
      </c>
      <c r="C66" s="748" t="s">
        <v>2208</v>
      </c>
      <c r="J66" s="748" t="s">
        <v>4065</v>
      </c>
    </row>
    <row r="67" spans="1:16" ht="3" customHeight="1"/>
    <row r="68" spans="1:16">
      <c r="B68" s="748" t="s">
        <v>3058</v>
      </c>
      <c r="C68" s="748" t="s">
        <v>3435</v>
      </c>
      <c r="F68" s="748" t="str">
        <f>'Part I-Project Information'!F39</f>
        <v>No</v>
      </c>
      <c r="J68" s="748" t="s">
        <v>1971</v>
      </c>
      <c r="L68" s="748" t="s">
        <v>1972</v>
      </c>
    </row>
    <row r="69" spans="1:16" ht="3" customHeight="1"/>
    <row r="70" spans="1:16" ht="13.15" customHeight="1">
      <c r="B70" s="748" t="s">
        <v>3061</v>
      </c>
      <c r="C70" s="748" t="s">
        <v>3597</v>
      </c>
      <c r="J70" s="748" t="s">
        <v>1975</v>
      </c>
      <c r="L70" s="748" t="s">
        <v>1970</v>
      </c>
    </row>
    <row r="71" spans="1:16" ht="13.15" customHeight="1">
      <c r="C71" s="748" t="s">
        <v>3434</v>
      </c>
      <c r="F71" s="748">
        <f>'Part VI-Revenues &amp; Expenses'!$M$75</f>
        <v>37</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3406</v>
      </c>
      <c r="I77" s="748" t="s">
        <v>2130</v>
      </c>
      <c r="J77" s="748" t="s">
        <v>3210</v>
      </c>
      <c r="K77" s="748" t="s">
        <v>3441</v>
      </c>
    </row>
    <row r="78" spans="1:16" ht="13.15" customHeight="1">
      <c r="C78" s="748" t="s">
        <v>3407</v>
      </c>
      <c r="H78" s="748">
        <f>SUM(H79:H80)</f>
        <v>37</v>
      </c>
      <c r="K78" s="748" t="s">
        <v>3442</v>
      </c>
      <c r="P78" s="748">
        <f>'Part VI-Revenues &amp; Expenses'!$M$94</f>
        <v>51200</v>
      </c>
    </row>
    <row r="79" spans="1:16" ht="13.15" customHeight="1">
      <c r="D79" s="748" t="s">
        <v>489</v>
      </c>
      <c r="H79" s="748">
        <f>'Part VI-Revenues &amp; Expenses'!$M$58</f>
        <v>6</v>
      </c>
      <c r="I79" s="748">
        <f>'Part VI-Revenues &amp; Expenses'!$M$66</f>
        <v>0</v>
      </c>
      <c r="K79" s="748" t="s">
        <v>326</v>
      </c>
      <c r="P79" s="748">
        <f>'Part VI-Revenues &amp; Expenses'!$M$95</f>
        <v>0</v>
      </c>
    </row>
    <row r="80" spans="1:16" ht="13.15" customHeight="1">
      <c r="D80" s="748" t="s">
        <v>2862</v>
      </c>
      <c r="H80" s="748">
        <f>'Part VI-Revenues &amp; Expenses'!$M$57</f>
        <v>31</v>
      </c>
      <c r="I80" s="748">
        <f>'Part VI-Revenues &amp; Expenses'!$M$65</f>
        <v>0</v>
      </c>
      <c r="K80" s="748" t="s">
        <v>3443</v>
      </c>
      <c r="P80" s="748">
        <f>+P78+P79</f>
        <v>51200</v>
      </c>
    </row>
    <row r="81" spans="1:16" ht="13.15" customHeight="1">
      <c r="C81" s="748" t="s">
        <v>327</v>
      </c>
      <c r="H81" s="748">
        <f>'Part VI-Revenues &amp; Expenses'!$M$60</f>
        <v>0</v>
      </c>
      <c r="K81" s="748" t="s">
        <v>2133</v>
      </c>
      <c r="P81" s="748">
        <f>'Part VI-Revenues &amp; Expenses'!$M$97</f>
        <v>0</v>
      </c>
    </row>
    <row r="82" spans="1:16" ht="13.15" customHeight="1">
      <c r="C82" s="748" t="s">
        <v>3648</v>
      </c>
      <c r="H82" s="748">
        <f>+H78+H81</f>
        <v>37</v>
      </c>
      <c r="K82" s="748" t="s">
        <v>2132</v>
      </c>
      <c r="P82" s="748">
        <f>+P80+P81</f>
        <v>51200</v>
      </c>
    </row>
    <row r="83" spans="1:16" ht="13.15" customHeight="1">
      <c r="C83" s="748" t="s">
        <v>3649</v>
      </c>
      <c r="H83" s="748">
        <f>'Part VI-Revenues &amp; Expenses'!$M$62</f>
        <v>0</v>
      </c>
    </row>
    <row r="84" spans="1:16" ht="13.15" customHeight="1">
      <c r="C84" s="748" t="s">
        <v>2823</v>
      </c>
      <c r="H84" s="748">
        <f>+H82+H83</f>
        <v>37</v>
      </c>
    </row>
    <row r="85" spans="1:16" ht="3" customHeight="1"/>
    <row r="86" spans="1:16" ht="13.15" customHeight="1">
      <c r="B86" s="748" t="s">
        <v>2762</v>
      </c>
      <c r="C86" s="748" t="s">
        <v>3436</v>
      </c>
      <c r="D86" s="748" t="s">
        <v>3072</v>
      </c>
      <c r="H86" s="748">
        <f>'Part I-Project Information'!H57</f>
        <v>37</v>
      </c>
      <c r="K86" s="748" t="s">
        <v>1759</v>
      </c>
      <c r="P86" s="748">
        <f>'Part I-Project Information'!P57</f>
        <v>1600</v>
      </c>
    </row>
    <row r="87" spans="1:16" ht="13.15" customHeight="1">
      <c r="D87" s="748" t="s">
        <v>3073</v>
      </c>
      <c r="H87" s="748">
        <f>'Part I-Project Information'!H58</f>
        <v>1</v>
      </c>
      <c r="K87" s="748" t="s">
        <v>325</v>
      </c>
      <c r="P87" s="748">
        <f>+P82+P86</f>
        <v>52800</v>
      </c>
    </row>
    <row r="88" spans="1:16" ht="13.15" customHeight="1">
      <c r="D88" s="748" t="s">
        <v>3074</v>
      </c>
      <c r="H88" s="748">
        <f>+H86+H87</f>
        <v>38</v>
      </c>
    </row>
    <row r="89" spans="1:16" ht="3" customHeight="1"/>
    <row r="90" spans="1:16" ht="13.15" customHeight="1">
      <c r="B90" s="748" t="s">
        <v>2763</v>
      </c>
      <c r="C90" s="748" t="s">
        <v>3598</v>
      </c>
      <c r="H90" s="748">
        <f>'Part I-Project Information'!H61</f>
        <v>91</v>
      </c>
    </row>
    <row r="91" spans="1:16" ht="9" customHeight="1"/>
    <row r="92" spans="1:16" ht="13.15" customHeight="1">
      <c r="A92" s="748" t="s">
        <v>822</v>
      </c>
      <c r="C92" s="748" t="s">
        <v>1836</v>
      </c>
    </row>
    <row r="93" spans="1:16" ht="3" customHeight="1"/>
    <row r="94" spans="1:16" ht="13.15" customHeight="1">
      <c r="B94" s="748" t="s">
        <v>3058</v>
      </c>
      <c r="C94" s="748" t="s">
        <v>2272</v>
      </c>
      <c r="H94" s="748" t="str">
        <f>'Part I-Project Information'!H65</f>
        <v>Family</v>
      </c>
      <c r="K94" s="748" t="s">
        <v>2801</v>
      </c>
      <c r="N94" s="748">
        <f>'Part I-Project Information'!N65</f>
        <v>0</v>
      </c>
    </row>
    <row r="95" spans="1:16" ht="3" customHeight="1"/>
    <row r="96" spans="1:16" ht="13.15" customHeight="1">
      <c r="B96" s="748" t="s">
        <v>3061</v>
      </c>
      <c r="C96" s="748" t="s">
        <v>2121</v>
      </c>
      <c r="G96" s="748" t="s">
        <v>1378</v>
      </c>
      <c r="H96" s="748">
        <f>'Part I-Project Information'!H67</f>
        <v>2</v>
      </c>
      <c r="K96" s="748" t="s">
        <v>812</v>
      </c>
      <c r="P96" s="748">
        <f>IF('Part VI-Revenues &amp; Expenses'!$M$63=0,0,$H96/'Part VI-Revenues &amp; Expenses'!$M$63)</f>
        <v>5.4054054054054057E-2</v>
      </c>
    </row>
    <row r="97" spans="1:16" ht="3" customHeight="1"/>
    <row r="98" spans="1:16" ht="13.15" customHeight="1">
      <c r="B98" s="748" t="s">
        <v>1238</v>
      </c>
      <c r="C98" s="748" t="s">
        <v>2889</v>
      </c>
      <c r="G98" s="748" t="s">
        <v>1378</v>
      </c>
      <c r="H98" s="748">
        <f>'Part I-Project Information'!H69</f>
        <v>1</v>
      </c>
      <c r="K98" s="748" t="s">
        <v>812</v>
      </c>
      <c r="P98" s="748">
        <f>IF('Part VI-Revenues &amp; Expenses'!$M$63=0,0,$H98/'Part VI-Revenues &amp; Expenses'!$M$63)</f>
        <v>2.7027027027027029E-2</v>
      </c>
    </row>
    <row r="99" spans="1:16" ht="3" customHeight="1"/>
    <row r="100" spans="1:16" ht="13.15" customHeight="1">
      <c r="B100" s="748" t="s">
        <v>3210</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15" customHeight="1">
      <c r="A102" s="748" t="s">
        <v>1347</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2285</v>
      </c>
      <c r="K106" s="748" t="s">
        <v>1459</v>
      </c>
      <c r="P106" s="748">
        <f>'Part I-Project Information'!P77</f>
        <v>0</v>
      </c>
    </row>
    <row r="107" spans="1:16" ht="9" customHeight="1"/>
    <row r="108" spans="1:16" ht="13.15" customHeight="1">
      <c r="A108" s="748" t="s">
        <v>385</v>
      </c>
      <c r="C108" s="748" t="s">
        <v>3131</v>
      </c>
    </row>
    <row r="109" spans="1:16" ht="3" customHeight="1"/>
    <row r="110" spans="1:16" ht="13.15" customHeight="1">
      <c r="E110" s="748" t="str">
        <f>'Part I-Project Information'!E81</f>
        <v>Yes</v>
      </c>
      <c r="F110" s="748" t="s">
        <v>3912</v>
      </c>
      <c r="H110" s="748" t="str">
        <f>'Part I-Project Information'!H81</f>
        <v>Yes</v>
      </c>
      <c r="I110" s="748" t="s">
        <v>3911</v>
      </c>
      <c r="K110" s="748" t="str">
        <f>'Part I-Project Information'!K81</f>
        <v>No</v>
      </c>
      <c r="L110" s="748" t="s">
        <v>144</v>
      </c>
    </row>
    <row r="111" spans="1:16" ht="13.15" customHeight="1">
      <c r="E111" s="748" t="str">
        <f>'Part I-Project Information'!E82</f>
        <v>No</v>
      </c>
      <c r="F111" s="748" t="s">
        <v>650</v>
      </c>
      <c r="H111" s="748" t="str">
        <f>'Part I-Project Information'!H82</f>
        <v>No</v>
      </c>
      <c r="I111" s="748" t="s">
        <v>3231</v>
      </c>
      <c r="K111" s="748" t="str">
        <f>'Part I-Project Information'!K82</f>
        <v>No</v>
      </c>
      <c r="L111" s="748" t="s">
        <v>3232</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2829</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3255</v>
      </c>
    </row>
    <row r="124" spans="1:15" ht="4.9000000000000004" customHeight="1"/>
    <row r="125" spans="1:15" ht="13.15" customHeight="1">
      <c r="B125" s="748" t="s">
        <v>3058</v>
      </c>
      <c r="C125" s="748" t="s">
        <v>2122</v>
      </c>
      <c r="H125" s="748">
        <f>'Part I-Project Information'!H96</f>
        <v>2</v>
      </c>
    </row>
    <row r="126" spans="1:15" ht="3.6" customHeight="1"/>
    <row r="127" spans="1:15" ht="13.15" customHeight="1">
      <c r="B127" s="748" t="s">
        <v>3061</v>
      </c>
      <c r="C127" s="748" t="s">
        <v>525</v>
      </c>
      <c r="H127" s="748">
        <f>'Part I-Project Information'!H98</f>
        <v>1364751</v>
      </c>
    </row>
    <row r="128" spans="1:15" ht="3.6" customHeight="1"/>
    <row r="129" spans="2:13" ht="13.15" customHeight="1">
      <c r="B129" s="748" t="s">
        <v>1238</v>
      </c>
      <c r="C129" s="748" t="s">
        <v>395</v>
      </c>
    </row>
    <row r="130" spans="2:13" ht="13.15" customHeight="1">
      <c r="C130" s="748" t="s">
        <v>3233</v>
      </c>
      <c r="F130" s="748" t="s">
        <v>1773</v>
      </c>
      <c r="J130" s="748" t="s">
        <v>3233</v>
      </c>
      <c r="M130" s="748" t="s">
        <v>1773</v>
      </c>
    </row>
    <row r="131" spans="2:13" ht="13.15" customHeight="1">
      <c r="C131" s="748" t="str">
        <f>'Part I-Project Information'!C102</f>
        <v>RHA/Housing, Inc.</v>
      </c>
      <c r="F131" s="748" t="str">
        <f>'Part I-Project Information'!F102</f>
        <v>Washington Estates II</v>
      </c>
      <c r="J131" s="748">
        <f>'Part I-Project Information'!J102</f>
        <v>8</v>
      </c>
      <c r="M131" s="748">
        <f>'Part I-Project Information'!M102</f>
        <v>0</v>
      </c>
    </row>
    <row r="132" spans="2:13" ht="13.15" customHeight="1">
      <c r="C132" s="748" t="str">
        <f>'Part I-Project Information'!C103</f>
        <v>Gary R. Hammond, Jr.</v>
      </c>
      <c r="F132" s="748" t="str">
        <f>'Part I-Project Information'!F103</f>
        <v>Washington Estates II</v>
      </c>
      <c r="J132" s="748">
        <f>'Part I-Project Information'!J103</f>
        <v>9</v>
      </c>
      <c r="M132" s="748">
        <f>'Part I-Project Information'!M103</f>
        <v>0</v>
      </c>
    </row>
    <row r="133" spans="2:13" ht="13.15" customHeight="1">
      <c r="C133" s="748" t="str">
        <f>'Part I-Project Information'!C104</f>
        <v>Stephen R. Munier</v>
      </c>
      <c r="F133" s="748" t="str">
        <f>'Part I-Project Information'!F104</f>
        <v>Washington Estates II</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1773</v>
      </c>
      <c r="J141" s="748" t="s">
        <v>3233</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3663</v>
      </c>
      <c r="H150" s="748">
        <f>'Part I-Project Information'!H121</f>
        <v>0</v>
      </c>
    </row>
    <row r="151" spans="1:15" ht="3" customHeight="1"/>
    <row r="152" spans="1:15" ht="13.15" customHeight="1">
      <c r="B152" s="748" t="s">
        <v>3058</v>
      </c>
      <c r="C152" s="748" t="s">
        <v>2731</v>
      </c>
      <c r="H152" s="748">
        <f>'Part I-Project Information'!H123</f>
        <v>0</v>
      </c>
    </row>
    <row r="153" spans="1:15" ht="13.15" customHeight="1">
      <c r="C153" s="748" t="s">
        <v>3665</v>
      </c>
      <c r="H153" s="748">
        <f>'Part I-Project Information'!H124</f>
        <v>0</v>
      </c>
    </row>
    <row r="154" spans="1:15" ht="13.15" customHeight="1">
      <c r="C154" s="748" t="s">
        <v>2730</v>
      </c>
      <c r="H154" s="748">
        <f>'Part I-Project Information'!H125</f>
        <v>0</v>
      </c>
    </row>
    <row r="155" spans="1:15" ht="13.15" customHeight="1">
      <c r="C155" s="748" t="s">
        <v>3666</v>
      </c>
      <c r="H155" s="748">
        <f>'Part I-Project Information'!H126</f>
        <v>0</v>
      </c>
      <c r="K155" s="748" t="s">
        <v>3373</v>
      </c>
      <c r="O155" s="748" t="str">
        <f>'Part I-Project Information'!O126</f>
        <v>GA-</v>
      </c>
    </row>
    <row r="156" spans="1:15" ht="13.15" customHeight="1">
      <c r="C156" s="748" t="s">
        <v>3664</v>
      </c>
      <c r="H156" s="748">
        <f>'Part I-Project Information'!H127</f>
        <v>0</v>
      </c>
      <c r="K156" s="748" t="s">
        <v>3374</v>
      </c>
      <c r="O156" s="748" t="str">
        <f>'Part I-Project Information'!O127</f>
        <v>GA-</v>
      </c>
    </row>
    <row r="157" spans="1:15" ht="13.15" customHeight="1">
      <c r="C157" s="748" t="s">
        <v>3271</v>
      </c>
      <c r="H157" s="748">
        <f>'Part I-Project Information'!H128</f>
        <v>0</v>
      </c>
    </row>
    <row r="158" spans="1:15" ht="3" customHeight="1"/>
    <row r="159" spans="1:15" ht="13.15" customHeight="1">
      <c r="B159" s="748" t="s">
        <v>3061</v>
      </c>
      <c r="C159" s="748" t="s">
        <v>3768</v>
      </c>
      <c r="H159" s="748">
        <f>'Part I-Project Information'!H130</f>
        <v>0</v>
      </c>
    </row>
    <row r="160" spans="1:15" ht="3" customHeight="1"/>
    <row r="161" spans="1:16" ht="13.15" customHeight="1">
      <c r="B161" s="748" t="s">
        <v>1238</v>
      </c>
      <c r="C161" s="748" t="s">
        <v>981</v>
      </c>
    </row>
    <row r="162" spans="1:16" ht="13.15" customHeight="1">
      <c r="C162" s="748" t="s">
        <v>4066</v>
      </c>
      <c r="H162" s="748">
        <f>'Part I-Project Information'!H133</f>
        <v>0</v>
      </c>
      <c r="K162" s="748" t="s">
        <v>2286</v>
      </c>
      <c r="O162" s="748">
        <f>'Part I-Project Information'!O133</f>
        <v>0</v>
      </c>
    </row>
    <row r="163" spans="1:16" ht="13.15" customHeight="1">
      <c r="C163" s="748" t="s">
        <v>4067</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3058</v>
      </c>
      <c r="C167" s="748" t="s">
        <v>2863</v>
      </c>
    </row>
    <row r="168" spans="1:16" ht="12.6" customHeight="1">
      <c r="C168" s="748" t="s">
        <v>2278</v>
      </c>
      <c r="K168" s="748">
        <f>'Part I-Project Information'!K139</f>
        <v>0</v>
      </c>
    </row>
    <row r="169" spans="1:16" ht="12.6" customHeight="1">
      <c r="C169" s="748" t="s">
        <v>949</v>
      </c>
      <c r="K169" s="748">
        <f>'Part I-Project Information'!K140</f>
        <v>0</v>
      </c>
      <c r="L169" s="748" t="s">
        <v>2825</v>
      </c>
      <c r="P169" s="748">
        <f>IF('Part VI-Revenues &amp; Expenses'!$M$61=0,0,$K169/'Part VI-Revenues &amp; Expenses'!$M$61)</f>
        <v>0</v>
      </c>
    </row>
    <row r="170" spans="1:16" ht="12.6" customHeight="1">
      <c r="C170" s="748" t="s">
        <v>3272</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953</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 customHeight="1"/>
    <row r="176" spans="1:16" ht="12.6" customHeight="1">
      <c r="B176" s="748" t="s">
        <v>3061</v>
      </c>
      <c r="C176" s="748" t="s">
        <v>2372</v>
      </c>
      <c r="I176" s="748" t="str">
        <f>'Part I-Project Information'!I147</f>
        <v>Yes</v>
      </c>
      <c r="J176" s="748" t="s">
        <v>1253</v>
      </c>
      <c r="L176" s="748">
        <f>'Part I-Project Information'!L147</f>
        <v>2033</v>
      </c>
      <c r="M176" s="748" t="s">
        <v>3469</v>
      </c>
      <c r="P176" s="748">
        <f>'Part I-Project Information'!P147</f>
        <v>5</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3210</v>
      </c>
      <c r="C180" s="748" t="s">
        <v>3053</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2821</v>
      </c>
      <c r="I183" s="748" t="e">
        <f>IF(I181="","",I182/I181)</f>
        <v>#DIV/0!</v>
      </c>
    </row>
    <row r="184" spans="2:16" ht="1.9" customHeight="1"/>
    <row r="185" spans="2:16" ht="13.15" customHeight="1">
      <c r="B185" s="748" t="s">
        <v>2762</v>
      </c>
      <c r="C185" s="748" t="s">
        <v>2373</v>
      </c>
    </row>
    <row r="186" spans="2:16" ht="12.6" customHeight="1">
      <c r="C186" s="748" t="s">
        <v>3326</v>
      </c>
      <c r="I186" s="748" t="str">
        <f>'Part I-Project Information'!I157</f>
        <v>No</v>
      </c>
      <c r="L186" s="748" t="s">
        <v>3325</v>
      </c>
      <c r="P186" s="748" t="str">
        <f>'Part I-Project Information'!P157</f>
        <v>No</v>
      </c>
    </row>
    <row r="187" spans="2:16" ht="12.6" customHeight="1">
      <c r="C187" s="748" t="s">
        <v>3328</v>
      </c>
      <c r="I187" s="748" t="str">
        <f>'Part I-Project Information'!I158</f>
        <v>No</v>
      </c>
      <c r="L187" s="748" t="s">
        <v>2375</v>
      </c>
      <c r="P187" s="748" t="str">
        <f>'Part I-Project Information'!P158</f>
        <v>No</v>
      </c>
    </row>
    <row r="188" spans="2:16" ht="12.6" customHeight="1">
      <c r="C188" s="748" t="s">
        <v>1979</v>
      </c>
      <c r="I188" s="748" t="str">
        <f>'Part I-Project Information'!I159</f>
        <v>No</v>
      </c>
      <c r="L188" s="748" t="s">
        <v>2544</v>
      </c>
      <c r="P188" s="748" t="str">
        <f>'Part I-Project Information'!P159</f>
        <v>No</v>
      </c>
    </row>
    <row r="189" spans="2:16" ht="12.6" customHeight="1">
      <c r="C189" s="748" t="s">
        <v>2374</v>
      </c>
      <c r="I189" s="748" t="str">
        <f>'Part I-Project Information'!I160</f>
        <v>No</v>
      </c>
      <c r="L189" s="748" t="s">
        <v>2289</v>
      </c>
      <c r="P189" s="748" t="str">
        <f>'Part I-Project Information'!P160</f>
        <v>No</v>
      </c>
    </row>
    <row r="190" spans="2:16" ht="12.6" customHeight="1">
      <c r="C190" s="748" t="s">
        <v>2376</v>
      </c>
      <c r="I190" s="748" t="str">
        <f>'Part I-Project Information'!I161</f>
        <v>No</v>
      </c>
    </row>
    <row r="191" spans="2:16" ht="12.6" customHeight="1">
      <c r="C191" s="748" t="s">
        <v>2843</v>
      </c>
      <c r="I191" s="748" t="str">
        <f>'Part I-Project Information'!I162</f>
        <v>No</v>
      </c>
      <c r="J191" s="748" t="s">
        <v>3372</v>
      </c>
      <c r="O191" s="748">
        <f>'Part I-Project Information'!O162</f>
        <v>0</v>
      </c>
    </row>
    <row r="192" spans="2:16" ht="12.6" customHeight="1">
      <c r="C192" s="748" t="s">
        <v>3408</v>
      </c>
      <c r="E192" s="748">
        <f>'Part I-Project Information'!E163</f>
        <v>0</v>
      </c>
      <c r="I192" s="748">
        <f>'Part I-Project Information'!I163</f>
        <v>0</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3434</v>
      </c>
      <c r="I197" s="748">
        <f>'Part I-Project Information'!I168</f>
        <v>0</v>
      </c>
    </row>
    <row r="198" spans="1:12" ht="1.9" customHeight="1"/>
    <row r="199" spans="1:12" ht="12" customHeight="1">
      <c r="A199" s="748" t="s">
        <v>2752</v>
      </c>
      <c r="C199" s="748" t="s">
        <v>879</v>
      </c>
      <c r="K199" s="748" t="s">
        <v>3379</v>
      </c>
      <c r="L199" s="748" t="s">
        <v>89</v>
      </c>
    </row>
    <row r="200" spans="1:12" ht="38.450000000000003" customHeight="1">
      <c r="A200" s="748" t="str">
        <f>'Part I-Project Information'!A171</f>
        <v>IV - Political Jurisdiction - The City of Thomson does not have a fax number.</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2011-038 Thomson Estates, , City of Cairo Development Authority County</v>
      </c>
    </row>
    <row r="206" spans="1:12" ht="12" customHeight="1"/>
    <row r="207" spans="1:12" ht="13.15" customHeight="1">
      <c r="A207" s="748" t="s">
        <v>950</v>
      </c>
      <c r="B207" s="748" t="s">
        <v>2911</v>
      </c>
    </row>
    <row r="208" spans="1:12" ht="8.4499999999999993" customHeight="1"/>
    <row r="209" spans="2:17" ht="12.6" customHeight="1">
      <c r="B209" s="748" t="s">
        <v>3058</v>
      </c>
      <c r="C209" s="748" t="s">
        <v>2907</v>
      </c>
      <c r="H209" s="748" t="str">
        <f>'Part II-Development Team'!H5</f>
        <v>Thomson Estates, L.P.</v>
      </c>
      <c r="O209" s="748" t="s">
        <v>3065</v>
      </c>
      <c r="Q209" s="748" t="str">
        <f>'Part II-Development Team'!Q5</f>
        <v>Chase Northcutt</v>
      </c>
    </row>
    <row r="210" spans="2:17" ht="12.6" customHeight="1">
      <c r="E210" s="748" t="s">
        <v>1641</v>
      </c>
      <c r="H210" s="748" t="str">
        <f>'Part II-Development Team'!H6</f>
        <v>3060 Peachtree Road, NW, Suite 900</v>
      </c>
      <c r="O210" s="748" t="s">
        <v>2775</v>
      </c>
      <c r="Q210" s="748" t="str">
        <f>'Part II-Development Team'!Q6</f>
        <v>President of GP</v>
      </c>
    </row>
    <row r="211" spans="2:17" ht="12.6" customHeight="1">
      <c r="E211" s="748" t="s">
        <v>953</v>
      </c>
      <c r="H211" s="748" t="str">
        <f>'Part II-Development Team'!H7</f>
        <v>Atlanta</v>
      </c>
      <c r="K211" s="748" t="s">
        <v>1254</v>
      </c>
      <c r="L211" s="748">
        <f>'Part II-Development Team'!L7</f>
        <v>0</v>
      </c>
      <c r="O211" s="748" t="s">
        <v>2833</v>
      </c>
      <c r="Q211" s="748">
        <f>'Part II-Development Team'!Q7</f>
        <v>4043642937</v>
      </c>
    </row>
    <row r="212" spans="2:17" ht="12.6" customHeight="1">
      <c r="E212" s="748" t="s">
        <v>2829</v>
      </c>
      <c r="H212" s="748" t="str">
        <f>'Part II-Development Team'!H8</f>
        <v>GA</v>
      </c>
      <c r="I212" s="748" t="s">
        <v>4068</v>
      </c>
      <c r="J212" s="748">
        <f>'Part II-Development Team'!J8</f>
        <v>303052256</v>
      </c>
      <c r="L212" s="748" t="s">
        <v>4069</v>
      </c>
      <c r="N212" s="748">
        <f>'Part II-Development Team'!N8</f>
        <v>5</v>
      </c>
      <c r="O212" s="748" t="s">
        <v>3054</v>
      </c>
      <c r="Q212" s="748">
        <f>'Part II-Development Team'!Q8</f>
        <v>7702625017</v>
      </c>
    </row>
    <row r="213" spans="2:17" ht="12.6" customHeight="1">
      <c r="E213" s="748" t="s">
        <v>3060</v>
      </c>
      <c r="H213" s="748">
        <f>'Part II-Development Team'!H9</f>
        <v>4043642900</v>
      </c>
      <c r="J213" s="748">
        <f>'Part II-Development Team'!J9</f>
        <v>0</v>
      </c>
      <c r="K213" s="748" t="s">
        <v>2832</v>
      </c>
      <c r="L213" s="748">
        <f>'Part II-Development Team'!L9</f>
        <v>4043642901</v>
      </c>
      <c r="N213" s="748" t="s">
        <v>3059</v>
      </c>
      <c r="O213" s="748" t="str">
        <f>'Part II-Development Team'!O9</f>
        <v>chase@rhanet.org</v>
      </c>
    </row>
    <row r="214" spans="2:17" ht="13.15" customHeight="1">
      <c r="E214" s="748" t="s">
        <v>997</v>
      </c>
      <c r="L214" s="748" t="s">
        <v>1214</v>
      </c>
    </row>
    <row r="215" spans="2:17" ht="4.1500000000000004" customHeight="1"/>
    <row r="216" spans="2:17" ht="13.15" customHeight="1">
      <c r="B216" s="748" t="s">
        <v>3061</v>
      </c>
      <c r="C216" s="748" t="s">
        <v>2908</v>
      </c>
      <c r="L216" s="748" t="s">
        <v>1971</v>
      </c>
      <c r="O216" s="748" t="s">
        <v>1972</v>
      </c>
    </row>
    <row r="217" spans="2:17" ht="4.1500000000000004" customHeight="1"/>
    <row r="218" spans="2:17" ht="13.15" customHeight="1">
      <c r="C218" s="748" t="s">
        <v>3062</v>
      </c>
      <c r="D218" s="748" t="s">
        <v>3063</v>
      </c>
      <c r="L218" s="748" t="s">
        <v>1975</v>
      </c>
      <c r="O218" s="748" t="s">
        <v>1970</v>
      </c>
    </row>
    <row r="219" spans="2:17" ht="4.1500000000000004" customHeight="1"/>
    <row r="220" spans="2:17" ht="12.6" customHeight="1">
      <c r="D220" s="748" t="s">
        <v>3211</v>
      </c>
      <c r="E220" s="748" t="s">
        <v>2909</v>
      </c>
      <c r="H220" s="748" t="str">
        <f>'Part II-Development Team'!H16</f>
        <v>Thomson Estates GP, L.L.C.</v>
      </c>
      <c r="O220" s="748" t="s">
        <v>3065</v>
      </c>
      <c r="Q220" s="748" t="str">
        <f>'Part II-Development Team'!Q16</f>
        <v>Chase Northcutt</v>
      </c>
    </row>
    <row r="221" spans="2:17" ht="12.6" customHeight="1">
      <c r="E221" s="748" t="s">
        <v>1641</v>
      </c>
      <c r="H221" s="748" t="str">
        <f>'Part II-Development Team'!H17</f>
        <v>3060 Peachtree Road, NE, Suite 900</v>
      </c>
      <c r="O221" s="748" t="s">
        <v>2775</v>
      </c>
      <c r="Q221" s="748" t="str">
        <f>'Part II-Development Team'!Q17</f>
        <v>President</v>
      </c>
    </row>
    <row r="222" spans="2:17" ht="12.6" customHeight="1">
      <c r="E222" s="748" t="s">
        <v>953</v>
      </c>
      <c r="H222" s="748" t="str">
        <f>'Part II-Development Team'!H18</f>
        <v>Atlanta</v>
      </c>
      <c r="O222" s="748" t="s">
        <v>2833</v>
      </c>
      <c r="Q222" s="748">
        <f>'Part II-Development Team'!Q18</f>
        <v>4043642937</v>
      </c>
    </row>
    <row r="223" spans="2:17" ht="12.6" customHeight="1">
      <c r="E223" s="748" t="s">
        <v>2829</v>
      </c>
      <c r="H223" s="748" t="str">
        <f>'Part II-Development Team'!H19</f>
        <v>GA</v>
      </c>
      <c r="I223" s="748" t="s">
        <v>4068</v>
      </c>
      <c r="J223" s="748">
        <f>'Part II-Development Team'!J19</f>
        <v>303052256</v>
      </c>
      <c r="L223" s="748" t="s">
        <v>4069</v>
      </c>
      <c r="N223" s="748">
        <f>'Part II-Development Team'!N19</f>
        <v>5</v>
      </c>
      <c r="O223" s="748" t="s">
        <v>3054</v>
      </c>
      <c r="Q223" s="748">
        <f>'Part II-Development Team'!Q19</f>
        <v>7702625017</v>
      </c>
    </row>
    <row r="224" spans="2:17" ht="12.6" customHeight="1">
      <c r="E224" s="748" t="s">
        <v>3060</v>
      </c>
      <c r="H224" s="748">
        <f>'Part II-Development Team'!H20</f>
        <v>4043642900</v>
      </c>
      <c r="J224" s="748">
        <f>'Part II-Development Team'!J20</f>
        <v>0</v>
      </c>
      <c r="K224" s="748" t="s">
        <v>2832</v>
      </c>
      <c r="L224" s="748">
        <f>'Part II-Development Team'!L20</f>
        <v>4043642901</v>
      </c>
      <c r="N224" s="748" t="s">
        <v>3059</v>
      </c>
      <c r="O224" s="748" t="str">
        <f>'Part II-Development Team'!O20</f>
        <v>chase@rhanet.org</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1500000000000004" customHeight="1"/>
    <row r="232" spans="3:17" ht="12.6" customHeight="1">
      <c r="D232" s="748" t="s">
        <v>2761</v>
      </c>
      <c r="E232" s="748" t="s">
        <v>2910</v>
      </c>
      <c r="H232" s="748">
        <f>'Part II-Development Team'!H28</f>
        <v>0</v>
      </c>
      <c r="O232" s="748" t="s">
        <v>3065</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1239</v>
      </c>
      <c r="H240" s="748" t="str">
        <f>'Part II-Development Team'!H36</f>
        <v>Affordable Equity Partners</v>
      </c>
      <c r="O240" s="748" t="s">
        <v>3065</v>
      </c>
      <c r="Q240" s="748" t="str">
        <f>'Part II-Development Team'!Q36</f>
        <v>Brian Kimes</v>
      </c>
    </row>
    <row r="241" spans="3:17" ht="12.6" customHeight="1">
      <c r="E241" s="748" t="s">
        <v>1641</v>
      </c>
      <c r="H241" s="748" t="str">
        <f>'Part II-Development Team'!H37</f>
        <v>206 Peach Way</v>
      </c>
      <c r="O241" s="748" t="s">
        <v>2775</v>
      </c>
      <c r="Q241" s="748" t="str">
        <f>'Part II-Development Team'!Q37</f>
        <v>Director</v>
      </c>
    </row>
    <row r="242" spans="3:17" ht="12.6" customHeight="1">
      <c r="E242" s="748" t="s">
        <v>953</v>
      </c>
      <c r="H242" s="748" t="str">
        <f>'Part II-Development Team'!H38</f>
        <v>Columbia</v>
      </c>
      <c r="O242" s="748" t="s">
        <v>2833</v>
      </c>
      <c r="Q242" s="748">
        <f>'Part II-Development Team'!Q38</f>
        <v>0</v>
      </c>
    </row>
    <row r="243" spans="3:17" ht="12.6" customHeight="1">
      <c r="E243" s="748" t="s">
        <v>2829</v>
      </c>
      <c r="H243" s="748" t="str">
        <f>'Part II-Development Team'!H39</f>
        <v>MO</v>
      </c>
      <c r="I243" s="748" t="s">
        <v>3352</v>
      </c>
      <c r="J243" s="748">
        <f>'Part II-Development Team'!J39</f>
        <v>652034905</v>
      </c>
      <c r="O243" s="748" t="s">
        <v>3054</v>
      </c>
      <c r="Q243" s="748">
        <f>'Part II-Development Team'!Q39</f>
        <v>5734248811</v>
      </c>
    </row>
    <row r="244" spans="3:17" ht="12.6" customHeight="1">
      <c r="E244" s="748" t="s">
        <v>3060</v>
      </c>
      <c r="H244" s="748">
        <f>'Part II-Development Team'!H40</f>
        <v>5734432021</v>
      </c>
      <c r="J244" s="748">
        <f>'Part II-Development Team'!J40</f>
        <v>0</v>
      </c>
      <c r="K244" s="748" t="s">
        <v>2832</v>
      </c>
      <c r="L244" s="748">
        <f>'Part II-Development Team'!L40</f>
        <v>5738747116</v>
      </c>
      <c r="N244" s="748" t="s">
        <v>3059</v>
      </c>
      <c r="O244" s="748" t="str">
        <f>'Part II-Development Team'!O40</f>
        <v>bkimes@aepartners.com</v>
      </c>
    </row>
    <row r="245" spans="3:17" ht="4.1500000000000004" customHeight="1"/>
    <row r="246" spans="3:17" ht="12.6" customHeight="1">
      <c r="D246" s="748" t="s">
        <v>3212</v>
      </c>
      <c r="E246" s="748" t="s">
        <v>1240</v>
      </c>
      <c r="H246" s="748" t="str">
        <f>'Part II-Development Team'!H42</f>
        <v>Affordable Equity Partners</v>
      </c>
      <c r="O246" s="748" t="s">
        <v>3065</v>
      </c>
      <c r="Q246" s="748" t="str">
        <f>'Part II-Development Team'!Q42</f>
        <v>Brian Kimes</v>
      </c>
    </row>
    <row r="247" spans="3:17" ht="12.6" customHeight="1">
      <c r="E247" s="748" t="s">
        <v>1641</v>
      </c>
      <c r="H247" s="748" t="str">
        <f>'Part II-Development Team'!H43</f>
        <v>206 Peach Way</v>
      </c>
      <c r="O247" s="748" t="s">
        <v>2775</v>
      </c>
      <c r="Q247" s="748" t="str">
        <f>'Part II-Development Team'!Q43</f>
        <v>Director</v>
      </c>
    </row>
    <row r="248" spans="3:17" ht="12.6" customHeight="1">
      <c r="E248" s="748" t="s">
        <v>953</v>
      </c>
      <c r="H248" s="748" t="str">
        <f>'Part II-Development Team'!H44</f>
        <v>Columbia</v>
      </c>
      <c r="O248" s="748" t="s">
        <v>2833</v>
      </c>
      <c r="Q248" s="748">
        <f>'Part II-Development Team'!Q44</f>
        <v>0</v>
      </c>
    </row>
    <row r="249" spans="3:17" ht="12.6" customHeight="1">
      <c r="E249" s="748" t="s">
        <v>2829</v>
      </c>
      <c r="H249" s="748" t="str">
        <f>'Part II-Development Team'!H45</f>
        <v>MO</v>
      </c>
      <c r="I249" s="748" t="s">
        <v>3352</v>
      </c>
      <c r="J249" s="748">
        <f>'Part II-Development Team'!J45</f>
        <v>652034905</v>
      </c>
      <c r="O249" s="748" t="s">
        <v>3054</v>
      </c>
      <c r="Q249" s="748">
        <f>'Part II-Development Team'!Q45</f>
        <v>5734248811</v>
      </c>
    </row>
    <row r="250" spans="3:17" ht="12.6" customHeight="1">
      <c r="E250" s="748" t="s">
        <v>3060</v>
      </c>
      <c r="H250" s="748">
        <f>'Part II-Development Team'!H46</f>
        <v>5734432021</v>
      </c>
      <c r="J250" s="748">
        <f>'Part II-Development Team'!J46</f>
        <v>0</v>
      </c>
      <c r="K250" s="748" t="s">
        <v>2832</v>
      </c>
      <c r="L250" s="748">
        <f>'Part II-Development Team'!L46</f>
        <v>5738747116</v>
      </c>
      <c r="N250" s="748" t="s">
        <v>3059</v>
      </c>
      <c r="O250" s="748" t="str">
        <f>'Part II-Development Team'!O46</f>
        <v>bkimes@aepartners.com</v>
      </c>
    </row>
    <row r="251" spans="3:17" ht="4.1500000000000004" customHeight="1"/>
    <row r="252" spans="3:17" ht="13.15" customHeight="1">
      <c r="C252" s="748" t="s">
        <v>3821</v>
      </c>
      <c r="D252" s="748" t="s">
        <v>994</v>
      </c>
    </row>
    <row r="253" spans="3:17" ht="4.1500000000000004" customHeight="1"/>
    <row r="254" spans="3:17" ht="12.6" customHeight="1">
      <c r="E254" s="748" t="s">
        <v>103</v>
      </c>
      <c r="H254" s="748" t="str">
        <f>'Part II-Development Team'!H50</f>
        <v>RHA/Housing, Inc.</v>
      </c>
      <c r="O254" s="748" t="s">
        <v>3065</v>
      </c>
      <c r="Q254" s="748" t="str">
        <f>'Part II-Development Team'!Q50</f>
        <v>Chase Northcutt</v>
      </c>
    </row>
    <row r="255" spans="3:17" ht="12.6" customHeight="1">
      <c r="E255" s="748" t="s">
        <v>1641</v>
      </c>
      <c r="H255" s="748" t="str">
        <f>'Part II-Development Team'!H51</f>
        <v>3060 Peachtree Road, NW, Suite 900</v>
      </c>
      <c r="O255" s="748" t="s">
        <v>2775</v>
      </c>
      <c r="Q255" s="748" t="str">
        <f>'Part II-Development Team'!Q51</f>
        <v>President</v>
      </c>
    </row>
    <row r="256" spans="3:17" ht="12.6" customHeight="1">
      <c r="E256" s="748" t="s">
        <v>953</v>
      </c>
      <c r="H256" s="748" t="str">
        <f>'Part II-Development Team'!H52</f>
        <v>Atlanta</v>
      </c>
      <c r="O256" s="748" t="s">
        <v>2833</v>
      </c>
      <c r="Q256" s="748">
        <f>'Part II-Development Team'!Q52</f>
        <v>4043642937</v>
      </c>
    </row>
    <row r="257" spans="1:17" ht="12.6" customHeight="1">
      <c r="E257" s="748" t="s">
        <v>2829</v>
      </c>
      <c r="H257" s="748" t="str">
        <f>'Part II-Development Team'!H53</f>
        <v>GA</v>
      </c>
      <c r="I257" s="748" t="s">
        <v>3352</v>
      </c>
      <c r="J257" s="748">
        <f>'Part II-Development Team'!J53</f>
        <v>303052240</v>
      </c>
      <c r="O257" s="748" t="s">
        <v>3054</v>
      </c>
      <c r="Q257" s="748">
        <f>'Part II-Development Team'!Q53</f>
        <v>7702625017</v>
      </c>
    </row>
    <row r="258" spans="1:17" ht="12.6" customHeight="1">
      <c r="E258" s="748" t="s">
        <v>3060</v>
      </c>
      <c r="H258" s="748">
        <f>'Part II-Development Team'!H54</f>
        <v>4043642900</v>
      </c>
      <c r="J258" s="748">
        <f>'Part II-Development Team'!J54</f>
        <v>0</v>
      </c>
      <c r="K258" s="748" t="s">
        <v>2832</v>
      </c>
      <c r="L258" s="748">
        <f>'Part II-Development Team'!L54</f>
        <v>4043642901</v>
      </c>
      <c r="N258" s="748" t="s">
        <v>3059</v>
      </c>
      <c r="O258" s="748" t="str">
        <f>'Part II-Development Team'!O54</f>
        <v>chase@rhanet.org</v>
      </c>
    </row>
    <row r="259" spans="1:17" ht="13.15" customHeight="1"/>
    <row r="260" spans="1:17" ht="13.15" customHeight="1">
      <c r="A260" s="748" t="s">
        <v>1229</v>
      </c>
      <c r="B260" s="748" t="s">
        <v>995</v>
      </c>
    </row>
    <row r="261" spans="1:17" ht="9" customHeight="1"/>
    <row r="262" spans="1:17" ht="13.15" customHeight="1">
      <c r="B262" s="748" t="s">
        <v>3058</v>
      </c>
      <c r="C262" s="748" t="s">
        <v>375</v>
      </c>
      <c r="H262" s="748" t="str">
        <f>'Part II-Development Team'!H58</f>
        <v>Thomson Estates Development, L.L.C.</v>
      </c>
      <c r="O262" s="748" t="s">
        <v>3065</v>
      </c>
      <c r="Q262" s="748" t="str">
        <f>'Part II-Development Team'!Q58</f>
        <v>Gary R. Hammond, Jr.</v>
      </c>
    </row>
    <row r="263" spans="1:17" ht="13.15" customHeight="1">
      <c r="E263" s="748" t="s">
        <v>1641</v>
      </c>
      <c r="H263" s="748" t="str">
        <f>'Part II-Development Team'!H59</f>
        <v>7000 Peachtree Dunwoody Road, Suite 4-100</v>
      </c>
      <c r="O263" s="748" t="s">
        <v>2775</v>
      </c>
      <c r="Q263" s="748" t="str">
        <f>'Part II-Development Team'!Q59</f>
        <v>Manager</v>
      </c>
    </row>
    <row r="264" spans="1:17" ht="13.15" customHeight="1">
      <c r="E264" s="748" t="s">
        <v>953</v>
      </c>
      <c r="H264" s="748" t="str">
        <f>'Part II-Development Team'!H60</f>
        <v>Atlanta</v>
      </c>
      <c r="O264" s="748" t="s">
        <v>2833</v>
      </c>
      <c r="Q264" s="748">
        <f>'Part II-Development Team'!Q60</f>
        <v>7704810853</v>
      </c>
    </row>
    <row r="265" spans="1:17" ht="13.15" customHeight="1">
      <c r="E265" s="748" t="s">
        <v>2829</v>
      </c>
      <c r="H265" s="748" t="str">
        <f>'Part II-Development Team'!H61</f>
        <v>GA</v>
      </c>
      <c r="I265" s="748" t="s">
        <v>3352</v>
      </c>
      <c r="J265" s="748">
        <f>'Part II-Development Team'!J61</f>
        <v>303281655</v>
      </c>
      <c r="O265" s="748" t="s">
        <v>3054</v>
      </c>
      <c r="Q265" s="748">
        <f>'Part II-Development Team'!Q61</f>
        <v>4045430855</v>
      </c>
    </row>
    <row r="266" spans="1:17" ht="13.15" customHeight="1">
      <c r="E266" s="748" t="s">
        <v>3060</v>
      </c>
      <c r="H266" s="748">
        <f>'Part II-Development Team'!H62</f>
        <v>7704810855</v>
      </c>
      <c r="J266" s="748">
        <f>'Part II-Development Team'!J62</f>
        <v>100</v>
      </c>
      <c r="K266" s="748" t="s">
        <v>2832</v>
      </c>
      <c r="L266" s="748">
        <f>'Part II-Development Team'!L62</f>
        <v>7704810854</v>
      </c>
      <c r="N266" s="748" t="s">
        <v>3059</v>
      </c>
      <c r="O266" s="748" t="str">
        <f>'Part II-Development Team'!O62</f>
        <v>grh@grhco.com</v>
      </c>
    </row>
    <row r="267" spans="1:17" ht="6.6" customHeight="1"/>
    <row r="268" spans="1:17" ht="13.15" customHeight="1">
      <c r="B268" s="748" t="s">
        <v>3061</v>
      </c>
      <c r="C268" s="748" t="s">
        <v>376</v>
      </c>
      <c r="H268" s="748">
        <f>'Part II-Development Team'!H64</f>
        <v>0</v>
      </c>
      <c r="O268" s="748" t="s">
        <v>3065</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2833</v>
      </c>
      <c r="Q270" s="748">
        <f>'Part II-Development Team'!Q66</f>
        <v>0</v>
      </c>
    </row>
    <row r="271" spans="1:17" ht="13.15" customHeight="1">
      <c r="E271" s="748" t="s">
        <v>2829</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15" customHeight="1">
      <c r="B274" s="748" t="s">
        <v>1238</v>
      </c>
      <c r="C274" s="748" t="s">
        <v>2279</v>
      </c>
      <c r="H274" s="748">
        <f>'Part II-Development Team'!H70</f>
        <v>0</v>
      </c>
      <c r="O274" s="748" t="s">
        <v>3065</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2833</v>
      </c>
      <c r="Q276" s="748">
        <f>'Part II-Development Team'!Q72</f>
        <v>0</v>
      </c>
    </row>
    <row r="277" spans="1:17" ht="13.15" customHeight="1">
      <c r="E277" s="748" t="s">
        <v>2829</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15" customHeight="1">
      <c r="B280" s="748" t="s">
        <v>3210</v>
      </c>
      <c r="C280" s="748" t="s">
        <v>377</v>
      </c>
      <c r="H280" s="748">
        <f>'Part II-Development Team'!H76</f>
        <v>0</v>
      </c>
      <c r="O280" s="748" t="s">
        <v>3065</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2833</v>
      </c>
      <c r="Q282" s="748">
        <f>'Part II-Development Team'!Q78</f>
        <v>0</v>
      </c>
    </row>
    <row r="283" spans="1:17" ht="13.15" customHeight="1">
      <c r="E283" s="748" t="s">
        <v>2829</v>
      </c>
      <c r="H283" s="748">
        <f>'Part II-Development Team'!H79</f>
        <v>0</v>
      </c>
      <c r="I283" s="748" t="s">
        <v>3352</v>
      </c>
      <c r="J283" s="748">
        <f>'Part II-Development Team'!J79</f>
        <v>0</v>
      </c>
      <c r="O283" s="748" t="s">
        <v>3054</v>
      </c>
      <c r="Q283" s="748">
        <f>'Part II-Development Team'!Q79</f>
        <v>0</v>
      </c>
    </row>
    <row r="284" spans="1:17" ht="13.15" customHeight="1">
      <c r="E284" s="748" t="s">
        <v>3060</v>
      </c>
      <c r="H284" s="748">
        <f>'Part II-Development Team'!H80</f>
        <v>0</v>
      </c>
      <c r="J284" s="748">
        <f>'Part II-Development Team'!J80</f>
        <v>0</v>
      </c>
      <c r="K284" s="748" t="s">
        <v>2832</v>
      </c>
      <c r="L284" s="748">
        <f>'Part II-Development Team'!L80</f>
        <v>0</v>
      </c>
      <c r="N284" s="748" t="s">
        <v>3059</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3058</v>
      </c>
      <c r="C288" s="748" t="s">
        <v>379</v>
      </c>
      <c r="H288" s="748">
        <f>'Part II-Development Team'!H84</f>
        <v>0</v>
      </c>
      <c r="O288" s="748" t="s">
        <v>3065</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2833</v>
      </c>
      <c r="Q290" s="748">
        <f>'Part II-Development Team'!Q86</f>
        <v>0</v>
      </c>
    </row>
    <row r="291" spans="2:17" ht="13.15" customHeight="1">
      <c r="E291" s="748" t="s">
        <v>2829</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15" customHeight="1">
      <c r="B294" s="748" t="s">
        <v>3061</v>
      </c>
      <c r="C294" s="748" t="s">
        <v>380</v>
      </c>
      <c r="H294" s="748" t="str">
        <f>'Part II-Development Team'!H90</f>
        <v>General Construction, Inc.</v>
      </c>
      <c r="O294" s="748" t="s">
        <v>3065</v>
      </c>
      <c r="Q294" s="748" t="str">
        <f>'Part II-Development Team'!Q90</f>
        <v>Mason Battle</v>
      </c>
    </row>
    <row r="295" spans="2:17" ht="13.15" customHeight="1">
      <c r="E295" s="748" t="s">
        <v>1641</v>
      </c>
      <c r="H295" s="748" t="str">
        <f>'Part II-Development Team'!H91</f>
        <v>1635 Beaver Ruin Road</v>
      </c>
      <c r="O295" s="748" t="s">
        <v>2775</v>
      </c>
      <c r="Q295" s="748" t="str">
        <f>'Part II-Development Team'!Q91</f>
        <v>Principal</v>
      </c>
    </row>
    <row r="296" spans="2:17" ht="13.15" customHeight="1">
      <c r="E296" s="748" t="s">
        <v>953</v>
      </c>
      <c r="H296" s="748" t="str">
        <f>'Part II-Development Team'!H92</f>
        <v>Norcross</v>
      </c>
      <c r="O296" s="748" t="s">
        <v>2833</v>
      </c>
      <c r="Q296" s="748">
        <f>'Part II-Development Team'!Q92</f>
        <v>0</v>
      </c>
    </row>
    <row r="297" spans="2:17" ht="13.15" customHeight="1">
      <c r="E297" s="748" t="s">
        <v>2829</v>
      </c>
      <c r="H297" s="748" t="str">
        <f>'Part II-Development Team'!H93</f>
        <v>GA</v>
      </c>
      <c r="I297" s="748" t="s">
        <v>3352</v>
      </c>
      <c r="J297" s="748">
        <f>'Part II-Development Team'!J93</f>
        <v>300932804</v>
      </c>
      <c r="O297" s="748" t="s">
        <v>3054</v>
      </c>
      <c r="Q297" s="748">
        <f>'Part II-Development Team'!Q93</f>
        <v>6787259006</v>
      </c>
    </row>
    <row r="298" spans="2:17" ht="13.15" customHeight="1">
      <c r="E298" s="748" t="s">
        <v>3060</v>
      </c>
      <c r="H298" s="748">
        <f>'Part II-Development Team'!H94</f>
        <v>7709250643</v>
      </c>
      <c r="J298" s="748">
        <f>'Part II-Development Team'!J94</f>
        <v>0</v>
      </c>
      <c r="K298" s="748" t="s">
        <v>2832</v>
      </c>
      <c r="L298" s="748">
        <f>'Part II-Development Team'!L94</f>
        <v>7709250077</v>
      </c>
      <c r="N298" s="748" t="s">
        <v>3059</v>
      </c>
      <c r="O298" s="748" t="str">
        <f>'Part II-Development Team'!O94</f>
        <v>mbattle@gcatlanta.com</v>
      </c>
    </row>
    <row r="299" spans="2:17" ht="6.6" customHeight="1"/>
    <row r="300" spans="2:17" ht="13.15" customHeight="1">
      <c r="B300" s="748" t="s">
        <v>1238</v>
      </c>
      <c r="C300" s="748" t="s">
        <v>381</v>
      </c>
      <c r="H300" s="748" t="str">
        <f>'Part II-Development Team'!H96</f>
        <v>Fairway Management Company</v>
      </c>
      <c r="O300" s="748" t="s">
        <v>3065</v>
      </c>
      <c r="Q300" s="748" t="str">
        <f>'Part II-Development Team'!Q96</f>
        <v>Jeffrey E. Smith</v>
      </c>
    </row>
    <row r="301" spans="2:17" ht="13.15" customHeight="1">
      <c r="E301" s="748" t="s">
        <v>1641</v>
      </c>
      <c r="H301" s="748" t="str">
        <f>'Part II-Development Team'!H97</f>
        <v>206 Peach Way</v>
      </c>
      <c r="O301" s="748" t="s">
        <v>2775</v>
      </c>
      <c r="Q301" s="748" t="str">
        <f>'Part II-Development Team'!Q97</f>
        <v>Principal</v>
      </c>
    </row>
    <row r="302" spans="2:17" ht="13.15" customHeight="1">
      <c r="E302" s="748" t="s">
        <v>953</v>
      </c>
      <c r="H302" s="748" t="str">
        <f>'Part II-Development Team'!H98</f>
        <v>Columbia</v>
      </c>
      <c r="O302" s="748" t="s">
        <v>2833</v>
      </c>
      <c r="Q302" s="748">
        <f>'Part II-Development Team'!Q98</f>
        <v>0</v>
      </c>
    </row>
    <row r="303" spans="2:17" ht="13.15" customHeight="1">
      <c r="E303" s="748" t="s">
        <v>2829</v>
      </c>
      <c r="H303" s="748" t="str">
        <f>'Part II-Development Team'!H99</f>
        <v>MS</v>
      </c>
      <c r="I303" s="748" t="s">
        <v>3352</v>
      </c>
      <c r="J303" s="748">
        <f>'Part II-Development Team'!J99</f>
        <v>652034905</v>
      </c>
      <c r="O303" s="748" t="s">
        <v>3054</v>
      </c>
      <c r="Q303" s="748">
        <f>'Part II-Development Team'!Q99</f>
        <v>0</v>
      </c>
    </row>
    <row r="304" spans="2:17" ht="13.15" customHeight="1">
      <c r="E304" s="748" t="s">
        <v>3060</v>
      </c>
      <c r="H304" s="748">
        <f>'Part II-Development Team'!H100</f>
        <v>5734432021</v>
      </c>
      <c r="J304" s="748">
        <f>'Part II-Development Team'!J100</f>
        <v>0</v>
      </c>
      <c r="K304" s="748" t="s">
        <v>2832</v>
      </c>
      <c r="L304" s="748">
        <f>'Part II-Development Team'!L100</f>
        <v>5738747116</v>
      </c>
      <c r="N304" s="748" t="s">
        <v>3059</v>
      </c>
      <c r="O304" s="748" t="str">
        <f>'Part II-Development Team'!O100</f>
        <v>jesmith@jesholding.com</v>
      </c>
    </row>
    <row r="305" spans="2:17" ht="6.6" customHeight="1"/>
    <row r="306" spans="2:17" ht="13.15" customHeight="1">
      <c r="B306" s="748" t="s">
        <v>3210</v>
      </c>
      <c r="C306" s="748" t="s">
        <v>382</v>
      </c>
      <c r="H306" s="748" t="str">
        <f>'Part II-Development Team'!H102</f>
        <v>Peter M. Wright, Esquire</v>
      </c>
      <c r="O306" s="748" t="s">
        <v>3065</v>
      </c>
      <c r="Q306" s="748" t="str">
        <f>'Part II-Development Team'!Q102</f>
        <v>Peter M. Wright</v>
      </c>
    </row>
    <row r="307" spans="2:17" ht="13.15" customHeight="1">
      <c r="E307" s="748" t="s">
        <v>1641</v>
      </c>
      <c r="H307" s="748" t="str">
        <f>'Part II-Development Team'!H103</f>
        <v>3060 Peachtree Road, NW, Suite 900</v>
      </c>
      <c r="O307" s="748" t="s">
        <v>2775</v>
      </c>
      <c r="Q307" s="748" t="str">
        <f>'Part II-Development Team'!Q103</f>
        <v>Attorney</v>
      </c>
    </row>
    <row r="308" spans="2:17" ht="13.15" customHeight="1">
      <c r="E308" s="748" t="s">
        <v>953</v>
      </c>
      <c r="H308" s="748" t="str">
        <f>'Part II-Development Team'!H104</f>
        <v>Atlanta</v>
      </c>
      <c r="O308" s="748" t="s">
        <v>2833</v>
      </c>
      <c r="Q308" s="748">
        <f>'Part II-Development Team'!Q104</f>
        <v>4047603433</v>
      </c>
    </row>
    <row r="309" spans="2:17" ht="13.15" customHeight="1">
      <c r="E309" s="748" t="s">
        <v>2829</v>
      </c>
      <c r="H309" s="748" t="str">
        <f>'Part II-Development Team'!H105</f>
        <v>GA</v>
      </c>
      <c r="I309" s="748" t="s">
        <v>3352</v>
      </c>
      <c r="J309" s="748">
        <f>'Part II-Development Team'!J105</f>
        <v>303052256</v>
      </c>
      <c r="O309" s="748" t="s">
        <v>3054</v>
      </c>
      <c r="Q309" s="748">
        <f>'Part II-Development Team'!Q105</f>
        <v>0</v>
      </c>
    </row>
    <row r="310" spans="2:17" ht="13.15" customHeight="1">
      <c r="E310" s="748" t="s">
        <v>3060</v>
      </c>
      <c r="H310" s="748">
        <f>'Part II-Development Team'!H106</f>
        <v>4043642900</v>
      </c>
      <c r="J310" s="748">
        <f>'Part II-Development Team'!J106</f>
        <v>0</v>
      </c>
      <c r="K310" s="748" t="s">
        <v>2832</v>
      </c>
      <c r="L310" s="748">
        <f>'Part II-Development Team'!L106</f>
        <v>4047603443</v>
      </c>
      <c r="N310" s="748" t="s">
        <v>3059</v>
      </c>
      <c r="O310" s="748" t="str">
        <f>'Part II-Development Team'!O106</f>
        <v>pwright@rhanet.org</v>
      </c>
    </row>
    <row r="311" spans="2:17" ht="6" customHeight="1"/>
    <row r="312" spans="2:17" ht="0.6" customHeight="1"/>
    <row r="313" spans="2:17" ht="13.15" customHeight="1">
      <c r="B313" s="748" t="s">
        <v>2762</v>
      </c>
      <c r="C313" s="748" t="s">
        <v>383</v>
      </c>
      <c r="H313" s="748" t="str">
        <f>'Part II-Development Team'!H109</f>
        <v>Reznick Group, PC</v>
      </c>
      <c r="O313" s="748" t="s">
        <v>3065</v>
      </c>
      <c r="Q313" s="748" t="str">
        <f>'Part II-Development Team'!Q109</f>
        <v>Timothy Kemper</v>
      </c>
    </row>
    <row r="314" spans="2:17" ht="13.15" customHeight="1">
      <c r="E314" s="748" t="s">
        <v>1641</v>
      </c>
      <c r="H314" s="748" t="str">
        <f>'Part II-Development Team'!H110</f>
        <v>2002 Summit Boulevard, Suite 1000</v>
      </c>
      <c r="O314" s="748" t="s">
        <v>2775</v>
      </c>
      <c r="Q314" s="748" t="str">
        <f>'Part II-Development Team'!Q110</f>
        <v>Partner</v>
      </c>
    </row>
    <row r="315" spans="2:17" ht="13.15" customHeight="1">
      <c r="E315" s="748" t="s">
        <v>953</v>
      </c>
      <c r="H315" s="748" t="str">
        <f>'Part II-Development Team'!H111</f>
        <v>Atlanta</v>
      </c>
      <c r="O315" s="748" t="s">
        <v>2833</v>
      </c>
      <c r="Q315" s="748">
        <f>'Part II-Development Team'!Q111</f>
        <v>4048477734</v>
      </c>
    </row>
    <row r="316" spans="2:17" ht="13.15" customHeight="1">
      <c r="E316" s="748" t="s">
        <v>2829</v>
      </c>
      <c r="H316" s="748" t="str">
        <f>'Part II-Development Team'!H112</f>
        <v>GA</v>
      </c>
      <c r="I316" s="748" t="s">
        <v>3352</v>
      </c>
      <c r="J316" s="748">
        <f>'Part II-Development Team'!J112</f>
        <v>303191499</v>
      </c>
      <c r="O316" s="748" t="s">
        <v>3054</v>
      </c>
      <c r="Q316" s="748">
        <f>'Part II-Development Team'!Q112</f>
        <v>0</v>
      </c>
    </row>
    <row r="317" spans="2:17" ht="13.15" customHeight="1">
      <c r="E317" s="748" t="s">
        <v>3060</v>
      </c>
      <c r="H317" s="748">
        <f>'Part II-Development Team'!H113</f>
        <v>4048479447</v>
      </c>
      <c r="J317" s="748">
        <f>'Part II-Development Team'!J113</f>
        <v>0</v>
      </c>
      <c r="K317" s="748" t="s">
        <v>2832</v>
      </c>
      <c r="L317" s="748">
        <f>'Part II-Development Team'!L113</f>
        <v>4048477735</v>
      </c>
      <c r="N317" s="748" t="s">
        <v>3059</v>
      </c>
      <c r="O317" s="748" t="str">
        <f>'Part II-Development Team'!O113</f>
        <v>timothy.kemper@reznickgroup.com</v>
      </c>
    </row>
    <row r="318" spans="2:17" ht="6.6" customHeight="1"/>
    <row r="319" spans="2:17" ht="13.15" customHeight="1">
      <c r="B319" s="748" t="s">
        <v>2763</v>
      </c>
      <c r="C319" s="748" t="s">
        <v>384</v>
      </c>
      <c r="H319" s="748" t="str">
        <f>'Part II-Development Team'!H115</f>
        <v>Morton M. Gruber, AIA, Architect</v>
      </c>
      <c r="O319" s="748" t="s">
        <v>3065</v>
      </c>
      <c r="Q319" s="748" t="str">
        <f>'Part II-Development Team'!Q115</f>
        <v>Morton M. Gruber</v>
      </c>
    </row>
    <row r="320" spans="2:17" ht="13.15" customHeight="1">
      <c r="E320" s="748" t="s">
        <v>1641</v>
      </c>
      <c r="H320" s="748" t="str">
        <f>'Part II-Development Team'!H116</f>
        <v>245 Peachtree Cetner Avenue, Stuie 2445</v>
      </c>
      <c r="O320" s="748" t="s">
        <v>2775</v>
      </c>
      <c r="Q320" s="748" t="str">
        <f>'Part II-Development Team'!Q116</f>
        <v>Principal</v>
      </c>
    </row>
    <row r="321" spans="1:18" ht="13.15" customHeight="1">
      <c r="E321" s="748" t="s">
        <v>953</v>
      </c>
      <c r="H321" s="748" t="str">
        <f>'Part II-Development Team'!H117</f>
        <v>Atlanta</v>
      </c>
      <c r="O321" s="748" t="s">
        <v>2833</v>
      </c>
      <c r="Q321" s="748">
        <f>'Part II-Development Team'!Q117</f>
        <v>0</v>
      </c>
    </row>
    <row r="322" spans="1:18" ht="13.15" customHeight="1">
      <c r="E322" s="748" t="s">
        <v>2829</v>
      </c>
      <c r="H322" s="748" t="str">
        <f>'Part II-Development Team'!H118</f>
        <v>GA</v>
      </c>
      <c r="I322" s="748" t="s">
        <v>3352</v>
      </c>
      <c r="J322" s="748">
        <f>'Part II-Development Team'!J118</f>
        <v>303031224</v>
      </c>
      <c r="O322" s="748" t="s">
        <v>3054</v>
      </c>
      <c r="Q322" s="748">
        <f>'Part II-Development Team'!Q118</f>
        <v>4047319309</v>
      </c>
    </row>
    <row r="323" spans="1:18" ht="13.15" customHeight="1">
      <c r="E323" s="748" t="s">
        <v>3060</v>
      </c>
      <c r="H323" s="748">
        <f>'Part II-Development Team'!H119</f>
        <v>4045841681</v>
      </c>
      <c r="J323" s="748">
        <f>'Part II-Development Team'!J119</f>
        <v>0</v>
      </c>
      <c r="K323" s="748" t="s">
        <v>2832</v>
      </c>
      <c r="L323" s="748">
        <f>'Part II-Development Team'!L119</f>
        <v>4045841695</v>
      </c>
      <c r="N323" s="748" t="s">
        <v>3059</v>
      </c>
      <c r="O323" s="748" t="str">
        <f>'Part II-Development Team'!O119</f>
        <v>mgruber@mortongruber.com</v>
      </c>
    </row>
    <row r="324" spans="1:18" ht="13.15" customHeight="1"/>
    <row r="325" spans="1:18" ht="13.15" customHeight="1">
      <c r="A325" s="748" t="s">
        <v>2822</v>
      </c>
      <c r="B325" s="748" t="s">
        <v>365</v>
      </c>
    </row>
    <row r="326" spans="1:18" ht="6.6" customHeight="1"/>
    <row r="327" spans="1:18" ht="21.6" customHeight="1">
      <c r="A327" s="748" t="s">
        <v>976</v>
      </c>
      <c r="E327" s="748" t="s">
        <v>4070</v>
      </c>
      <c r="F327" s="748" t="s">
        <v>3599</v>
      </c>
      <c r="G327" s="748" t="s">
        <v>4071</v>
      </c>
      <c r="J327" s="748" t="s">
        <v>4072</v>
      </c>
      <c r="L327" s="748" t="s">
        <v>4073</v>
      </c>
      <c r="N327" s="748" t="s">
        <v>4074</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Nonprofit</v>
      </c>
      <c r="R332" s="748">
        <f>'Part II-Development Team'!R128</f>
        <v>1E-4</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3526</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3527</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996</v>
      </c>
      <c r="E338" s="748" t="str">
        <f>'Part II-Development Team'!E134</f>
        <v>No</v>
      </c>
      <c r="F338" s="748" t="str">
        <f>'Part II-Development Team'!F134</f>
        <v>No</v>
      </c>
      <c r="G338" s="748" t="str">
        <f>'Part II-Development Team'!G134</f>
        <v>No</v>
      </c>
      <c r="J338" s="748" t="str">
        <f>'Part II-Development Team'!J134</f>
        <v>No</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2824</v>
      </c>
      <c r="C347" s="748" t="s">
        <v>879</v>
      </c>
      <c r="N347" s="748" t="s">
        <v>822</v>
      </c>
      <c r="O347" s="748" t="s">
        <v>89</v>
      </c>
    </row>
    <row r="348" spans="1:18" ht="3.6" customHeight="1"/>
    <row r="349" spans="1:18" ht="42.6" customHeight="1">
      <c r="A349" s="748" t="str">
        <f>'Part II-Development Team'!A145</f>
        <v>The State Limited Partner, Federal Limited Partner, and Management Company all share common principals.</v>
      </c>
      <c r="N349" s="748">
        <f>'Part II-Development Team'!N145</f>
        <v>0</v>
      </c>
    </row>
    <row r="350" spans="1:18" ht="42.6" customHeight="1">
      <c r="A350" s="748" t="str">
        <f>'Part II-Development Team'!A146</f>
        <v>The General Partner and the Nonprofit Sponsor are related entities.</v>
      </c>
      <c r="N350" s="748">
        <f>'Part II-Development Team'!N146</f>
        <v>0</v>
      </c>
    </row>
    <row r="351" spans="1:18" ht="42.6" customHeight="1">
      <c r="A351" s="748" t="str">
        <f>'Part II-Development Team'!A147</f>
        <v>The General Partner will be owned 100% by Thomson Estates, L.P. which is a wholly owned subsidiary of RHA/Housing, Inc., and the Developer will be owned 100% by Bridgeland Development, LLC.</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2011-038 Thomson Estates, Thomson, McDuffie County</v>
      </c>
    </row>
    <row r="356" spans="1:16">
      <c r="A356" s="748" t="s">
        <v>950</v>
      </c>
      <c r="B356" s="748" t="s">
        <v>3769</v>
      </c>
    </row>
    <row r="358" spans="1:16">
      <c r="B358" s="748" t="str">
        <f>'Part III A-Sources of Funds'!B5</f>
        <v>Yes</v>
      </c>
      <c r="C358" s="748" t="s">
        <v>3651</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2834</v>
      </c>
      <c r="E359" s="748">
        <f>'Part III A-Sources of Funds'!E6</f>
        <v>0</v>
      </c>
      <c r="F359" s="748" t="s">
        <v>3310</v>
      </c>
      <c r="J359" s="748">
        <f>'Part III A-Sources of Funds'!J6</f>
        <v>0</v>
      </c>
      <c r="K359" s="748" t="s">
        <v>846</v>
      </c>
      <c r="M359" s="748">
        <f>'Part III A-Sources of Funds'!M6</f>
        <v>0</v>
      </c>
      <c r="N359" s="748" t="s">
        <v>844</v>
      </c>
    </row>
    <row r="360" spans="1:16">
      <c r="B360" s="748">
        <f>'Part III A-Sources of Funds'!B7</f>
        <v>0</v>
      </c>
      <c r="C360" s="748" t="s">
        <v>2835</v>
      </c>
      <c r="E360" s="748">
        <f>'Part III A-Sources of Funds'!E7</f>
        <v>0</v>
      </c>
      <c r="F360" s="748" t="s">
        <v>3309</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3913</v>
      </c>
      <c r="E361" s="748">
        <f>'Part III A-Sources of Funds'!E8</f>
        <v>0</v>
      </c>
      <c r="F361" s="748" t="s">
        <v>3914</v>
      </c>
      <c r="H361" s="748">
        <f>'Part III A-Sources of Funds'!H8</f>
        <v>0</v>
      </c>
      <c r="I361" s="748" t="s">
        <v>3652</v>
      </c>
      <c r="J361" s="748" t="str">
        <f>'Part III A-Sources of Funds'!J8</f>
        <v>Yes</v>
      </c>
      <c r="K361" s="748" t="s">
        <v>874</v>
      </c>
      <c r="M361" s="748">
        <f>'Part III A-Sources of Funds'!M8</f>
        <v>0</v>
      </c>
      <c r="N361" s="748" t="s">
        <v>3230</v>
      </c>
    </row>
    <row r="362" spans="1:16">
      <c r="B362" s="748" t="s">
        <v>310</v>
      </c>
    </row>
    <row r="364" spans="1:16">
      <c r="A364" s="748" t="s">
        <v>1229</v>
      </c>
      <c r="B364" s="748" t="s">
        <v>3493</v>
      </c>
    </row>
    <row r="366" spans="1:16">
      <c r="B366" s="748" t="s">
        <v>2925</v>
      </c>
      <c r="H366" s="748" t="s">
        <v>1997</v>
      </c>
      <c r="L366" s="748" t="s">
        <v>3066</v>
      </c>
      <c r="N366" s="748" t="s">
        <v>2257</v>
      </c>
      <c r="P366" s="748" t="s">
        <v>2536</v>
      </c>
    </row>
    <row r="367" spans="1:16">
      <c r="B367" s="748" t="s">
        <v>2347</v>
      </c>
      <c r="H367" s="748" t="str">
        <f>'Part III A-Sources of Funds'!H14</f>
        <v>Sterling Bank</v>
      </c>
      <c r="L367" s="748">
        <f>'Part III A-Sources of Funds'!L14</f>
        <v>4000000</v>
      </c>
      <c r="N367" s="748">
        <f>'Part III A-Sources of Funds'!N14</f>
        <v>0.06</v>
      </c>
      <c r="P367" s="748">
        <f>'Part III A-Sources of Funds'!P14</f>
        <v>24</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AEP</v>
      </c>
      <c r="L373" s="748">
        <f>'Part III A-Sources of Funds'!L20</f>
        <v>1359165</v>
      </c>
    </row>
    <row r="374" spans="1:17">
      <c r="B374" s="748" t="s">
        <v>1385</v>
      </c>
      <c r="H374" s="748" t="str">
        <f>'Part III A-Sources of Funds'!H21</f>
        <v>AEP</v>
      </c>
      <c r="L374" s="748">
        <f>'Part III A-Sources of Funds'!L21</f>
        <v>453145</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5812310</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5812310</v>
      </c>
    </row>
    <row r="380" spans="1:17">
      <c r="B380" s="748" t="s">
        <v>3259</v>
      </c>
      <c r="L380" s="748">
        <f>L378-L379</f>
        <v>0</v>
      </c>
    </row>
    <row r="382" spans="1:17">
      <c r="A382" s="748" t="s">
        <v>1231</v>
      </c>
      <c r="B382" s="748" t="s">
        <v>1382</v>
      </c>
    </row>
    <row r="383" spans="1:17">
      <c r="J383" s="748" t="s">
        <v>3193</v>
      </c>
      <c r="K383" s="748" t="s">
        <v>1995</v>
      </c>
      <c r="L383" s="748" t="s">
        <v>2000</v>
      </c>
      <c r="M383" s="748" t="s">
        <v>40</v>
      </c>
      <c r="Q383" s="748" t="s">
        <v>3490</v>
      </c>
    </row>
    <row r="384" spans="1:17">
      <c r="B384" s="748" t="s">
        <v>2925</v>
      </c>
      <c r="E384" s="748" t="s">
        <v>1997</v>
      </c>
      <c r="H384" s="748" t="s">
        <v>719</v>
      </c>
      <c r="J384" s="748" t="s">
        <v>2842</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Sterling Bank</v>
      </c>
      <c r="H386" s="748">
        <f>'Part III A-Sources of Funds'!H33</f>
        <v>450000</v>
      </c>
      <c r="J386" s="748">
        <f>'Part III A-Sources of Funds'!J33</f>
        <v>7.0000000000000007E-2</v>
      </c>
      <c r="K386" s="748">
        <f>'Part III A-Sources of Funds'!K33</f>
        <v>15</v>
      </c>
      <c r="L386" s="748">
        <f>'Part III A-Sources of Funds'!L33</f>
        <v>30</v>
      </c>
      <c r="M386" s="748">
        <f>'Part III A-Sources of Funds'!M33</f>
        <v>35926.334739675862</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1.15847372278868E-3</v>
      </c>
      <c r="E390" s="748" t="str">
        <f>'Part III A-Sources of Funds'!E37</f>
        <v>Thomson Estates Development, LLC</v>
      </c>
      <c r="H390" s="748">
        <f>'Part III A-Sources of Funds'!H37</f>
        <v>972</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3331</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3863</v>
      </c>
    </row>
    <row r="393" spans="2:19">
      <c r="B393" s="748" t="s">
        <v>1384</v>
      </c>
      <c r="E393" s="748" t="str">
        <f>'Part III A-Sources of Funds'!E40</f>
        <v>AEP</v>
      </c>
      <c r="H393" s="748">
        <f>'Part III A-Sources of Funds'!H40</f>
        <v>4864048</v>
      </c>
      <c r="J393" s="748">
        <f>'Part IV-Uses of Funds'!$J$165*10*'Part IV-Uses of Funds'!$N$158</f>
        <v>4865017.5</v>
      </c>
      <c r="L393" s="748">
        <f>H393-J393</f>
        <v>-969.5</v>
      </c>
      <c r="M393" s="748" t="s">
        <v>2537</v>
      </c>
      <c r="S393" s="748">
        <f>H393/H403</f>
        <v>0.70119448397193929</v>
      </c>
    </row>
    <row r="394" spans="2:19">
      <c r="B394" s="748" t="s">
        <v>1385</v>
      </c>
      <c r="E394" s="748" t="str">
        <f>'Part III A-Sources of Funds'!E41</f>
        <v>AEP</v>
      </c>
      <c r="H394" s="748">
        <f>'Part III A-Sources of Funds'!H41</f>
        <v>1621673</v>
      </c>
      <c r="J394" s="748">
        <f>'Part IV-Uses of Funds'!$J$165*10*'Part IV-Uses of Funds'!$Q$158</f>
        <v>1621672.5</v>
      </c>
      <c r="L394" s="748">
        <f>H394-J394</f>
        <v>0.5</v>
      </c>
      <c r="S394" s="748">
        <f>H394/H403</f>
        <v>0.2337781539997604</v>
      </c>
    </row>
    <row r="395" spans="2:19">
      <c r="B395" s="748" t="s">
        <v>2120</v>
      </c>
      <c r="E395" s="748">
        <f>'Part III A-Sources of Funds'!E42</f>
        <v>0</v>
      </c>
      <c r="H395" s="748">
        <f>'Part III A-Sources of Funds'!H42</f>
        <v>0</v>
      </c>
      <c r="M395" s="748" t="s">
        <v>3020</v>
      </c>
      <c r="N395" s="748" t="s">
        <v>3021</v>
      </c>
      <c r="O395" s="748">
        <v>8</v>
      </c>
      <c r="P395" s="748">
        <v>9</v>
      </c>
      <c r="Q395" s="748">
        <v>10</v>
      </c>
      <c r="S395" s="748">
        <f>SUM(S393:S394)</f>
        <v>0.93497263797169972</v>
      </c>
    </row>
    <row r="396" spans="2:19">
      <c r="B396" s="748" t="s">
        <v>824</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t="str">
        <f>'Part III A-Sources of Funds'!E46</f>
        <v>General Partner</v>
      </c>
      <c r="H399" s="748">
        <f>'Part III A-Sources of Funds'!H46</f>
        <v>110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6936803</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6936803</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879</v>
      </c>
      <c r="K406" s="748" t="s">
        <v>2822</v>
      </c>
      <c r="L406" s="748" t="s">
        <v>89</v>
      </c>
    </row>
    <row r="408" spans="1:17">
      <c r="A408" s="748" t="str">
        <f>'Part III A-Sources of Funds'!A55</f>
        <v>The equity amounts above do not match the Equity Check because of different calculation methodology.  The Federal Equity calculation is Annual Credits x 99.98% x $0.75 x 10.  The State Equity Calculation is Annual Credits x 100.0% x $0.75 x 10.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2011-038 Thomson Estates, Thomson, McDuffie County</v>
      </c>
    </row>
    <row r="415" spans="1:17" ht="10.9" customHeight="1"/>
    <row r="416" spans="1:17" ht="14.45"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745</v>
      </c>
      <c r="C419" s="748">
        <v>0</v>
      </c>
      <c r="D419" s="748" t="s">
        <v>746</v>
      </c>
    </row>
    <row r="420" spans="1:5">
      <c r="B420" s="748" t="s">
        <v>3750</v>
      </c>
      <c r="C420" s="748">
        <f>'Part III B-USDA 538 Loan'!C7</f>
        <v>0</v>
      </c>
      <c r="D420" s="748" t="s">
        <v>2659</v>
      </c>
    </row>
    <row r="421" spans="1:5" ht="13.15" customHeight="1">
      <c r="A421" s="748" t="s">
        <v>3738</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2011-038 Thomson Estates, Thomson, McDuffie County</v>
      </c>
      <c r="G471" s="748" t="str">
        <f>CONCATENATE('Part I-Project Information'!$O$4," ",'Part I-Project Information'!$F$22,", ",'Part I-Project Information'!$F$24,", ",'Part I-Project Information'!$J$25," County")</f>
        <v>2011-038 Thomson Estates, Thomson, McDuffie County</v>
      </c>
    </row>
    <row r="472" spans="1:12">
      <c r="A472" s="748" t="s">
        <v>3742</v>
      </c>
      <c r="G472" s="748" t="s">
        <v>3742</v>
      </c>
    </row>
    <row r="473" spans="1:12" ht="6" customHeight="1"/>
    <row r="474" spans="1:12">
      <c r="A474" s="748" t="s">
        <v>3743</v>
      </c>
      <c r="B474" s="748" t="s">
        <v>3744</v>
      </c>
      <c r="C474" s="748" t="s">
        <v>1994</v>
      </c>
      <c r="D474" s="748" t="s">
        <v>3745</v>
      </c>
      <c r="E474" s="748" t="s">
        <v>3746</v>
      </c>
      <c r="F474" s="748" t="s">
        <v>3752</v>
      </c>
      <c r="G474" s="748" t="s">
        <v>3743</v>
      </c>
      <c r="H474" s="748" t="s">
        <v>3744</v>
      </c>
      <c r="I474" s="748" t="s">
        <v>1994</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2011-038 Thomson Estates, Thomson, McDuffie County</v>
      </c>
    </row>
    <row r="961" spans="1:5" ht="15.6" customHeight="1">
      <c r="A961" s="748" t="s">
        <v>278</v>
      </c>
    </row>
    <row r="963" spans="1:5" ht="13.15" customHeight="1">
      <c r="A963" s="748" t="s">
        <v>3384</v>
      </c>
      <c r="D963" s="748">
        <f>'Part III C-HUD Insured Loan'!D5</f>
        <v>0</v>
      </c>
      <c r="E963" s="748" t="s">
        <v>1552</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2741</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3383</v>
      </c>
      <c r="F984" s="748" t="s">
        <v>3383</v>
      </c>
    </row>
    <row r="985" spans="1:6">
      <c r="A985" s="748" t="s">
        <v>3752</v>
      </c>
      <c r="B985" s="748" t="s">
        <v>1646</v>
      </c>
      <c r="D985" s="748" t="s">
        <v>3752</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2011-038 Thomson Estates, Thomson, McDuffie County</v>
      </c>
    </row>
    <row r="1009" spans="1:6">
      <c r="A1009" s="748" t="s">
        <v>3742</v>
      </c>
    </row>
    <row r="1010" spans="1:6" ht="5.45" customHeight="1"/>
    <row r="1011" spans="1:6">
      <c r="A1011" s="748" t="s">
        <v>3743</v>
      </c>
      <c r="B1011" s="748" t="s">
        <v>3744</v>
      </c>
      <c r="C1011" s="748" t="s">
        <v>1994</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2011-038 Thomson Estates,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6500</v>
      </c>
      <c r="J1504" s="748">
        <f>'Part IV-Uses of Funds'!J8</f>
        <v>6500</v>
      </c>
      <c r="M1504" s="748">
        <f>'Part IV-Uses of Funds'!M8</f>
        <v>0</v>
      </c>
      <c r="P1504" s="748">
        <f>'Part IV-Uses of Funds'!P8</f>
        <v>0</v>
      </c>
      <c r="S1504" s="748">
        <f>'Part IV-Uses of Funds'!S8</f>
        <v>0</v>
      </c>
    </row>
    <row r="1505" spans="1:21" ht="12.6" customHeight="1">
      <c r="B1505" s="748" t="s">
        <v>671</v>
      </c>
      <c r="G1505" s="748">
        <f>'Part IV-Uses of Funds'!G9</f>
        <v>9500</v>
      </c>
      <c r="J1505" s="748">
        <f>'Part IV-Uses of Funds'!J9</f>
        <v>9500</v>
      </c>
      <c r="M1505" s="748">
        <f>'Part IV-Uses of Funds'!M9</f>
        <v>0</v>
      </c>
      <c r="P1505" s="748">
        <f>'Part IV-Uses of Funds'!P9</f>
        <v>0</v>
      </c>
      <c r="S1505" s="748">
        <f>'Part IV-Uses of Funds'!S9</f>
        <v>0</v>
      </c>
    </row>
    <row r="1506" spans="1:21" ht="12.6" customHeight="1">
      <c r="B1506" s="748" t="s">
        <v>717</v>
      </c>
      <c r="G1506" s="748">
        <f>'Part IV-Uses of Funds'!G10</f>
        <v>10500</v>
      </c>
      <c r="J1506" s="748">
        <f>'Part IV-Uses of Funds'!J10</f>
        <v>10500</v>
      </c>
      <c r="M1506" s="748">
        <f>'Part IV-Uses of Funds'!M10</f>
        <v>0</v>
      </c>
      <c r="P1506" s="748">
        <f>'Part IV-Uses of Funds'!P10</f>
        <v>0</v>
      </c>
      <c r="S1506" s="748">
        <f>'Part IV-Uses of Funds'!S10</f>
        <v>0</v>
      </c>
    </row>
    <row r="1507" spans="1:21" ht="12.6" customHeight="1">
      <c r="B1507" s="748" t="s">
        <v>718</v>
      </c>
      <c r="G1507" s="748">
        <f>'Part IV-Uses of Funds'!G11</f>
        <v>5000</v>
      </c>
      <c r="J1507" s="748">
        <f>'Part IV-Uses of Funds'!J11</f>
        <v>5000</v>
      </c>
      <c r="M1507" s="748">
        <f>'Part IV-Uses of Funds'!M11</f>
        <v>0</v>
      </c>
      <c r="P1507" s="748">
        <f>'Part IV-Uses of Funds'!P11</f>
        <v>0</v>
      </c>
      <c r="S1507" s="748">
        <f>'Part IV-Uses of Funds'!S11</f>
        <v>0</v>
      </c>
    </row>
    <row r="1508" spans="1:21" ht="12.6" customHeight="1">
      <c r="B1508" s="748" t="s">
        <v>3778</v>
      </c>
      <c r="G1508" s="748">
        <f>'Part IV-Uses of Funds'!G12</f>
        <v>20000</v>
      </c>
      <c r="J1508" s="748">
        <f>'Part IV-Uses of Funds'!J12</f>
        <v>20000</v>
      </c>
      <c r="M1508" s="748">
        <f>'Part IV-Uses of Funds'!M12</f>
        <v>0</v>
      </c>
      <c r="P1508" s="748">
        <f>'Part IV-Uses of Funds'!P12</f>
        <v>0</v>
      </c>
      <c r="S1508" s="748">
        <f>'Part IV-Uses of Funds'!S12</f>
        <v>0</v>
      </c>
    </row>
    <row r="1509" spans="1:21" ht="12.6" customHeight="1">
      <c r="B1509" s="748" t="s">
        <v>248</v>
      </c>
      <c r="G1509" s="748">
        <f>'Part IV-Uses of Funds'!G13</f>
        <v>2500</v>
      </c>
      <c r="J1509" s="748">
        <f>'Part IV-Uses of Funds'!J13</f>
        <v>2500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54000</v>
      </c>
      <c r="J1513" s="748">
        <f>SUM(J1504:K1512)</f>
        <v>54000</v>
      </c>
      <c r="M1513" s="748">
        <f>SUM(M1504:N1512)</f>
        <v>0</v>
      </c>
      <c r="P1513" s="748">
        <f>SUM(P1504:Q1512)</f>
        <v>0</v>
      </c>
      <c r="S1513" s="748">
        <f>SUM(S1504:T1512)</f>
        <v>0</v>
      </c>
    </row>
    <row r="1514" spans="1:21" ht="13.15" customHeight="1">
      <c r="B1514" s="748" t="s">
        <v>3304</v>
      </c>
      <c r="O1514" s="748" t="str">
        <f>B1514</f>
        <v>ACQUISITION</v>
      </c>
    </row>
    <row r="1515" spans="1:21" ht="12.6" customHeight="1">
      <c r="B1515" s="748" t="s">
        <v>3305</v>
      </c>
      <c r="G1515" s="748">
        <f>'Part IV-Uses of Funds'!G19</f>
        <v>492200</v>
      </c>
      <c r="S1515" s="748">
        <f>'Part IV-Uses of Funds'!S19</f>
        <v>492200</v>
      </c>
    </row>
    <row r="1516" spans="1:21" ht="12.6" customHeight="1">
      <c r="B1516" s="748" t="s">
        <v>1750</v>
      </c>
      <c r="G1516" s="748">
        <f>'Part IV-Uses of Funds'!G20</f>
        <v>12000</v>
      </c>
      <c r="S1516" s="748">
        <f>'Part IV-Uses of Funds'!S20</f>
        <v>12000</v>
      </c>
    </row>
    <row r="1517" spans="1:21" ht="12.6" customHeight="1">
      <c r="B1517" s="748" t="s">
        <v>672</v>
      </c>
      <c r="G1517" s="748">
        <f>'Part IV-Uses of Funds'!G21</f>
        <v>5000</v>
      </c>
      <c r="M1517" s="748">
        <f>'Part IV-Uses of Funds'!M21</f>
        <v>0</v>
      </c>
      <c r="S1517" s="748">
        <f>'Part IV-Uses of Funds'!S21</f>
        <v>5000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509200</v>
      </c>
      <c r="M1519" s="748">
        <f>SUM(M1517:N1518)</f>
        <v>0</v>
      </c>
      <c r="S1519" s="748">
        <f>SUM(S1515:T1518)</f>
        <v>509200</v>
      </c>
    </row>
    <row r="1520" spans="1:21" ht="13.15" customHeight="1">
      <c r="B1520" s="748" t="s">
        <v>1751</v>
      </c>
      <c r="O1520" s="748" t="str">
        <f>B1520</f>
        <v>LAND IMPROVEMENTS</v>
      </c>
    </row>
    <row r="1521" spans="2:19" ht="12.6" customHeight="1">
      <c r="B1521" s="748" t="s">
        <v>1752</v>
      </c>
      <c r="G1521" s="748">
        <f>'Part IV-Uses of Funds'!G25</f>
        <v>965500</v>
      </c>
      <c r="J1521" s="748">
        <f>'Part IV-Uses of Funds'!J25</f>
        <v>917225</v>
      </c>
      <c r="M1521" s="748">
        <f>'Part IV-Uses of Funds'!M25</f>
        <v>0</v>
      </c>
      <c r="P1521" s="748">
        <f>'Part IV-Uses of Funds'!P25</f>
        <v>0</v>
      </c>
      <c r="S1521" s="748">
        <f>'Part IV-Uses of Funds'!S25</f>
        <v>48275</v>
      </c>
    </row>
    <row r="1522" spans="2:19" ht="12.6" customHeight="1">
      <c r="B1522" s="748" t="s">
        <v>1753</v>
      </c>
      <c r="G1522" s="748">
        <f>'Part IV-Uses of Funds'!G26</f>
        <v>30000</v>
      </c>
      <c r="J1522" s="748">
        <f>'Part IV-Uses of Funds'!J26</f>
        <v>0</v>
      </c>
      <c r="S1522" s="748">
        <f>'Part IV-Uses of Funds'!S26</f>
        <v>30000</v>
      </c>
    </row>
    <row r="1523" spans="2:19" ht="12.6" customHeight="1">
      <c r="F1523" s="748" t="s">
        <v>249</v>
      </c>
      <c r="G1523" s="748">
        <f>SUM(G1521:H1522)</f>
        <v>995500</v>
      </c>
      <c r="J1523" s="748">
        <f>SUM(J1521:K1522)</f>
        <v>917225</v>
      </c>
      <c r="M1523" s="748">
        <f>M1521</f>
        <v>0</v>
      </c>
      <c r="P1523" s="748">
        <f>P1521</f>
        <v>0</v>
      </c>
      <c r="S1523" s="748">
        <f>SUM(S1521:T1522)</f>
        <v>78275</v>
      </c>
    </row>
    <row r="1524" spans="2:19" ht="13.15" customHeight="1">
      <c r="B1524" s="748" t="s">
        <v>1754</v>
      </c>
      <c r="O1524" s="748" t="str">
        <f>B1524</f>
        <v>STRUCTURES</v>
      </c>
    </row>
    <row r="1525" spans="2:19" ht="12.6" customHeight="1">
      <c r="B1525" s="748" t="s">
        <v>1755</v>
      </c>
      <c r="G1525" s="748">
        <f>'Part IV-Uses of Funds'!G29</f>
        <v>2746800</v>
      </c>
      <c r="J1525" s="748">
        <f>'Part IV-Uses of Funds'!J29</f>
        <v>2746800</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155000</v>
      </c>
      <c r="J1527" s="748">
        <f>'Part IV-Uses of Funds'!J31</f>
        <v>155000</v>
      </c>
      <c r="M1527" s="748">
        <f>'Part IV-Uses of Funds'!M31</f>
        <v>0</v>
      </c>
      <c r="P1527" s="748">
        <f>'Part IV-Uses of Funds'!P31</f>
        <v>0</v>
      </c>
      <c r="S1527" s="748">
        <f>'Part IV-Uses of Funds'!S31</f>
        <v>0</v>
      </c>
    </row>
    <row r="1528" spans="2:19" ht="12.6" customHeight="1">
      <c r="F1528" s="748" t="s">
        <v>249</v>
      </c>
      <c r="G1528" s="748">
        <f>SUM(G1525:H1527)</f>
        <v>2901800</v>
      </c>
      <c r="J1528" s="748">
        <f>SUM(J1525:K1527)</f>
        <v>2901800</v>
      </c>
      <c r="M1528" s="748">
        <f>SUM(M1525:N1527)</f>
        <v>0</v>
      </c>
      <c r="P1528" s="748">
        <f>SUM(P1525:Q1527)</f>
        <v>0</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233838</v>
      </c>
      <c r="J1530" s="748">
        <f>'Part IV-Uses of Funds'!J34</f>
        <v>233838</v>
      </c>
      <c r="M1530" s="748">
        <f>'Part IV-Uses of Funds'!M34</f>
        <v>0</v>
      </c>
      <c r="P1530" s="748">
        <f>'Part IV-Uses of Funds'!P34</f>
        <v>0</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311784</v>
      </c>
      <c r="J1531" s="748">
        <f>'Part IV-Uses of Funds'!J35</f>
        <v>311784</v>
      </c>
      <c r="M1531" s="748">
        <f>'Part IV-Uses of Funds'!M35</f>
        <v>0</v>
      </c>
      <c r="P1531" s="748">
        <f>'Part IV-Uses of Funds'!P35</f>
        <v>0</v>
      </c>
      <c r="S1531" s="748">
        <f>'Part IV-Uses of Funds'!S35</f>
        <v>0</v>
      </c>
    </row>
    <row r="1532" spans="2:19" ht="12.6" customHeight="1">
      <c r="B1532" s="748" t="s">
        <v>3129</v>
      </c>
      <c r="F1532" s="748" t="s">
        <v>249</v>
      </c>
      <c r="G1532" s="748">
        <f>SUM(G1530:H1531)</f>
        <v>545622</v>
      </c>
      <c r="J1532" s="748">
        <f>SUM(J1530:K1531)</f>
        <v>545622</v>
      </c>
      <c r="M1532" s="748">
        <f>SUM(M1530:N1531)</f>
        <v>0</v>
      </c>
      <c r="P1532" s="748">
        <f>SUM(P1530:Q1531)</f>
        <v>0</v>
      </c>
      <c r="S1532" s="748">
        <f>SUM(S1530:T1531)</f>
        <v>0</v>
      </c>
    </row>
    <row r="1533" spans="2:19" ht="6" customHeight="1"/>
    <row r="1534" spans="2:19" ht="12.6" customHeight="1">
      <c r="B1534" s="748" t="s">
        <v>1760</v>
      </c>
      <c r="D1534" s="748">
        <f>B1535/'Part VI-Revenues &amp; Expenses'!$M$63</f>
        <v>120078.97297297297</v>
      </c>
      <c r="F1534" s="748" t="s">
        <v>2110</v>
      </c>
    </row>
    <row r="1535" spans="2:19" ht="12.6" customHeight="1">
      <c r="B1535" s="748">
        <f>G1523+G1528+G1532</f>
        <v>4442922</v>
      </c>
      <c r="D1535" s="748">
        <f>B1535/'Part VI-Revenues &amp; Expenses'!$M$98</f>
        <v>86.775820312500002</v>
      </c>
      <c r="F1535" s="748" t="s">
        <v>1337</v>
      </c>
    </row>
    <row r="1536" spans="2:19" ht="6" customHeight="1"/>
    <row r="1537" spans="1:21" ht="13.15" customHeight="1">
      <c r="B1537" s="748" t="s">
        <v>1758</v>
      </c>
      <c r="O1537" s="748" t="str">
        <f>B1537</f>
        <v>CONSTRUCTION CONTINGENCY</v>
      </c>
    </row>
    <row r="1538" spans="1:21" ht="12.6" customHeight="1">
      <c r="B1538" s="748" t="s">
        <v>3036</v>
      </c>
      <c r="F1538" s="748" t="e">
        <f>G1538/$B$39</f>
        <v>#DIV/0!</v>
      </c>
      <c r="G1538" s="748">
        <f>'Part IV-Uses of Funds'!G42</f>
        <v>193365</v>
      </c>
      <c r="J1538" s="748">
        <f>'Part IV-Uses of Funds'!J42</f>
        <v>174029</v>
      </c>
      <c r="M1538" s="748">
        <f>'Part IV-Uses of Funds'!M42</f>
        <v>0</v>
      </c>
      <c r="P1538" s="748">
        <f>'Part IV-Uses of Funds'!P42</f>
        <v>0</v>
      </c>
      <c r="S1538" s="748">
        <f>'Part IV-Uses of Funds'!S42</f>
        <v>19337</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3494</v>
      </c>
      <c r="G1544" s="748">
        <f>'Part IV-Uses of Funds'!G48</f>
        <v>40000</v>
      </c>
      <c r="J1544" s="748">
        <f>'Part IV-Uses of Funds'!J48</f>
        <v>40000</v>
      </c>
      <c r="M1544" s="748">
        <f>'Part IV-Uses of Funds'!M48</f>
        <v>0</v>
      </c>
      <c r="P1544" s="748">
        <f>'Part IV-Uses of Funds'!P48</f>
        <v>0</v>
      </c>
      <c r="S1544" s="748">
        <f>'Part IV-Uses of Funds'!S48</f>
        <v>0</v>
      </c>
    </row>
    <row r="1545" spans="1:21" ht="13.15" customHeight="1">
      <c r="B1545" s="748" t="s">
        <v>3495</v>
      </c>
      <c r="G1545" s="748">
        <f>'Part IV-Uses of Funds'!G49</f>
        <v>112458</v>
      </c>
      <c r="J1545" s="748">
        <f>'Part IV-Uses of Funds'!J49</f>
        <v>78721</v>
      </c>
      <c r="M1545" s="748">
        <f>'Part IV-Uses of Funds'!M49</f>
        <v>0</v>
      </c>
      <c r="P1545" s="748">
        <f>'Part IV-Uses of Funds'!P49</f>
        <v>0</v>
      </c>
      <c r="S1545" s="748">
        <f>'Part IV-Uses of Funds'!S49</f>
        <v>33737</v>
      </c>
    </row>
    <row r="1546" spans="1:21" ht="13.15" customHeight="1">
      <c r="B1546" s="748" t="s">
        <v>3496</v>
      </c>
      <c r="G1546" s="748">
        <f>'Part IV-Uses of Funds'!G50</f>
        <v>17500</v>
      </c>
      <c r="J1546" s="748">
        <f>'Part IV-Uses of Funds'!J50</f>
        <v>17500</v>
      </c>
      <c r="M1546" s="748">
        <f>'Part IV-Uses of Funds'!M50</f>
        <v>0</v>
      </c>
      <c r="P1546" s="748">
        <f>'Part IV-Uses of Funds'!P50</f>
        <v>0</v>
      </c>
      <c r="S1546" s="748">
        <f>'Part IV-Uses of Funds'!S50</f>
        <v>0</v>
      </c>
    </row>
    <row r="1547" spans="1:21" ht="13.15" customHeight="1">
      <c r="B1547" s="748" t="s">
        <v>1092</v>
      </c>
      <c r="G1547" s="748">
        <f>'Part IV-Uses of Funds'!G51</f>
        <v>12755</v>
      </c>
      <c r="J1547" s="748">
        <f>'Part IV-Uses of Funds'!J51</f>
        <v>12755</v>
      </c>
      <c r="M1547" s="748">
        <f>'Part IV-Uses of Funds'!M51</f>
        <v>0</v>
      </c>
      <c r="P1547" s="748">
        <f>'Part IV-Uses of Funds'!P51</f>
        <v>0</v>
      </c>
      <c r="S1547" s="748">
        <f>'Part IV-Uses of Funds'!S51</f>
        <v>0</v>
      </c>
    </row>
    <row r="1548" spans="1:21" ht="13.15" customHeight="1">
      <c r="B1548" s="748" t="s">
        <v>3497</v>
      </c>
      <c r="G1548" s="748">
        <f>'Part IV-Uses of Funds'!G52</f>
        <v>20528</v>
      </c>
      <c r="J1548" s="748">
        <f>'Part IV-Uses of Funds'!J52</f>
        <v>20528</v>
      </c>
      <c r="M1548" s="748">
        <f>'Part IV-Uses of Funds'!M52</f>
        <v>0</v>
      </c>
      <c r="P1548" s="748">
        <f>'Part IV-Uses of Funds'!P52</f>
        <v>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77946</v>
      </c>
      <c r="J1550" s="748">
        <f>'Part IV-Uses of Funds'!J54</f>
        <v>77946</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281187</v>
      </c>
      <c r="J1552" s="748">
        <f>SUM(J1544:K1551)</f>
        <v>247450</v>
      </c>
      <c r="M1552" s="748">
        <f>SUM(M1544:N1551)</f>
        <v>0</v>
      </c>
      <c r="P1552" s="748">
        <f>SUM(P1544:Q1551)</f>
        <v>0</v>
      </c>
      <c r="S1552" s="748">
        <f>SUM(S1544:T1551)</f>
        <v>33737</v>
      </c>
    </row>
    <row r="1553" spans="1:21" ht="13.15" customHeight="1">
      <c r="B1553" s="748" t="s">
        <v>704</v>
      </c>
      <c r="O1553" s="748" t="str">
        <f>B1553</f>
        <v>PROFESSIONAL SERVICES</v>
      </c>
    </row>
    <row r="1554" spans="1:21" ht="13.15" customHeight="1">
      <c r="B1554" s="748" t="s">
        <v>705</v>
      </c>
      <c r="G1554" s="748">
        <f>'Part IV-Uses of Funds'!G58</f>
        <v>16800</v>
      </c>
      <c r="J1554" s="748">
        <f>'Part IV-Uses of Funds'!J58</f>
        <v>16800</v>
      </c>
      <c r="M1554" s="748">
        <f>'Part IV-Uses of Funds'!M58</f>
        <v>0</v>
      </c>
      <c r="P1554" s="748">
        <f>'Part IV-Uses of Funds'!P58</f>
        <v>0</v>
      </c>
      <c r="S1554" s="748">
        <f>'Part IV-Uses of Funds'!S58</f>
        <v>0</v>
      </c>
    </row>
    <row r="1555" spans="1:21" ht="13.15" customHeight="1">
      <c r="B1555" s="748" t="s">
        <v>706</v>
      </c>
      <c r="G1555" s="748">
        <f>'Part IV-Uses of Funds'!G59</f>
        <v>27400</v>
      </c>
      <c r="J1555" s="748">
        <f>'Part IV-Uses of Funds'!J59</f>
        <v>27400</v>
      </c>
      <c r="M1555" s="748">
        <f>'Part IV-Uses of Funds'!M59</f>
        <v>0</v>
      </c>
      <c r="P1555" s="748">
        <f>'Part IV-Uses of Funds'!P59</f>
        <v>0</v>
      </c>
      <c r="S1555" s="748">
        <f>'Part IV-Uses of Funds'!S59</f>
        <v>0</v>
      </c>
    </row>
    <row r="1556" spans="1:21" ht="13.15" customHeight="1">
      <c r="B1556" s="748" t="s">
        <v>1761</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1762</v>
      </c>
      <c r="G1557" s="748">
        <f>'Part IV-Uses of Funds'!G61</f>
        <v>38000</v>
      </c>
      <c r="J1557" s="748">
        <f>'Part IV-Uses of Funds'!J61</f>
        <v>38000</v>
      </c>
      <c r="M1557" s="748">
        <f>'Part IV-Uses of Funds'!M61</f>
        <v>0</v>
      </c>
      <c r="P1557" s="748">
        <f>'Part IV-Uses of Funds'!P61</f>
        <v>0</v>
      </c>
      <c r="S1557" s="748">
        <f>'Part IV-Uses of Funds'!S61</f>
        <v>0</v>
      </c>
    </row>
    <row r="1558" spans="1:21" ht="13.15" customHeight="1">
      <c r="B1558" s="748" t="s">
        <v>1763</v>
      </c>
      <c r="G1558" s="748">
        <f>'Part IV-Uses of Funds'!G62</f>
        <v>6450</v>
      </c>
      <c r="J1558" s="748">
        <f>'Part IV-Uses of Funds'!J62</f>
        <v>6450</v>
      </c>
      <c r="M1558" s="748">
        <f>'Part IV-Uses of Funds'!M62</f>
        <v>0</v>
      </c>
      <c r="P1558" s="748">
        <f>'Part IV-Uses of Funds'!P62</f>
        <v>0</v>
      </c>
      <c r="S1558" s="748">
        <f>'Part IV-Uses of Funds'!S62</f>
        <v>0</v>
      </c>
    </row>
    <row r="1559" spans="1:21" ht="13.15" customHeight="1">
      <c r="B1559" s="748" t="s">
        <v>1764</v>
      </c>
      <c r="G1559" s="748">
        <f>'Part IV-Uses of Funds'!G63</f>
        <v>5000</v>
      </c>
      <c r="J1559" s="748">
        <f>'Part IV-Uses of Funds'!J63</f>
        <v>5000</v>
      </c>
      <c r="M1559" s="748">
        <f>'Part IV-Uses of Funds'!M63</f>
        <v>0</v>
      </c>
      <c r="P1559" s="748">
        <f>'Part IV-Uses of Funds'!P63</f>
        <v>0</v>
      </c>
      <c r="S1559" s="748">
        <f>'Part IV-Uses of Funds'!S63</f>
        <v>0</v>
      </c>
    </row>
    <row r="1560" spans="1:21" ht="13.15" customHeight="1">
      <c r="B1560" s="748" t="s">
        <v>707</v>
      </c>
      <c r="G1560" s="748">
        <f>'Part IV-Uses of Funds'!G64</f>
        <v>33300</v>
      </c>
      <c r="J1560" s="748">
        <f>'Part IV-Uses of Funds'!J64</f>
        <v>33300</v>
      </c>
      <c r="M1560" s="748">
        <f>'Part IV-Uses of Funds'!M64</f>
        <v>0</v>
      </c>
      <c r="P1560" s="748">
        <f>'Part IV-Uses of Funds'!P64</f>
        <v>0</v>
      </c>
      <c r="S1560" s="748">
        <f>'Part IV-Uses of Funds'!S64</f>
        <v>0</v>
      </c>
    </row>
    <row r="1561" spans="1:21" ht="13.15" customHeight="1">
      <c r="B1561" s="748" t="s">
        <v>708</v>
      </c>
      <c r="G1561" s="748">
        <f>'Part IV-Uses of Funds'!G65</f>
        <v>45000</v>
      </c>
      <c r="J1561" s="748">
        <f>'Part IV-Uses of Funds'!J65</f>
        <v>45000</v>
      </c>
      <c r="M1561" s="748">
        <f>'Part IV-Uses of Funds'!M65</f>
        <v>0</v>
      </c>
      <c r="P1561" s="748">
        <f>'Part IV-Uses of Funds'!P65</f>
        <v>0</v>
      </c>
      <c r="S1561" s="748">
        <f>'Part IV-Uses of Funds'!S65</f>
        <v>0</v>
      </c>
    </row>
    <row r="1562" spans="1:21" ht="13.15" customHeight="1">
      <c r="B1562" s="748" t="s">
        <v>3139</v>
      </c>
      <c r="G1562" s="748">
        <f>'Part IV-Uses of Funds'!G66</f>
        <v>20000</v>
      </c>
      <c r="J1562" s="748">
        <f>'Part IV-Uses of Funds'!J66</f>
        <v>20000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191950</v>
      </c>
      <c r="J1564" s="748">
        <f>SUM(J1554:K1563)</f>
        <v>191950</v>
      </c>
      <c r="M1564" s="748">
        <f>SUM(M1554:N1563)</f>
        <v>0</v>
      </c>
      <c r="P1564" s="748">
        <f>SUM(P1554:Q1563)</f>
        <v>0</v>
      </c>
      <c r="S1564" s="748">
        <f>SUM(S1554:T1563)</f>
        <v>0</v>
      </c>
    </row>
    <row r="1565" spans="1:21" ht="13.15" customHeight="1">
      <c r="B1565" s="748" t="s">
        <v>1953</v>
      </c>
      <c r="O1565" s="748" t="str">
        <f>B1565</f>
        <v>LOCAL GOVERNMENT FEES</v>
      </c>
    </row>
    <row r="1566" spans="1:21" ht="13.15" customHeight="1">
      <c r="B1566" s="748" t="s">
        <v>1954</v>
      </c>
      <c r="G1566" s="748">
        <f>'Part IV-Uses of Funds'!G70</f>
        <v>7612</v>
      </c>
      <c r="J1566" s="748">
        <f>'Part IV-Uses of Funds'!J70</f>
        <v>7612</v>
      </c>
      <c r="M1566" s="748">
        <f>'Part IV-Uses of Funds'!M70</f>
        <v>0</v>
      </c>
      <c r="P1566" s="748">
        <f>'Part IV-Uses of Funds'!P70</f>
        <v>0</v>
      </c>
      <c r="S1566" s="748">
        <f>'Part IV-Uses of Funds'!S70</f>
        <v>0</v>
      </c>
    </row>
    <row r="1567" spans="1:21" ht="13.15" customHeight="1">
      <c r="B1567" s="748" t="s">
        <v>1955</v>
      </c>
      <c r="G1567" s="748">
        <f>'Part IV-Uses of Funds'!G71</f>
        <v>51825</v>
      </c>
      <c r="J1567" s="748">
        <f>'Part IV-Uses of Funds'!J71</f>
        <v>51825</v>
      </c>
      <c r="M1567" s="748">
        <f>'Part IV-Uses of Funds'!M71</f>
        <v>0</v>
      </c>
      <c r="P1567" s="748">
        <f>'Part IV-Uses of Funds'!P71</f>
        <v>0</v>
      </c>
      <c r="S1567" s="748">
        <f>'Part IV-Uses of Funds'!S71</f>
        <v>0</v>
      </c>
    </row>
    <row r="1568" spans="1:21" ht="13.15" customHeight="1">
      <c r="B1568" s="748" t="s">
        <v>1956</v>
      </c>
      <c r="D1568" s="748" t="s">
        <v>2111</v>
      </c>
      <c r="E1568" s="748" t="str">
        <f>'Part IV-Uses of Funds'!E72</f>
        <v>No</v>
      </c>
      <c r="G1568" s="748">
        <f>'Part IV-Uses of Funds'!G72</f>
        <v>22200</v>
      </c>
      <c r="J1568" s="748">
        <f>'Part IV-Uses of Funds'!J72</f>
        <v>22200</v>
      </c>
      <c r="M1568" s="748">
        <f>'Part IV-Uses of Funds'!M72</f>
        <v>0</v>
      </c>
      <c r="P1568" s="748">
        <f>'Part IV-Uses of Funds'!P72</f>
        <v>0</v>
      </c>
      <c r="S1568" s="748">
        <f>'Part IV-Uses of Funds'!S72</f>
        <v>0</v>
      </c>
    </row>
    <row r="1569" spans="1:21" ht="13.15" customHeight="1">
      <c r="B1569" s="748" t="s">
        <v>1957</v>
      </c>
      <c r="D1569" s="748" t="s">
        <v>2111</v>
      </c>
      <c r="E1569" s="748" t="str">
        <f>'Part IV-Uses of Funds'!E73</f>
        <v>No</v>
      </c>
      <c r="G1569" s="748">
        <f>'Part IV-Uses of Funds'!G73</f>
        <v>22200</v>
      </c>
      <c r="J1569" s="748">
        <f>'Part IV-Uses of Funds'!J73</f>
        <v>22200</v>
      </c>
      <c r="M1569" s="748">
        <f>'Part IV-Uses of Funds'!M73</f>
        <v>0</v>
      </c>
      <c r="P1569" s="748">
        <f>'Part IV-Uses of Funds'!P73</f>
        <v>0</v>
      </c>
      <c r="S1569" s="748">
        <f>'Part IV-Uses of Funds'!S73</f>
        <v>0</v>
      </c>
    </row>
    <row r="1570" spans="1:21" ht="13.15" customHeight="1">
      <c r="F1570" s="748" t="s">
        <v>249</v>
      </c>
      <c r="G1570" s="748">
        <f>SUM(G1566:H1569)</f>
        <v>103837</v>
      </c>
      <c r="J1570" s="748">
        <f>SUM(J1566:K1569)</f>
        <v>103837</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9000</v>
      </c>
      <c r="S1572" s="748">
        <f>'Part IV-Uses of Funds'!S76</f>
        <v>9000</v>
      </c>
    </row>
    <row r="1573" spans="1:21" ht="13.15" customHeight="1">
      <c r="B1573" s="748" t="s">
        <v>1959</v>
      </c>
      <c r="G1573" s="748">
        <f>'Part IV-Uses of Funds'!G77</f>
        <v>5000</v>
      </c>
      <c r="S1573" s="748">
        <f>'Part IV-Uses of Funds'!S77</f>
        <v>5000</v>
      </c>
    </row>
    <row r="1574" spans="1:21" ht="13.15" customHeight="1">
      <c r="B1574" s="748" t="s">
        <v>1960</v>
      </c>
      <c r="G1574" s="748">
        <f>'Part IV-Uses of Funds'!G78</f>
        <v>15000</v>
      </c>
      <c r="J1574" s="748">
        <f>'Part IV-Uses of Funds'!J78</f>
        <v>15000</v>
      </c>
      <c r="M1574" s="748">
        <f>'Part IV-Uses of Funds'!M78</f>
        <v>0</v>
      </c>
      <c r="P1574" s="748">
        <f>'Part IV-Uses of Funds'!P78</f>
        <v>0</v>
      </c>
      <c r="S1574" s="748">
        <f>'Part IV-Uses of Funds'!S78</f>
        <v>0</v>
      </c>
    </row>
    <row r="1575" spans="1:21" ht="13.15" customHeight="1">
      <c r="B1575" s="748" t="s">
        <v>1961</v>
      </c>
      <c r="G1575" s="748">
        <f>'Part IV-Uses of Funds'!G79</f>
        <v>10000</v>
      </c>
      <c r="J1575" s="748">
        <f>'Part IV-Uses of Funds'!J79</f>
        <v>10000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39000</v>
      </c>
      <c r="J1579" s="748">
        <f>SUM(J1574:K1578)</f>
        <v>25000</v>
      </c>
      <c r="M1579" s="748">
        <f>SUM(M1574:N1578)</f>
        <v>0</v>
      </c>
      <c r="P1579" s="748">
        <f>SUM(P1574:Q1578)</f>
        <v>0</v>
      </c>
      <c r="S1579" s="748">
        <f>SUM(S1572:T1578)</f>
        <v>14000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3000</v>
      </c>
      <c r="S1586" s="748">
        <f>'Part IV-Uses of Funds'!S90</f>
        <v>3000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45407</v>
      </c>
      <c r="S1588" s="748">
        <f>'Part IV-Uses of Funds'!S92</f>
        <v>45407</v>
      </c>
    </row>
    <row r="1589" spans="1:21" ht="12.6" customHeight="1">
      <c r="B1589" s="748" t="s">
        <v>1244</v>
      </c>
      <c r="E1589" s="748">
        <f>'Part VI-Revenues &amp; Expenses'!$M$63*'DCA Underwriting Assumptions'!$Q$44</f>
        <v>25900</v>
      </c>
      <c r="G1589" s="748">
        <f>'Part IV-Uses of Funds'!G93</f>
        <v>25900</v>
      </c>
      <c r="S1589" s="748">
        <f>'Part IV-Uses of Funds'!S93</f>
        <v>25900</v>
      </c>
    </row>
    <row r="1590" spans="1:21" ht="12.6" customHeight="1">
      <c r="B1590" s="748" t="s">
        <v>715</v>
      </c>
      <c r="G1590" s="748">
        <f>'Part IV-Uses of Funds'!G94</f>
        <v>0</v>
      </c>
      <c r="S1590" s="748">
        <f>'Part IV-Uses of Funds'!S94</f>
        <v>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77307</v>
      </c>
      <c r="S1594" s="748">
        <f>SUM(S1585:T1593)</f>
        <v>77307</v>
      </c>
    </row>
    <row r="1595" spans="1:21" ht="13.15" customHeight="1">
      <c r="B1595" s="748" t="s">
        <v>3438</v>
      </c>
      <c r="O1595" s="748" t="str">
        <f>B1595</f>
        <v>EQUITY COSTS</v>
      </c>
    </row>
    <row r="1596" spans="1:21" ht="12.6" customHeight="1">
      <c r="B1596" s="748" t="s">
        <v>370</v>
      </c>
      <c r="G1596" s="748">
        <f>'Part IV-Uses of Funds'!G100</f>
        <v>1000</v>
      </c>
      <c r="S1596" s="748">
        <f>'Part IV-Uses of Funds'!S100</f>
        <v>1000</v>
      </c>
    </row>
    <row r="1597" spans="1:21" ht="12.6" customHeight="1">
      <c r="B1597" s="748" t="s">
        <v>372</v>
      </c>
      <c r="G1597" s="748">
        <f>'Part IV-Uses of Funds'!G101</f>
        <v>5000</v>
      </c>
      <c r="S1597" s="748">
        <f>'Part IV-Uses of Funds'!S101</f>
        <v>5000</v>
      </c>
    </row>
    <row r="1598" spans="1:21" ht="12.6" customHeight="1">
      <c r="B1598" s="748" t="s">
        <v>3613</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6000</v>
      </c>
      <c r="S1600" s="748">
        <f>SUM(S1596:T1599)</f>
        <v>6000</v>
      </c>
    </row>
    <row r="1601" spans="1:21" ht="13.15" customHeight="1">
      <c r="B1601" s="748" t="s">
        <v>373</v>
      </c>
      <c r="O1601" s="748" t="str">
        <f>B1601</f>
        <v>DEVELOPER'S FEE</v>
      </c>
    </row>
    <row r="1602" spans="1:21" ht="12.6" customHeight="1">
      <c r="B1602" s="748" t="s">
        <v>2913</v>
      </c>
      <c r="F1602" s="748" t="e">
        <f>G1602/$G$109</f>
        <v>#DIV/0!</v>
      </c>
      <c r="G1602" s="748">
        <f>'Part IV-Uses of Funds'!G106</f>
        <v>167807</v>
      </c>
      <c r="J1602" s="748">
        <f>'Part IV-Uses of Funds'!J106</f>
        <v>167807</v>
      </c>
      <c r="M1602" s="748">
        <f>'Part IV-Uses of Funds'!M106</f>
        <v>0</v>
      </c>
      <c r="P1602" s="748">
        <f>'Part IV-Uses of Funds'!P106</f>
        <v>0</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671228</v>
      </c>
      <c r="J1604" s="748">
        <f>'Part IV-Uses of Funds'!J108</f>
        <v>671228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839035</v>
      </c>
      <c r="J1605" s="748">
        <f>SUM(J1602:K1604)</f>
        <v>839035</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10000</v>
      </c>
      <c r="S1607" s="748">
        <f>'Part IV-Uses of Funds'!S111</f>
        <v>10000</v>
      </c>
    </row>
    <row r="1608" spans="1:21" ht="12.6" customHeight="1">
      <c r="B1608" s="748" t="s">
        <v>2287</v>
      </c>
      <c r="G1608" s="748">
        <f>'Part IV-Uses of Funds'!G112</f>
        <v>45000</v>
      </c>
      <c r="S1608" s="748">
        <f>'Part IV-Uses of Funds'!S112</f>
        <v>45000</v>
      </c>
    </row>
    <row r="1609" spans="1:21" ht="12.6" customHeight="1">
      <c r="B1609" s="748" t="s">
        <v>1028</v>
      </c>
      <c r="G1609" s="748">
        <f>'Part IV-Uses of Funds'!G113</f>
        <v>89000</v>
      </c>
      <c r="S1609" s="748">
        <f>'Part IV-Uses of Funds'!S113</f>
        <v>89000</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1486.4864864864865</v>
      </c>
      <c r="G1611" s="748">
        <f>'Part IV-Uses of Funds'!G115</f>
        <v>55000</v>
      </c>
      <c r="J1611" s="748">
        <f>'Part IV-Uses of Funds'!J115</f>
        <v>55000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199000</v>
      </c>
      <c r="J1613" s="748">
        <f>SUM(J1611:K1612)</f>
        <v>55000</v>
      </c>
      <c r="M1613" s="748">
        <f>SUM(M1611:N1612)</f>
        <v>0</v>
      </c>
      <c r="P1613" s="748">
        <f>SUM(P1611:Q1612)</f>
        <v>0</v>
      </c>
      <c r="S1613" s="748">
        <f>SUM(S1607:T1612)</f>
        <v>144000</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6936803</v>
      </c>
      <c r="J1619" s="748">
        <f>J1513+J1519+J1523+J1528+J1532+J1538+J1552+J1564+J1570+J1579+J1594+J1600+J1605+J1613+J1617</f>
        <v>6054948</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881856</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7605041</v>
      </c>
      <c r="F1621" s="748" t="s">
        <v>1038</v>
      </c>
      <c r="G1621" s="748">
        <f>G1619/'Part VI-Revenues &amp; Expenses'!$M$63</f>
        <v>187481.16216216216</v>
      </c>
      <c r="J1621" s="748" t="s">
        <v>1039</v>
      </c>
      <c r="M1621" s="748">
        <f>G1619/'Part VI-Revenues &amp; Expenses'!$M$98</f>
        <v>135.48443359375</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0</v>
      </c>
    </row>
    <row r="1634" spans="1:19" ht="3" customHeight="1"/>
    <row r="1635" spans="1:19" ht="15" customHeight="1">
      <c r="B1635" s="748" t="s">
        <v>3486</v>
      </c>
    </row>
    <row r="1636" spans="1:19" ht="13.9" customHeight="1">
      <c r="B1636" s="748" t="s">
        <v>2820</v>
      </c>
      <c r="J1636" s="748">
        <f>J1619</f>
        <v>6054948</v>
      </c>
      <c r="M1636" s="748">
        <f>M1619</f>
        <v>0</v>
      </c>
      <c r="P1636" s="748">
        <f>P1619</f>
        <v>0</v>
      </c>
    </row>
    <row r="1637" spans="1:19" ht="13.9" customHeight="1">
      <c r="B1637" s="748" t="s">
        <v>3342</v>
      </c>
      <c r="J1637" s="748">
        <f>J1633</f>
        <v>0</v>
      </c>
      <c r="P1637" s="748">
        <f>P1633</f>
        <v>0</v>
      </c>
    </row>
    <row r="1638" spans="1:19" ht="13.9" customHeight="1">
      <c r="B1638" s="748" t="s">
        <v>3343</v>
      </c>
      <c r="J1638" s="748">
        <f>J1636-J1637</f>
        <v>6054948</v>
      </c>
      <c r="M1638" s="748">
        <f>M1636</f>
        <v>0</v>
      </c>
      <c r="P1638" s="748">
        <f>P1636-P1637</f>
        <v>0</v>
      </c>
    </row>
    <row r="1639" spans="1:19" ht="13.9" customHeight="1">
      <c r="B1639" s="748" t="s">
        <v>2228</v>
      </c>
      <c r="G1639" s="748" t="s">
        <v>2734</v>
      </c>
      <c r="H1639" s="748" t="str">
        <f>'Part IV-Uses of Funds'!H143</f>
        <v>DDA/QCT</v>
      </c>
      <c r="J1639" s="748">
        <f>'Part IV-Uses of Funds'!J143</f>
        <v>1.3</v>
      </c>
      <c r="P1639" s="748">
        <f>'Part IV-Uses of Funds'!P143</f>
        <v>1.3</v>
      </c>
    </row>
    <row r="1640" spans="1:19" ht="13.9" customHeight="1">
      <c r="B1640" s="748" t="s">
        <v>3148</v>
      </c>
      <c r="J1640" s="748">
        <f>J1638*J1639</f>
        <v>7871432.4000000004</v>
      </c>
      <c r="M1640" s="748">
        <f>+M1638</f>
        <v>0</v>
      </c>
      <c r="P1640" s="748">
        <f>P1638*P1639</f>
        <v>0</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7871432.4000000004</v>
      </c>
      <c r="M1642" s="748">
        <f>M1640*M1641</f>
        <v>0</v>
      </c>
      <c r="P1642" s="748">
        <f>P1640*P1641</f>
        <v>0</v>
      </c>
    </row>
    <row r="1643" spans="1:19" ht="13.9" customHeight="1">
      <c r="B1643" s="748" t="s">
        <v>3136</v>
      </c>
      <c r="J1643" s="748">
        <f>'Part IV-Uses of Funds'!J147</f>
        <v>0.09</v>
      </c>
      <c r="M1643" s="748">
        <f>'Part IV-Uses of Funds'!M147</f>
        <v>0</v>
      </c>
      <c r="P1643" s="748">
        <f>'Part IV-Uses of Funds'!P147</f>
        <v>0.09</v>
      </c>
    </row>
    <row r="1644" spans="1:19" ht="13.9" customHeight="1">
      <c r="B1644" s="748" t="s">
        <v>3839</v>
      </c>
      <c r="J1644" s="748">
        <f>J1642*J1643</f>
        <v>708428.91599999997</v>
      </c>
      <c r="M1644" s="748">
        <f>M1642*M1643</f>
        <v>0</v>
      </c>
      <c r="P1644" s="748">
        <f>P1642*P1643</f>
        <v>0</v>
      </c>
    </row>
    <row r="1645" spans="1:19" ht="13.9" customHeight="1">
      <c r="B1645" s="748" t="s">
        <v>2143</v>
      </c>
      <c r="J1645" s="748">
        <f>J1644+M1644+P1644</f>
        <v>708428.91599999997</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6936803</v>
      </c>
      <c r="M1648" s="748" t="s">
        <v>3643</v>
      </c>
    </row>
    <row r="1649" spans="1:20" ht="13.9" customHeight="1">
      <c r="B1649" s="748" t="s">
        <v>3602</v>
      </c>
      <c r="J1649" s="748">
        <f>'Part IV-Uses of Funds'!J153</f>
        <v>6936803</v>
      </c>
    </row>
    <row r="1650" spans="1:20" ht="13.9" customHeight="1">
      <c r="B1650" s="748" t="s">
        <v>341</v>
      </c>
      <c r="J1650" s="749">
        <f>'Part III A-Sources of Funds'!$H$49-'Part III A-Sources of Funds'!$H$37-'Part III A-Sources of Funds'!$H$40-'Part III A-Sources of Funds'!$H$41</f>
        <v>450110</v>
      </c>
      <c r="T1650" s="748" t="s">
        <v>344</v>
      </c>
    </row>
    <row r="1651" spans="1:20" ht="13.9" customHeight="1">
      <c r="B1651" s="748" t="s">
        <v>3355</v>
      </c>
      <c r="J1651" s="748">
        <f>+J1649-J1650</f>
        <v>6486693</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648669.30000000005</v>
      </c>
      <c r="N1653" s="748" t="s">
        <v>1988</v>
      </c>
      <c r="Q1653" s="748" t="s">
        <v>2829</v>
      </c>
    </row>
    <row r="1654" spans="1:20" ht="13.9" customHeight="1">
      <c r="B1654" s="748" t="s">
        <v>4075</v>
      </c>
      <c r="J1654" s="748">
        <f>N1654+Q1654</f>
        <v>1</v>
      </c>
      <c r="M1654" s="748" t="s">
        <v>1989</v>
      </c>
      <c r="N1654" s="748">
        <f>'Part IV-Uses of Funds'!N158</f>
        <v>0.75</v>
      </c>
      <c r="P1654" s="748" t="s">
        <v>945</v>
      </c>
      <c r="Q1654" s="748">
        <f>'Part IV-Uses of Funds'!Q158</f>
        <v>0.25</v>
      </c>
    </row>
    <row r="1655" spans="1:20" ht="13.9" customHeight="1">
      <c r="B1655" s="748" t="s">
        <v>2144</v>
      </c>
      <c r="J1655" s="748">
        <f>IF(J1654=0,"",J1653/J1654)</f>
        <v>648669.30000000005</v>
      </c>
    </row>
    <row r="1656" spans="1:20" ht="9" customHeight="1"/>
    <row r="1657" spans="1:20" ht="16.149999999999999" customHeight="1">
      <c r="B1657" s="748" t="s">
        <v>3603</v>
      </c>
      <c r="J1657" s="748">
        <f>+MIN(J1645,J1655,'DCA Underwriting Assumptions'!$R$6)</f>
        <v>648669.30000000005</v>
      </c>
    </row>
    <row r="1658" spans="1:20" ht="9.6" customHeight="1"/>
    <row r="1659" spans="1:20" ht="16.149999999999999" customHeight="1">
      <c r="B1659" s="748" t="s">
        <v>3604</v>
      </c>
      <c r="J1659" s="748">
        <f>'Part IV-Uses of Funds'!J163</f>
        <v>648669</v>
      </c>
      <c r="M1659" s="748" t="str">
        <f>IF(J1659&gt;J1657,"ALLOCATION CANNOT EXCEED MAXIMUM - REVISE ALLOCATION!","")</f>
        <v/>
      </c>
    </row>
    <row r="1660" spans="1:20" ht="9.6" customHeight="1"/>
    <row r="1661" spans="1:20" ht="16.149999999999999" customHeight="1">
      <c r="A1661" s="748" t="s">
        <v>2822</v>
      </c>
      <c r="B1661" s="748" t="s">
        <v>3605</v>
      </c>
      <c r="J1661" s="748">
        <f>+MIN(J1657,J1659)</f>
        <v>648669</v>
      </c>
    </row>
    <row r="1662" spans="1:20" ht="3" customHeight="1"/>
    <row r="1663" spans="1:20" ht="6" customHeight="1"/>
    <row r="1664" spans="1:20" ht="12" customHeight="1">
      <c r="A1664" s="748" t="s">
        <v>2824</v>
      </c>
      <c r="B1664" s="748" t="s">
        <v>879</v>
      </c>
      <c r="K1664" s="748" t="s">
        <v>822</v>
      </c>
      <c r="L1664" s="748" t="s">
        <v>89</v>
      </c>
    </row>
    <row r="1665" spans="1:12" ht="107.45" customHeight="1">
      <c r="A1665" s="748" t="str">
        <f>'Part IV-Uses of Funds'!A169</f>
        <v>The back-up for Hard Construction Costs is located in Tab 8 of the application.</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2011-038 Thomson Estates, ,  County</v>
      </c>
    </row>
    <row r="1675" spans="1:12">
      <c r="F1675" s="748" t="s">
        <v>806</v>
      </c>
      <c r="I1675" s="748" t="str">
        <f>VLOOKUP('Part I-Project Information'!$J$25,'Part I-Project Information'!$C$183:$D$342,2)</f>
        <v>Middle</v>
      </c>
    </row>
    <row r="1677" spans="1:12">
      <c r="A1677" s="748" t="s">
        <v>950</v>
      </c>
      <c r="B1677" s="748" t="s">
        <v>3350</v>
      </c>
      <c r="F1677" s="748" t="s">
        <v>3804</v>
      </c>
      <c r="I1677" s="748" t="str">
        <f>'Part V-Utility Allowances'!I5</f>
        <v>DCA Utility Allowances - Middle Region</v>
      </c>
    </row>
    <row r="1678" spans="1:12">
      <c r="F1678" s="748" t="s">
        <v>972</v>
      </c>
      <c r="I1678" s="748">
        <f>'Part V-Utility Allowances'!I6</f>
        <v>40695</v>
      </c>
      <c r="K1678" s="748" t="s">
        <v>833</v>
      </c>
      <c r="L1678" s="748" t="str">
        <f>'Part V-Utility Allowances'!L6</f>
        <v>SF Detached</v>
      </c>
    </row>
    <row r="1680" spans="1:12">
      <c r="F1680" s="748" t="s">
        <v>942</v>
      </c>
      <c r="I1680" s="748" t="s">
        <v>258</v>
      </c>
    </row>
    <row r="1681" spans="1:13">
      <c r="B1681" s="748" t="s">
        <v>1380</v>
      </c>
      <c r="D1681" s="748" t="s">
        <v>2361</v>
      </c>
      <c r="F1681" s="748" t="s">
        <v>978</v>
      </c>
      <c r="G1681" s="748" t="s">
        <v>2902</v>
      </c>
      <c r="I1681" s="748">
        <v>0</v>
      </c>
      <c r="J1681" s="748">
        <v>1</v>
      </c>
      <c r="K1681" s="748">
        <v>2</v>
      </c>
      <c r="L1681" s="748">
        <v>3</v>
      </c>
      <c r="M1681" s="748">
        <v>4</v>
      </c>
    </row>
    <row r="1682" spans="1:13">
      <c r="B1682" s="748" t="s">
        <v>2904</v>
      </c>
      <c r="D1682" s="748" t="str">
        <f>'Part V-Utility Allowances'!D10</f>
        <v>Electric Heat Pump</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27</v>
      </c>
      <c r="M1682" s="748">
        <f>'Part V-Utility Allowances'!M10</f>
        <v>36</v>
      </c>
    </row>
    <row r="1683" spans="1:13">
      <c r="B1683" s="748" t="s">
        <v>686</v>
      </c>
      <c r="D1683" s="748" t="s">
        <v>2357</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55</v>
      </c>
      <c r="M1683" s="748">
        <f>'Part V-Utility Allowances'!M11</f>
        <v>70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14</v>
      </c>
      <c r="M1684" s="748">
        <f>'Part V-Utility Allowances'!M12</f>
        <v>18</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44</v>
      </c>
      <c r="M1685" s="748">
        <f>'Part V-Utility Allowances'!M13</f>
        <v>56</v>
      </c>
    </row>
    <row r="1686" spans="1:13">
      <c r="B1686" s="748" t="s">
        <v>2360</v>
      </c>
      <c r="D1686" s="748" t="s">
        <v>2357</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45</v>
      </c>
      <c r="M1686" s="748">
        <f>'Part V-Utility Allowances'!M14</f>
        <v>57</v>
      </c>
    </row>
    <row r="1687" spans="1:13">
      <c r="B1687" s="748" t="s">
        <v>2072</v>
      </c>
      <c r="D1687" s="748" t="s">
        <v>3349</v>
      </c>
      <c r="E1687" s="748" t="str">
        <f>'Part V-Utility Allowances'!E15</f>
        <v>Yes</v>
      </c>
      <c r="F1687" s="748" t="str">
        <f>'Part V-Utility Allowances'!F15</f>
        <v>X</v>
      </c>
      <c r="G1687" s="748">
        <f>'Part V-Utility Allowances'!G15</f>
        <v>0</v>
      </c>
      <c r="I1687" s="748">
        <f>'Part V-Utility Allowances'!I15</f>
        <v>0</v>
      </c>
      <c r="J1687" s="748">
        <f>'Part V-Utility Allowances'!J15</f>
        <v>0</v>
      </c>
      <c r="K1687" s="748">
        <f>'Part V-Utility Allowances'!K15</f>
        <v>0</v>
      </c>
      <c r="L1687" s="748">
        <f>'Part V-Utility Allowances'!L15</f>
        <v>78</v>
      </c>
      <c r="M1687" s="748">
        <f>'Part V-Utility Allowances'!M15</f>
        <v>97</v>
      </c>
    </row>
    <row r="1688" spans="1:13">
      <c r="B1688" s="748" t="s">
        <v>2903</v>
      </c>
      <c r="F1688" s="748" t="str">
        <f>'Part V-Utility Allowances'!F16</f>
        <v>X</v>
      </c>
      <c r="G1688" s="748">
        <f>'Part V-Utility Allowances'!G16</f>
        <v>0</v>
      </c>
      <c r="I1688" s="748">
        <f>'Part V-Utility Allowances'!I16</f>
        <v>0</v>
      </c>
      <c r="J1688" s="748">
        <f>'Part V-Utility Allowances'!J16</f>
        <v>0</v>
      </c>
      <c r="K1688" s="748">
        <f>'Part V-Utility Allowances'!K16</f>
        <v>0</v>
      </c>
      <c r="L1688" s="748">
        <f>'Part V-Utility Allowances'!L16</f>
        <v>20</v>
      </c>
      <c r="M1688" s="748">
        <f>'Part V-Utility Allowances'!M16</f>
        <v>20</v>
      </c>
    </row>
    <row r="1689" spans="1:13">
      <c r="B1689" s="748" t="s">
        <v>1640</v>
      </c>
      <c r="I1689" s="748">
        <f>SUM(I1682:I1688)</f>
        <v>0</v>
      </c>
      <c r="J1689" s="748">
        <f>SUM(J1682:J1688)</f>
        <v>0</v>
      </c>
      <c r="K1689" s="748">
        <f>SUM(K1682:K1688)</f>
        <v>0</v>
      </c>
      <c r="L1689" s="748">
        <f>SUM(L1682:L1688)</f>
        <v>283</v>
      </c>
      <c r="M1689" s="748">
        <f>SUM(M1682:M1688)</f>
        <v>354</v>
      </c>
    </row>
    <row r="1691" spans="1:13">
      <c r="A1691" s="748" t="s">
        <v>1229</v>
      </c>
      <c r="B1691" s="748" t="s">
        <v>3351</v>
      </c>
      <c r="F1691" s="748" t="s">
        <v>3804</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2839</v>
      </c>
    </row>
    <row r="1707" spans="2:13">
      <c r="B1707" s="748" t="s">
        <v>879</v>
      </c>
    </row>
    <row r="1708" spans="2:13">
      <c r="B1708" s="748" t="str">
        <f>'Part V-Utility Allowances'!B36</f>
        <v>Each house is individually metered for water and sewer; therefore, the resident has their own account and the bill does not pass through the</v>
      </c>
    </row>
    <row r="1709" spans="2:13">
      <c r="B1709" s="748" t="str">
        <f>'Part V-Utility Allowances'!B37</f>
        <v>property for reimbursement.  The trash bill is also billed directly to the tenant.</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2011-038 Thomson Estates, ,  County</v>
      </c>
    </row>
    <row r="1717" spans="1:219" ht="12" customHeight="1"/>
    <row r="1718" spans="1:219" ht="12.6" customHeight="1">
      <c r="A1718" s="748" t="s">
        <v>950</v>
      </c>
      <c r="B1718" s="748" t="s">
        <v>3570</v>
      </c>
      <c r="D1718" s="748" t="s">
        <v>328</v>
      </c>
      <c r="N1718" s="748" t="s">
        <v>886</v>
      </c>
      <c r="O1718" s="748" t="str">
        <f>'Part I-Project Information'!$J$26</f>
        <v>Augusta-Richmond Co.</v>
      </c>
      <c r="EY1718" s="748" t="s">
        <v>716</v>
      </c>
      <c r="EZ1718" s="748" t="s">
        <v>3685</v>
      </c>
      <c r="FA1718" s="748" t="s">
        <v>3686</v>
      </c>
      <c r="FB1718" s="748" t="s">
        <v>3687</v>
      </c>
      <c r="FC1718" s="748" t="s">
        <v>3688</v>
      </c>
      <c r="FI1718" s="748" t="s">
        <v>716</v>
      </c>
      <c r="FJ1718" s="748" t="s">
        <v>3685</v>
      </c>
      <c r="FK1718" s="748" t="s">
        <v>3686</v>
      </c>
      <c r="FL1718" s="748" t="s">
        <v>3687</v>
      </c>
      <c r="FM1718" s="748" t="s">
        <v>3688</v>
      </c>
      <c r="FN1718" s="748" t="s">
        <v>716</v>
      </c>
      <c r="FO1718" s="748" t="s">
        <v>3685</v>
      </c>
      <c r="FP1718" s="748" t="s">
        <v>3686</v>
      </c>
      <c r="FQ1718" s="748" t="s">
        <v>3687</v>
      </c>
      <c r="FR1718" s="748" t="s">
        <v>3688</v>
      </c>
      <c r="FS1718" s="748" t="s">
        <v>716</v>
      </c>
      <c r="FT1718" s="748" t="s">
        <v>3685</v>
      </c>
      <c r="FU1718" s="748" t="s">
        <v>3686</v>
      </c>
      <c r="FV1718" s="748" t="s">
        <v>3687</v>
      </c>
      <c r="FW1718" s="748" t="s">
        <v>3688</v>
      </c>
      <c r="FX1718" s="748" t="s">
        <v>716</v>
      </c>
      <c r="FY1718" s="748" t="s">
        <v>3685</v>
      </c>
      <c r="FZ1718" s="748" t="s">
        <v>3686</v>
      </c>
      <c r="GA1718" s="748" t="s">
        <v>3687</v>
      </c>
      <c r="GB1718" s="748" t="s">
        <v>3688</v>
      </c>
      <c r="GC1718" s="748" t="s">
        <v>716</v>
      </c>
      <c r="GD1718" s="748" t="s">
        <v>3685</v>
      </c>
      <c r="GE1718" s="748" t="s">
        <v>3686</v>
      </c>
      <c r="GF1718" s="748" t="s">
        <v>3687</v>
      </c>
      <c r="GG1718" s="748" t="s">
        <v>3688</v>
      </c>
      <c r="GH1718" s="748" t="s">
        <v>716</v>
      </c>
      <c r="GI1718" s="748" t="s">
        <v>3685</v>
      </c>
      <c r="GJ1718" s="748" t="s">
        <v>3686</v>
      </c>
      <c r="GK1718" s="748" t="s">
        <v>3687</v>
      </c>
      <c r="GL1718" s="748" t="s">
        <v>3688</v>
      </c>
    </row>
    <row r="1719" spans="1:219" ht="12.6" customHeight="1">
      <c r="T1719" s="748" t="s">
        <v>1513</v>
      </c>
      <c r="U1719" s="748" t="s">
        <v>1247</v>
      </c>
      <c r="V1719" s="748" t="s">
        <v>1248</v>
      </c>
      <c r="W1719" s="748" t="s">
        <v>1249</v>
      </c>
      <c r="X1719" s="748" t="s">
        <v>1250</v>
      </c>
      <c r="Y1719" s="748" t="s">
        <v>1514</v>
      </c>
      <c r="Z1719" s="748" t="s">
        <v>3451</v>
      </c>
      <c r="AA1719" s="748" t="s">
        <v>3452</v>
      </c>
      <c r="AB1719" s="748" t="s">
        <v>3453</v>
      </c>
      <c r="AC1719" s="748" t="s">
        <v>3454</v>
      </c>
      <c r="AD1719" s="748" t="s">
        <v>1515</v>
      </c>
      <c r="AE1719" s="748" t="s">
        <v>3455</v>
      </c>
      <c r="AF1719" s="748" t="s">
        <v>3456</v>
      </c>
      <c r="AG1719" s="748" t="s">
        <v>3457</v>
      </c>
      <c r="AH1719" s="748" t="s">
        <v>3458</v>
      </c>
      <c r="AI1719" s="748" t="s">
        <v>152</v>
      </c>
      <c r="AJ1719" s="748" t="s">
        <v>3459</v>
      </c>
      <c r="AK1719" s="748" t="s">
        <v>3460</v>
      </c>
      <c r="AL1719" s="748" t="s">
        <v>3461</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3675</v>
      </c>
      <c r="BS1719" s="748" t="s">
        <v>3676</v>
      </c>
      <c r="BT1719" s="748" t="s">
        <v>3677</v>
      </c>
      <c r="BU1719" s="748" t="s">
        <v>3678</v>
      </c>
      <c r="BV1719" s="748" t="s">
        <v>3679</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3674</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3320</v>
      </c>
      <c r="EK1719" s="748" t="s">
        <v>3321</v>
      </c>
      <c r="EL1719" s="748" t="s">
        <v>3322</v>
      </c>
      <c r="EM1719" s="748" t="s">
        <v>2213</v>
      </c>
      <c r="EN1719" s="748" t="s">
        <v>2214</v>
      </c>
      <c r="EO1719" s="748" t="s">
        <v>29</v>
      </c>
      <c r="EP1719" s="748" t="s">
        <v>30</v>
      </c>
      <c r="EQ1719" s="748" t="s">
        <v>31</v>
      </c>
      <c r="ER1719" s="748" t="s">
        <v>32</v>
      </c>
      <c r="ES1719" s="748" t="s">
        <v>33</v>
      </c>
      <c r="GM1719" s="748" t="s">
        <v>2528</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2897</v>
      </c>
      <c r="G1720" s="748">
        <f>'Part VI-Revenues &amp; Expenses'!G5</f>
        <v>0</v>
      </c>
      <c r="P1720" s="748" t="s">
        <v>1658</v>
      </c>
    </row>
    <row r="1721" spans="1:219" ht="13.15" customHeight="1">
      <c r="B1721" s="748" t="s">
        <v>2838</v>
      </c>
      <c r="G1721" s="748">
        <f>'Part VI-Revenues &amp; Expenses'!G6</f>
        <v>0</v>
      </c>
      <c r="J1721" s="748" t="s">
        <v>3644</v>
      </c>
      <c r="P1721" s="748">
        <f>VLOOKUP('Part I-Project Information'!$J$26,'DCA Underwriting Assumptions'!$C$77:$D$187,2)</f>
        <v>57100</v>
      </c>
    </row>
    <row r="1722" spans="1:219" ht="13.9" customHeight="1">
      <c r="A1722" s="748" t="str">
        <f>IF(A1763&gt;0,"Finish!","")</f>
        <v/>
      </c>
      <c r="J1722" s="748" t="s">
        <v>3645</v>
      </c>
    </row>
    <row r="1723" spans="1:219" ht="13.9" customHeight="1">
      <c r="B1723" s="748" t="s">
        <v>2212</v>
      </c>
      <c r="C1723" s="748" t="s">
        <v>228</v>
      </c>
      <c r="D1723" s="748" t="s">
        <v>839</v>
      </c>
      <c r="E1723" s="748" t="s">
        <v>2210</v>
      </c>
      <c r="F1723" s="748" t="s">
        <v>2210</v>
      </c>
      <c r="G1723" s="748" t="s">
        <v>3616</v>
      </c>
      <c r="H1723" s="748" t="s">
        <v>3614</v>
      </c>
      <c r="I1723" s="748" t="s">
        <v>1380</v>
      </c>
      <c r="J1723" s="748" t="s">
        <v>4076</v>
      </c>
      <c r="K1723" s="748" t="s">
        <v>186</v>
      </c>
      <c r="M1723" s="748" t="s">
        <v>3571</v>
      </c>
      <c r="N1723" s="748" t="s">
        <v>825</v>
      </c>
      <c r="O1723" s="748" t="s">
        <v>487</v>
      </c>
      <c r="P1723" s="748" t="s">
        <v>1665</v>
      </c>
      <c r="ET1723" s="748" t="s">
        <v>2187</v>
      </c>
      <c r="EU1723" s="748" t="s">
        <v>3685</v>
      </c>
      <c r="EV1723" s="748" t="s">
        <v>3686</v>
      </c>
      <c r="EW1723" s="748" t="s">
        <v>3687</v>
      </c>
      <c r="EX1723" s="748" t="s">
        <v>3688</v>
      </c>
      <c r="EY1723" s="748" t="s">
        <v>3775</v>
      </c>
      <c r="EZ1723" s="748" t="s">
        <v>3775</v>
      </c>
      <c r="FA1723" s="748" t="s">
        <v>3775</v>
      </c>
      <c r="FB1723" s="748" t="s">
        <v>3775</v>
      </c>
      <c r="FC1723" s="748" t="s">
        <v>3775</v>
      </c>
      <c r="FD1723" s="748" t="s">
        <v>716</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3615</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f>'Part VI-Revenues &amp; Expenses'!C10</f>
        <v>3</v>
      </c>
      <c r="D1725" s="748">
        <f>'Part VI-Revenues &amp; Expenses'!D10</f>
        <v>2</v>
      </c>
      <c r="E1725" s="748">
        <f>'Part VI-Revenues &amp; Expenses'!E10</f>
        <v>4</v>
      </c>
      <c r="F1725" s="748">
        <f>'Part VI-Revenues &amp; Expenses'!F10</f>
        <v>1280</v>
      </c>
      <c r="G1725" s="748">
        <f>'Part VI-Revenues &amp; Expenses'!G10</f>
        <v>742</v>
      </c>
      <c r="H1725" s="748">
        <f>'Part VI-Revenues &amp; Expenses'!H10</f>
        <v>717</v>
      </c>
      <c r="I1725" s="748">
        <f>'Part VI-Revenues &amp; Expenses'!I10</f>
        <v>283</v>
      </c>
      <c r="J1725" s="748">
        <f>'Part VI-Revenues &amp; Expenses'!J10</f>
        <v>0</v>
      </c>
      <c r="K1725" s="748">
        <f>MAX(0,H1725-I1725)</f>
        <v>434</v>
      </c>
      <c r="L1725" s="748">
        <f t="shared" ref="L1725:L1762" si="99">MAX(0,E1725*K1725)</f>
        <v>1736</v>
      </c>
      <c r="M1725" s="748" t="str">
        <f>'Part VI-Revenues &amp; Expenses'!M10</f>
        <v>No</v>
      </c>
      <c r="N1725" s="748" t="str">
        <f>'Part VI-Revenues &amp; Expenses'!N10</f>
        <v>SF Detached</v>
      </c>
      <c r="O1725" s="748" t="str">
        <f>'Part VI-Revenues &amp; Expenses'!O10</f>
        <v>New Construction</v>
      </c>
      <c r="P1725" s="748">
        <f>'Part VI-Revenues &amp; Expenses'!P10</f>
        <v>28680</v>
      </c>
      <c r="Q1725" s="748">
        <f>'Part VI-Revenues &amp; Expenses'!Q10</f>
        <v>0.48295837262562308</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f t="shared" ref="AB1725:AB1762" si="108">IF(AND(C1725=3,B1725="50% AMI",NOT(M1725="Common")),E1725,"")</f>
        <v>4</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f t="shared" ref="CE1725:CE1762" si="133">IF(OR(AND(C1725=3,B1725="50% AMI",NOT(M1725="Common")),AND(C1725=3,B1725="HOME 50% AMI",NOT(M1725="Common"))),E1725*F1725,"")</f>
        <v>5120</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f t="shared" ref="DD1725:DD1762" si="158">IF(AND($C1725=3, $O1725="New Construction",NOT($B1725="Unrestricted"),NOT($B1725="NSP 120% AMI"),NOT($B1725="N/A-CS"),NOT($M1725="Common")),$E1725,"")</f>
        <v>4</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f t="shared" ref="FB1725:FB1762" si="208">IF(AND($C1725=3, $N1725="SF Detached"),$E1725,"")</f>
        <v>4</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4</v>
      </c>
      <c r="D1726" s="748">
        <f>'Part VI-Revenues &amp; Expenses'!D11</f>
        <v>2</v>
      </c>
      <c r="E1726" s="748">
        <f>'Part VI-Revenues &amp; Expenses'!E11</f>
        <v>2</v>
      </c>
      <c r="F1726" s="748">
        <f>'Part VI-Revenues &amp; Expenses'!F11</f>
        <v>1600</v>
      </c>
      <c r="G1726" s="748">
        <f>'Part VI-Revenues &amp; Expenses'!G11</f>
        <v>828</v>
      </c>
      <c r="H1726" s="748">
        <f>'Part VI-Revenues &amp; Expenses'!H11</f>
        <v>806</v>
      </c>
      <c r="I1726" s="748">
        <f>'Part VI-Revenues &amp; Expenses'!I11</f>
        <v>354</v>
      </c>
      <c r="J1726" s="748">
        <f>'Part VI-Revenues &amp; Expenses'!J11</f>
        <v>0</v>
      </c>
      <c r="K1726" s="748">
        <f t="shared" ref="K1726:K1742" si="271">MAX(0,H1726-I1726)</f>
        <v>452</v>
      </c>
      <c r="L1726" s="748">
        <f t="shared" si="99"/>
        <v>904</v>
      </c>
      <c r="M1726" s="748" t="str">
        <f>'Part VI-Revenues &amp; Expenses'!M11</f>
        <v>No</v>
      </c>
      <c r="N1726" s="748" t="str">
        <f>'Part VI-Revenues &amp; Expenses'!N11</f>
        <v>SF Detached</v>
      </c>
      <c r="O1726" s="748" t="str">
        <f>'Part VI-Revenues &amp; Expenses'!O11</f>
        <v>New Construction</v>
      </c>
      <c r="P1726" s="748">
        <f>'Part VI-Revenues &amp; Expenses'!P11</f>
        <v>32240</v>
      </c>
      <c r="Q1726" s="748">
        <f>'Part VI-Revenues &amp; Expenses'!Q11</f>
        <v>0.48674436862129355</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f t="shared" si="109"/>
        <v>2</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f t="shared" si="134"/>
        <v>3200</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f t="shared" si="159"/>
        <v>2</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f t="shared" si="209"/>
        <v>2</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3</v>
      </c>
      <c r="D1727" s="748">
        <f>'Part VI-Revenues &amp; Expenses'!D12</f>
        <v>2</v>
      </c>
      <c r="E1727" s="748">
        <f>'Part VI-Revenues &amp; Expenses'!E12</f>
        <v>21</v>
      </c>
      <c r="F1727" s="748">
        <f>'Part VI-Revenues &amp; Expenses'!F12</f>
        <v>1280</v>
      </c>
      <c r="G1727" s="748">
        <f>'Part VI-Revenues &amp; Expenses'!G12</f>
        <v>891</v>
      </c>
      <c r="H1727" s="748">
        <f>'Part VI-Revenues &amp; Expenses'!H12</f>
        <v>851</v>
      </c>
      <c r="I1727" s="748">
        <f>'Part VI-Revenues &amp; Expenses'!I12</f>
        <v>283</v>
      </c>
      <c r="J1727" s="748">
        <f>'Part VI-Revenues &amp; Expenses'!J12</f>
        <v>0</v>
      </c>
      <c r="K1727" s="748">
        <f t="shared" si="271"/>
        <v>568</v>
      </c>
      <c r="L1727" s="748">
        <f t="shared" si="99"/>
        <v>11928</v>
      </c>
      <c r="M1727" s="748" t="str">
        <f>'Part VI-Revenues &amp; Expenses'!M12</f>
        <v>No</v>
      </c>
      <c r="N1727" s="748" t="str">
        <f>'Part VI-Revenues &amp; Expenses'!N12</f>
        <v>SF Detached</v>
      </c>
      <c r="O1727" s="748" t="str">
        <f>'Part VI-Revenues &amp; Expenses'!O12</f>
        <v>New Construction</v>
      </c>
      <c r="P1727" s="748">
        <f>'Part VI-Revenues &amp; Expenses'!P12</f>
        <v>34040</v>
      </c>
      <c r="Q1727" s="748">
        <f>'Part VI-Revenues &amp; Expenses'!Q12</f>
        <v>0.57321837531995146</v>
      </c>
      <c r="R1727" s="748">
        <f>'Part VI-Revenues &amp; Expenses'!R12</f>
        <v>0</v>
      </c>
      <c r="T1727" s="748" t="str">
        <f t="shared" si="100"/>
        <v/>
      </c>
      <c r="U1727" s="748" t="str">
        <f t="shared" si="101"/>
        <v/>
      </c>
      <c r="V1727" s="748" t="str">
        <f t="shared" si="102"/>
        <v/>
      </c>
      <c r="W1727" s="748">
        <f t="shared" si="103"/>
        <v>21</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f t="shared" si="128"/>
        <v>26880</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21</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f t="shared" si="208"/>
        <v>21</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4</v>
      </c>
      <c r="D1728" s="748">
        <f>'Part VI-Revenues &amp; Expenses'!D13</f>
        <v>2</v>
      </c>
      <c r="E1728" s="748">
        <f>'Part VI-Revenues &amp; Expenses'!E13</f>
        <v>10</v>
      </c>
      <c r="F1728" s="748">
        <f>'Part VI-Revenues &amp; Expenses'!F13</f>
        <v>1600</v>
      </c>
      <c r="G1728" s="748">
        <f>'Part VI-Revenues &amp; Expenses'!G13</f>
        <v>994</v>
      </c>
      <c r="H1728" s="748">
        <f>'Part VI-Revenues &amp; Expenses'!H13</f>
        <v>955</v>
      </c>
      <c r="I1728" s="748">
        <f>'Part VI-Revenues &amp; Expenses'!I13</f>
        <v>354</v>
      </c>
      <c r="J1728" s="748">
        <f>'Part VI-Revenues &amp; Expenses'!J13</f>
        <v>0</v>
      </c>
      <c r="K1728" s="748">
        <f t="shared" si="271"/>
        <v>601</v>
      </c>
      <c r="L1728" s="748">
        <f t="shared" si="99"/>
        <v>6010</v>
      </c>
      <c r="M1728" s="748" t="str">
        <f>'Part VI-Revenues &amp; Expenses'!M13</f>
        <v>No</v>
      </c>
      <c r="N1728" s="748" t="str">
        <f>'Part VI-Revenues &amp; Expenses'!N13</f>
        <v>SF Detached</v>
      </c>
      <c r="O1728" s="748" t="str">
        <f>'Part VI-Revenues &amp; Expenses'!O13</f>
        <v>New Construction</v>
      </c>
      <c r="P1728" s="748">
        <f>'Part VI-Revenues &amp; Expenses'!P13</f>
        <v>38200</v>
      </c>
      <c r="Q1728" s="748">
        <f>'Part VI-Revenues &amp; Expenses'!Q13</f>
        <v>0.57672564768403889</v>
      </c>
      <c r="R1728" s="748">
        <f>'Part VI-Revenues &amp; Expenses'!R13</f>
        <v>0</v>
      </c>
      <c r="T1728" s="748" t="str">
        <f t="shared" si="100"/>
        <v/>
      </c>
      <c r="U1728" s="748" t="str">
        <f t="shared" si="101"/>
        <v/>
      </c>
      <c r="V1728" s="748" t="str">
        <f t="shared" si="102"/>
        <v/>
      </c>
      <c r="W1728" s="748" t="str">
        <f t="shared" si="103"/>
        <v/>
      </c>
      <c r="X1728" s="748">
        <f t="shared" si="104"/>
        <v>10</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f t="shared" si="129"/>
        <v>16000</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f t="shared" si="159"/>
        <v>10</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f t="shared" si="209"/>
        <v>10</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37</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51200</v>
      </c>
      <c r="K1763" s="748" t="s">
        <v>2002</v>
      </c>
      <c r="L1763" s="748">
        <f>SUM(L1725:L1762)</f>
        <v>20578</v>
      </c>
      <c r="T1763" s="748">
        <f t="shared" ref="T1763:CE1763" si="304">SUM(T1725:T1762)</f>
        <v>0</v>
      </c>
      <c r="U1763" s="748">
        <f t="shared" si="304"/>
        <v>0</v>
      </c>
      <c r="V1763" s="748">
        <f t="shared" si="304"/>
        <v>0</v>
      </c>
      <c r="W1763" s="748">
        <f t="shared" si="304"/>
        <v>21</v>
      </c>
      <c r="X1763" s="748">
        <f t="shared" si="304"/>
        <v>10</v>
      </c>
      <c r="Y1763" s="748">
        <f t="shared" si="304"/>
        <v>0</v>
      </c>
      <c r="Z1763" s="748">
        <f t="shared" si="304"/>
        <v>0</v>
      </c>
      <c r="AA1763" s="748">
        <f t="shared" si="304"/>
        <v>0</v>
      </c>
      <c r="AB1763" s="748">
        <f t="shared" si="304"/>
        <v>4</v>
      </c>
      <c r="AC1763" s="748">
        <f t="shared" si="304"/>
        <v>2</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0</v>
      </c>
      <c r="BZ1763" s="748">
        <f t="shared" si="304"/>
        <v>26880</v>
      </c>
      <c r="CA1763" s="748">
        <f t="shared" si="304"/>
        <v>16000</v>
      </c>
      <c r="CB1763" s="748">
        <f t="shared" si="304"/>
        <v>0</v>
      </c>
      <c r="CC1763" s="748">
        <f t="shared" si="304"/>
        <v>0</v>
      </c>
      <c r="CD1763" s="748">
        <f t="shared" si="304"/>
        <v>0</v>
      </c>
      <c r="CE1763" s="748">
        <f t="shared" si="304"/>
        <v>5120</v>
      </c>
      <c r="CF1763" s="748">
        <f t="shared" ref="CF1763:EN1763" si="305">SUM(CF1725:CF1762)</f>
        <v>3200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25</v>
      </c>
      <c r="DE1763" s="748">
        <f t="shared" si="305"/>
        <v>12</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0</v>
      </c>
      <c r="EW1763" s="748">
        <f t="shared" si="306"/>
        <v>0</v>
      </c>
      <c r="EX1763" s="748">
        <f t="shared" si="306"/>
        <v>0</v>
      </c>
      <c r="EY1763" s="748">
        <f t="shared" si="306"/>
        <v>0</v>
      </c>
      <c r="EZ1763" s="748">
        <f t="shared" si="306"/>
        <v>0</v>
      </c>
      <c r="FA1763" s="748">
        <f t="shared" si="306"/>
        <v>0</v>
      </c>
      <c r="FB1763" s="748">
        <f t="shared" si="306"/>
        <v>25</v>
      </c>
      <c r="FC1763" s="748">
        <f t="shared" si="306"/>
        <v>12</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246936</v>
      </c>
    </row>
    <row r="1765" spans="1:219" ht="6" customHeight="1"/>
    <row r="1766" spans="1:219" ht="14.45" customHeight="1">
      <c r="A1766" s="748" t="s">
        <v>4077</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0</v>
      </c>
      <c r="J1772" s="748">
        <f>V1763</f>
        <v>0</v>
      </c>
      <c r="K1772" s="748">
        <f>W1763</f>
        <v>21</v>
      </c>
      <c r="L1772" s="748">
        <f>X1763</f>
        <v>10</v>
      </c>
      <c r="M1772" s="748">
        <f t="shared" ref="M1772:M1778" si="308">SUM(H1772:L1772)</f>
        <v>31</v>
      </c>
      <c r="N1772" s="748" t="s">
        <v>1483</v>
      </c>
      <c r="Q1772" s="748">
        <f t="shared" ref="Q1772:Q1778" si="309">ABS(M1772-AD1772)</f>
        <v>0</v>
      </c>
      <c r="T1772" s="748" t="s">
        <v>1778</v>
      </c>
      <c r="X1772" s="748" t="s">
        <v>1791</v>
      </c>
      <c r="Y1772" s="748">
        <f>T1763</f>
        <v>0</v>
      </c>
      <c r="Z1772" s="748">
        <f>U1763</f>
        <v>0</v>
      </c>
      <c r="AA1772" s="748">
        <f>V1763</f>
        <v>0</v>
      </c>
      <c r="AB1772" s="748">
        <f>W1763</f>
        <v>21</v>
      </c>
      <c r="AC1772" s="748">
        <f>X1763</f>
        <v>10</v>
      </c>
      <c r="AD1772" s="748">
        <f t="shared" ref="AD1772:AD1778" si="310">SUM(Y1772:AC1772)</f>
        <v>31</v>
      </c>
      <c r="AE1772" s="748" t="s">
        <v>1555</v>
      </c>
    </row>
    <row r="1773" spans="1:219" ht="15" customHeight="1">
      <c r="A1773" s="748" t="s">
        <v>652</v>
      </c>
      <c r="G1773" s="748" t="s">
        <v>133</v>
      </c>
      <c r="H1773" s="748">
        <f>Y1763</f>
        <v>0</v>
      </c>
      <c r="I1773" s="748">
        <f>Z1763</f>
        <v>0</v>
      </c>
      <c r="J1773" s="748">
        <f>AA1763</f>
        <v>0</v>
      </c>
      <c r="K1773" s="748">
        <f>AB1763</f>
        <v>4</v>
      </c>
      <c r="L1773" s="748">
        <f>AC1763</f>
        <v>2</v>
      </c>
      <c r="M1773" s="748">
        <f t="shared" si="308"/>
        <v>6</v>
      </c>
      <c r="Q1773" s="748">
        <f t="shared" si="309"/>
        <v>0</v>
      </c>
      <c r="X1773" s="748" t="s">
        <v>133</v>
      </c>
      <c r="Y1773" s="748">
        <f>Y1763</f>
        <v>0</v>
      </c>
      <c r="Z1773" s="748">
        <f>Z1763</f>
        <v>0</v>
      </c>
      <c r="AA1773" s="748">
        <f>AA1763</f>
        <v>0</v>
      </c>
      <c r="AB1773" s="748">
        <f>AB1763</f>
        <v>4</v>
      </c>
      <c r="AC1773" s="748">
        <f>AC1763</f>
        <v>2</v>
      </c>
      <c r="AD1773" s="748">
        <f t="shared" si="310"/>
        <v>6</v>
      </c>
    </row>
    <row r="1774" spans="1:219" ht="15" customHeight="1">
      <c r="G1774" s="748" t="s">
        <v>832</v>
      </c>
      <c r="H1774" s="748">
        <f>SUM(H1772:H1773)</f>
        <v>0</v>
      </c>
      <c r="I1774" s="748">
        <f>SUM(I1772:I1773)</f>
        <v>0</v>
      </c>
      <c r="J1774" s="748">
        <f>SUM(J1772:J1773)</f>
        <v>0</v>
      </c>
      <c r="K1774" s="748">
        <f>SUM(K1772:K1773)</f>
        <v>25</v>
      </c>
      <c r="L1774" s="748">
        <f>SUM(L1772:L1773)</f>
        <v>12</v>
      </c>
      <c r="M1774" s="748">
        <f t="shared" si="308"/>
        <v>37</v>
      </c>
      <c r="Q1774" s="748">
        <f t="shared" si="309"/>
        <v>0</v>
      </c>
      <c r="X1774" s="748" t="s">
        <v>832</v>
      </c>
      <c r="Y1774" s="748">
        <f>SUM(Y1772:Y1773)</f>
        <v>0</v>
      </c>
      <c r="Z1774" s="748">
        <f>SUM(Z1772:Z1773)</f>
        <v>0</v>
      </c>
      <c r="AA1774" s="748">
        <f>SUM(AA1772:AA1773)</f>
        <v>0</v>
      </c>
      <c r="AB1774" s="748">
        <f>SUM(AB1772:AB1773)</f>
        <v>25</v>
      </c>
      <c r="AC1774" s="748">
        <f>SUM(AC1772:AC1773)</f>
        <v>12</v>
      </c>
      <c r="AD1774" s="748">
        <f t="shared" si="310"/>
        <v>37</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0</v>
      </c>
      <c r="J1776" s="748">
        <f>SUM(J1774:J1775)</f>
        <v>0</v>
      </c>
      <c r="K1776" s="748">
        <f>SUM(K1774:K1775)</f>
        <v>25</v>
      </c>
      <c r="L1776" s="748">
        <f>SUM(L1774:L1775)</f>
        <v>12</v>
      </c>
      <c r="M1776" s="748">
        <f t="shared" si="308"/>
        <v>37</v>
      </c>
      <c r="Q1776" s="748">
        <f t="shared" si="309"/>
        <v>0</v>
      </c>
      <c r="T1776" s="748" t="s">
        <v>1779</v>
      </c>
      <c r="Y1776" s="748">
        <f>SUM(Y1774:Y1775)</f>
        <v>0</v>
      </c>
      <c r="Z1776" s="748">
        <f>SUM(Z1774:Z1775)</f>
        <v>0</v>
      </c>
      <c r="AA1776" s="748">
        <f>SUM(AA1774:AA1775)</f>
        <v>0</v>
      </c>
      <c r="AB1776" s="748">
        <f>SUM(AB1774:AB1775)</f>
        <v>25</v>
      </c>
      <c r="AC1776" s="748">
        <f>SUM(AC1774:AC1775)</f>
        <v>12</v>
      </c>
      <c r="AD1776" s="748">
        <f t="shared" si="310"/>
        <v>37</v>
      </c>
    </row>
    <row r="1777" spans="3:31" ht="15" customHeight="1">
      <c r="C1777" s="748" t="s">
        <v>3796</v>
      </c>
      <c r="H1777" s="748">
        <f>BR1763</f>
        <v>0</v>
      </c>
      <c r="I1777" s="748">
        <f>BS1763</f>
        <v>0</v>
      </c>
      <c r="J1777" s="748">
        <f>BT1763</f>
        <v>0</v>
      </c>
      <c r="K1777" s="748">
        <f>BU1763</f>
        <v>0</v>
      </c>
      <c r="L1777" s="748">
        <f>BV1763</f>
        <v>0</v>
      </c>
      <c r="M1777" s="748">
        <f t="shared" si="308"/>
        <v>0</v>
      </c>
      <c r="N1777" s="748" t="s">
        <v>3327</v>
      </c>
      <c r="Q1777" s="748">
        <f t="shared" si="309"/>
        <v>0</v>
      </c>
      <c r="T1777" s="748" t="s">
        <v>3796</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0</v>
      </c>
      <c r="J1778" s="748">
        <f>SUM(J1776:J1777)</f>
        <v>0</v>
      </c>
      <c r="K1778" s="748">
        <f>SUM(K1776:K1777)</f>
        <v>25</v>
      </c>
      <c r="L1778" s="748">
        <f>SUM(L1776:L1777)</f>
        <v>12</v>
      </c>
      <c r="M1778" s="748">
        <f t="shared" si="308"/>
        <v>37</v>
      </c>
      <c r="Q1778" s="748">
        <f t="shared" si="309"/>
        <v>0</v>
      </c>
      <c r="T1778" s="748" t="s">
        <v>832</v>
      </c>
      <c r="Y1778" s="748">
        <f>SUM(Y1776:Y1777)</f>
        <v>0</v>
      </c>
      <c r="Z1778" s="748">
        <f>SUM(Z1776:Z1777)</f>
        <v>0</v>
      </c>
      <c r="AA1778" s="748">
        <f>SUM(AA1776:AA1777)</f>
        <v>0</v>
      </c>
      <c r="AB1778" s="748">
        <f>SUM(AB1776:AB1777)</f>
        <v>25</v>
      </c>
      <c r="AC1778" s="748">
        <f>SUM(AC1776:AC1777)</f>
        <v>12</v>
      </c>
      <c r="AD1778" s="748">
        <f t="shared" si="310"/>
        <v>37</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3797</v>
      </c>
      <c r="G1781" s="748" t="s">
        <v>133</v>
      </c>
      <c r="H1781" s="748">
        <f>AS1763</f>
        <v>0</v>
      </c>
      <c r="I1781" s="748">
        <f>AT1763</f>
        <v>0</v>
      </c>
      <c r="J1781" s="748">
        <f>AU1763</f>
        <v>0</v>
      </c>
      <c r="K1781" s="748">
        <f>AV1763</f>
        <v>0</v>
      </c>
      <c r="L1781" s="748">
        <f>AW1763</f>
        <v>0</v>
      </c>
      <c r="M1781" s="748">
        <f>SUM(H1781:L1781)</f>
        <v>0</v>
      </c>
      <c r="Q1781" s="748">
        <f>ABS(M1781-AD1781)</f>
        <v>0</v>
      </c>
      <c r="T1781" s="748" t="s">
        <v>3797</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2154</v>
      </c>
      <c r="H1788" s="748">
        <f>DA1763</f>
        <v>0</v>
      </c>
      <c r="I1788" s="748">
        <f>DB1763</f>
        <v>0</v>
      </c>
      <c r="J1788" s="748">
        <f>DC1763</f>
        <v>0</v>
      </c>
      <c r="K1788" s="748">
        <f>DD1763</f>
        <v>25</v>
      </c>
      <c r="L1788" s="748">
        <f>DE1763</f>
        <v>12</v>
      </c>
      <c r="M1788" s="748">
        <f t="shared" ref="M1788:M1798" si="311">SUM(H1788:L1788)</f>
        <v>37</v>
      </c>
      <c r="Q1788" s="748">
        <f t="shared" ref="Q1788:Q1796" si="312">ABS(M1788-AD1788)</f>
        <v>0</v>
      </c>
      <c r="V1788" s="748" t="s">
        <v>3434</v>
      </c>
      <c r="X1788" s="748" t="s">
        <v>2154</v>
      </c>
      <c r="Y1788" s="748">
        <f>DA1763</f>
        <v>0</v>
      </c>
      <c r="Z1788" s="748">
        <f>DB1763</f>
        <v>0</v>
      </c>
      <c r="AA1788" s="748">
        <f>DC1763</f>
        <v>0</v>
      </c>
      <c r="AB1788" s="748">
        <f>DD1763</f>
        <v>25</v>
      </c>
      <c r="AC1788" s="748">
        <f>DE1763</f>
        <v>12</v>
      </c>
      <c r="AD1788" s="748">
        <f t="shared" ref="AD1788:AD1796" si="313">SUM(Y1788:AC1788)</f>
        <v>37</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25</v>
      </c>
      <c r="L1790" s="748">
        <f>SUM(L1788:L1789)+DO1763</f>
        <v>12</v>
      </c>
      <c r="M1790" s="748">
        <f t="shared" si="311"/>
        <v>37</v>
      </c>
      <c r="Q1790" s="748">
        <f t="shared" si="312"/>
        <v>0</v>
      </c>
      <c r="X1790" s="748" t="s">
        <v>34</v>
      </c>
      <c r="Y1790" s="748">
        <f>SUM(Y1788:Y1789)+DK1763</f>
        <v>0</v>
      </c>
      <c r="Z1790" s="748">
        <f>SUM(Z1788:Z1789)+DL1763</f>
        <v>0</v>
      </c>
      <c r="AA1790" s="748">
        <f>SUM(AA1788:AA1789)+DM1763</f>
        <v>0</v>
      </c>
      <c r="AB1790" s="748">
        <f>SUM(AB1788:AB1789)+DN1763</f>
        <v>25</v>
      </c>
      <c r="AC1790" s="748">
        <f>SUM(AC1788:AC1789)+DO1763</f>
        <v>12</v>
      </c>
      <c r="AD1790" s="748">
        <f t="shared" si="313"/>
        <v>37</v>
      </c>
    </row>
    <row r="1791" spans="3:31" ht="15" customHeight="1">
      <c r="E1791" s="748" t="s">
        <v>3236</v>
      </c>
      <c r="G1791" s="748" t="s">
        <v>2154</v>
      </c>
      <c r="H1791" s="748">
        <f>DP1763</f>
        <v>0</v>
      </c>
      <c r="I1791" s="748">
        <f>DQ1763</f>
        <v>0</v>
      </c>
      <c r="J1791" s="748">
        <f>DR1763</f>
        <v>0</v>
      </c>
      <c r="K1791" s="748">
        <f>DS1763</f>
        <v>0</v>
      </c>
      <c r="L1791" s="748">
        <f>DT1763</f>
        <v>0</v>
      </c>
      <c r="M1791" s="748">
        <f t="shared" si="311"/>
        <v>0</v>
      </c>
      <c r="Q1791" s="748">
        <f t="shared" si="312"/>
        <v>0</v>
      </c>
      <c r="V1791" s="748" t="s">
        <v>3236</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3140</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0</v>
      </c>
      <c r="J1800" s="748">
        <f>EV1763</f>
        <v>0</v>
      </c>
      <c r="K1800" s="748">
        <f>EW1763</f>
        <v>0</v>
      </c>
      <c r="L1800" s="748">
        <f>EX1763</f>
        <v>0</v>
      </c>
      <c r="M1800" s="748">
        <f>SUM(H1800:L1800)</f>
        <v>0</v>
      </c>
      <c r="Q1800" s="748">
        <f>ABS(M1800-AD1800)</f>
        <v>0</v>
      </c>
      <c r="V1800" s="748" t="s">
        <v>46</v>
      </c>
      <c r="Y1800" s="748">
        <f>ET1763</f>
        <v>0</v>
      </c>
      <c r="Z1800" s="748">
        <f>EU1763</f>
        <v>0</v>
      </c>
      <c r="AA1800" s="748">
        <f>EV1763</f>
        <v>0</v>
      </c>
      <c r="AB1800" s="748">
        <f>EW1763</f>
        <v>0</v>
      </c>
      <c r="AC1800" s="748">
        <f>EX1763</f>
        <v>0</v>
      </c>
      <c r="AD1800" s="748">
        <f>SUM(Y1800:AC1800)</f>
        <v>0</v>
      </c>
    </row>
    <row r="1801" spans="2:30" ht="15" customHeight="1">
      <c r="E1801" s="748" t="s">
        <v>47</v>
      </c>
      <c r="H1801" s="748">
        <f>EY1763</f>
        <v>0</v>
      </c>
      <c r="I1801" s="748">
        <f>EZ1763</f>
        <v>0</v>
      </c>
      <c r="J1801" s="748">
        <f>FA1763</f>
        <v>0</v>
      </c>
      <c r="K1801" s="748">
        <f>FB1763</f>
        <v>25</v>
      </c>
      <c r="L1801" s="748">
        <f>FC1763</f>
        <v>12</v>
      </c>
      <c r="M1801" s="748">
        <f>SUM(H1801:L1801)</f>
        <v>37</v>
      </c>
      <c r="Q1801" s="748">
        <f>ABS(M1801-AD1801)</f>
        <v>0</v>
      </c>
      <c r="V1801" s="748" t="s">
        <v>47</v>
      </c>
      <c r="Y1801" s="748">
        <f>EY1763</f>
        <v>0</v>
      </c>
      <c r="Z1801" s="748">
        <f>EZ1763</f>
        <v>0</v>
      </c>
      <c r="AA1801" s="748">
        <f>FA1763</f>
        <v>0</v>
      </c>
      <c r="AB1801" s="748">
        <f>FB1763</f>
        <v>25</v>
      </c>
      <c r="AC1801" s="748">
        <f>FC1763</f>
        <v>12</v>
      </c>
      <c r="AD1801" s="748">
        <f>SUM(Y1801:AC1801)</f>
        <v>37</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1777</v>
      </c>
    </row>
    <row r="1807" spans="2:30" ht="15" customHeight="1">
      <c r="C1807" s="748" t="s">
        <v>3235</v>
      </c>
      <c r="G1807" s="748" t="s">
        <v>1791</v>
      </c>
      <c r="H1807" s="748">
        <f>BW1763</f>
        <v>0</v>
      </c>
      <c r="I1807" s="748">
        <f>BX1763</f>
        <v>0</v>
      </c>
      <c r="J1807" s="748">
        <f>BY1763</f>
        <v>0</v>
      </c>
      <c r="K1807" s="748">
        <f>BZ1763</f>
        <v>26880</v>
      </c>
      <c r="L1807" s="748">
        <f>CA1763</f>
        <v>16000</v>
      </c>
      <c r="M1807" s="748">
        <f t="shared" ref="M1807:M1813" si="314">SUM(H1807:L1807)</f>
        <v>42880</v>
      </c>
      <c r="Q1807" s="748">
        <f t="shared" ref="Q1807:Q1813" si="315">ABS(M1807-AD1807)</f>
        <v>0</v>
      </c>
      <c r="T1807" s="748" t="s">
        <v>3235</v>
      </c>
      <c r="X1807" s="748" t="s">
        <v>1791</v>
      </c>
      <c r="Y1807" s="748">
        <f>BW1763</f>
        <v>0</v>
      </c>
      <c r="Z1807" s="748">
        <f>BX1763</f>
        <v>0</v>
      </c>
      <c r="AA1807" s="748">
        <f>BY1763</f>
        <v>0</v>
      </c>
      <c r="AB1807" s="748">
        <f>BZ1763</f>
        <v>26880</v>
      </c>
      <c r="AC1807" s="748">
        <f>CA1763</f>
        <v>16000</v>
      </c>
      <c r="AD1807" s="748">
        <f t="shared" ref="AD1807:AD1813" si="316">SUM(Y1807:AC1807)</f>
        <v>42880</v>
      </c>
    </row>
    <row r="1808" spans="2:30" ht="15" customHeight="1">
      <c r="G1808" s="748" t="s">
        <v>133</v>
      </c>
      <c r="H1808" s="748">
        <f>CB1763</f>
        <v>0</v>
      </c>
      <c r="I1808" s="748">
        <f>CC1763</f>
        <v>0</v>
      </c>
      <c r="J1808" s="748">
        <f>CD1763</f>
        <v>0</v>
      </c>
      <c r="K1808" s="748">
        <f>CE1763</f>
        <v>5120</v>
      </c>
      <c r="L1808" s="748">
        <f>CF1763</f>
        <v>3200</v>
      </c>
      <c r="M1808" s="748">
        <f t="shared" si="314"/>
        <v>8320</v>
      </c>
      <c r="Q1808" s="748">
        <f t="shared" si="315"/>
        <v>0</v>
      </c>
      <c r="X1808" s="748" t="s">
        <v>133</v>
      </c>
      <c r="Y1808" s="748">
        <f>CB1763</f>
        <v>0</v>
      </c>
      <c r="Z1808" s="748">
        <f>CC1763</f>
        <v>0</v>
      </c>
      <c r="AA1808" s="748">
        <f>CD1763</f>
        <v>0</v>
      </c>
      <c r="AB1808" s="748">
        <f>CE1763</f>
        <v>5120</v>
      </c>
      <c r="AC1808" s="748">
        <f>CF1763</f>
        <v>3200</v>
      </c>
      <c r="AD1808" s="748">
        <f t="shared" si="316"/>
        <v>8320</v>
      </c>
    </row>
    <row r="1809" spans="1:30" ht="15" customHeight="1">
      <c r="G1809" s="748" t="s">
        <v>832</v>
      </c>
      <c r="H1809" s="748">
        <f>SUM(H1807:H1808)</f>
        <v>0</v>
      </c>
      <c r="I1809" s="748">
        <f>SUM(I1807:I1808)</f>
        <v>0</v>
      </c>
      <c r="J1809" s="748">
        <f>SUM(J1807:J1808)</f>
        <v>0</v>
      </c>
      <c r="K1809" s="748">
        <f>SUM(K1807:K1808)</f>
        <v>32000</v>
      </c>
      <c r="L1809" s="748">
        <f>SUM(L1807:L1808)</f>
        <v>19200</v>
      </c>
      <c r="M1809" s="748">
        <f t="shared" si="314"/>
        <v>51200</v>
      </c>
      <c r="Q1809" s="748">
        <f t="shared" si="315"/>
        <v>0</v>
      </c>
      <c r="X1809" s="748" t="s">
        <v>832</v>
      </c>
      <c r="Y1809" s="748">
        <f>SUM(Y1807:Y1808)</f>
        <v>0</v>
      </c>
      <c r="Z1809" s="748">
        <f>SUM(Z1807:Z1808)</f>
        <v>0</v>
      </c>
      <c r="AA1809" s="748">
        <f>SUM(AA1807:AA1808)</f>
        <v>0</v>
      </c>
      <c r="AB1809" s="748">
        <f>SUM(AB1807:AB1808)</f>
        <v>32000</v>
      </c>
      <c r="AC1809" s="748">
        <f>SUM(AC1807:AC1808)</f>
        <v>19200</v>
      </c>
      <c r="AD1809" s="748">
        <f t="shared" si="316"/>
        <v>51200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0</v>
      </c>
      <c r="J1811" s="748">
        <f>SUM(J1809:J1810)</f>
        <v>0</v>
      </c>
      <c r="K1811" s="748">
        <f>SUM(K1809:K1810)</f>
        <v>32000</v>
      </c>
      <c r="L1811" s="748">
        <f>SUM(L1809:L1810)</f>
        <v>19200</v>
      </c>
      <c r="M1811" s="748">
        <f t="shared" si="314"/>
        <v>51200</v>
      </c>
      <c r="Q1811" s="748">
        <f t="shared" si="315"/>
        <v>0</v>
      </c>
      <c r="T1811" s="748" t="s">
        <v>1779</v>
      </c>
      <c r="Y1811" s="748">
        <f>SUM(Y1809:Y1810)</f>
        <v>0</v>
      </c>
      <c r="Z1811" s="748">
        <f>SUM(Z1809:Z1810)</f>
        <v>0</v>
      </c>
      <c r="AA1811" s="748">
        <f>SUM(AA1809:AA1810)</f>
        <v>0</v>
      </c>
      <c r="AB1811" s="748">
        <f>SUM(AB1809:AB1810)</f>
        <v>32000</v>
      </c>
      <c r="AC1811" s="748">
        <f>SUM(AC1809:AC1810)</f>
        <v>19200</v>
      </c>
      <c r="AD1811" s="748">
        <f t="shared" si="316"/>
        <v>51200</v>
      </c>
    </row>
    <row r="1812" spans="1:30" ht="15" customHeight="1">
      <c r="C1812" s="748" t="s">
        <v>3796</v>
      </c>
      <c r="H1812" s="748">
        <f>CV1763</f>
        <v>0</v>
      </c>
      <c r="I1812" s="748">
        <f>CW1763</f>
        <v>0</v>
      </c>
      <c r="J1812" s="748">
        <f>CX1763</f>
        <v>0</v>
      </c>
      <c r="K1812" s="748">
        <f>CY1763</f>
        <v>0</v>
      </c>
      <c r="L1812" s="748">
        <f>CZ1763</f>
        <v>0</v>
      </c>
      <c r="M1812" s="748">
        <f t="shared" si="314"/>
        <v>0</v>
      </c>
      <c r="Q1812" s="748">
        <f t="shared" si="315"/>
        <v>0</v>
      </c>
      <c r="T1812" s="748" t="s">
        <v>3796</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0</v>
      </c>
      <c r="J1813" s="748">
        <f>SUM(J1811:J1812)</f>
        <v>0</v>
      </c>
      <c r="K1813" s="748">
        <f>SUM(K1811:K1812)</f>
        <v>32000</v>
      </c>
      <c r="L1813" s="748">
        <f>SUM(L1811:L1812)</f>
        <v>19200</v>
      </c>
      <c r="M1813" s="748">
        <f t="shared" si="314"/>
        <v>51200</v>
      </c>
      <c r="Q1813" s="748">
        <f t="shared" si="315"/>
        <v>0</v>
      </c>
      <c r="T1813" s="748" t="s">
        <v>832</v>
      </c>
      <c r="Y1813" s="748">
        <f>SUM(Y1811:Y1812)</f>
        <v>0</v>
      </c>
      <c r="Z1813" s="748">
        <f>SUM(Z1811:Z1812)</f>
        <v>0</v>
      </c>
      <c r="AA1813" s="748">
        <f>SUM(AA1811:AA1812)</f>
        <v>0</v>
      </c>
      <c r="AB1813" s="748">
        <f>SUM(AB1811:AB1812)</f>
        <v>32000</v>
      </c>
      <c r="AC1813" s="748">
        <f>SUM(AC1811:AC1812)</f>
        <v>19200</v>
      </c>
      <c r="AD1813" s="748">
        <f t="shared" si="316"/>
        <v>51200</v>
      </c>
    </row>
    <row r="1814" spans="1:30" ht="4.9000000000000004" customHeight="1"/>
    <row r="1815" spans="1:30" ht="13.9" customHeight="1">
      <c r="A1815" s="748" t="s">
        <v>1231</v>
      </c>
      <c r="B1815" s="748" t="s">
        <v>4078</v>
      </c>
    </row>
    <row r="1816" spans="1:30" ht="9" customHeight="1"/>
    <row r="1817" spans="1:30" ht="12.6" customHeight="1">
      <c r="B1817" s="748" t="s">
        <v>1632</v>
      </c>
      <c r="G1817" s="748">
        <f>0.02*L1764</f>
        <v>4938.72</v>
      </c>
      <c r="I1817" s="748" t="s">
        <v>3751</v>
      </c>
    </row>
    <row r="1818" spans="1:30" ht="15" customHeight="1"/>
    <row r="1819" spans="1:30" ht="13.9" customHeight="1">
      <c r="B1819" s="748" t="s">
        <v>2169</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4079</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4079</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4079</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2822</v>
      </c>
      <c r="B1854" s="748" t="s">
        <v>1635</v>
      </c>
    </row>
    <row r="1855" spans="1:16" ht="9" customHeight="1"/>
    <row r="1856" spans="1:16" ht="13.15" customHeight="1">
      <c r="B1856" s="748" t="s">
        <v>1990</v>
      </c>
      <c r="I1856" s="748" t="s">
        <v>2079</v>
      </c>
      <c r="N1856" s="748" t="s">
        <v>2078</v>
      </c>
    </row>
    <row r="1857" spans="2:16" ht="15.6" customHeight="1">
      <c r="B1857" s="748" t="s">
        <v>3302</v>
      </c>
      <c r="F1857" s="748">
        <f>'Part VI-Revenues &amp; Expenses'!F142</f>
        <v>29916</v>
      </c>
      <c r="I1857" s="748" t="s">
        <v>2080</v>
      </c>
      <c r="K1857" s="748">
        <f>'Part VI-Revenues &amp; Expenses'!K142</f>
        <v>0</v>
      </c>
      <c r="N1857" s="748" t="s">
        <v>1524</v>
      </c>
      <c r="P1857" s="748">
        <f>'Part VI-Revenues &amp; Expenses'!P142</f>
        <v>25511</v>
      </c>
    </row>
    <row r="1858" spans="2:16" ht="15.6" customHeight="1">
      <c r="B1858" s="748" t="s">
        <v>2069</v>
      </c>
      <c r="F1858" s="748">
        <f>'Part VI-Revenues &amp; Expenses'!F143</f>
        <v>24741</v>
      </c>
      <c r="I1858" s="748" t="s">
        <v>2081</v>
      </c>
      <c r="K1858" s="748">
        <f>'Part VI-Revenues &amp; Expenses'!K143</f>
        <v>1020</v>
      </c>
      <c r="N1858" s="748" t="s">
        <v>200</v>
      </c>
      <c r="P1858" s="748">
        <f>'Part VI-Revenues &amp; Expenses'!P143</f>
        <v>9056</v>
      </c>
    </row>
    <row r="1859" spans="2:16" ht="15.6" customHeight="1">
      <c r="B1859" s="748" t="s">
        <v>1916</v>
      </c>
      <c r="F1859" s="748">
        <f>'Part VI-Revenues &amp; Expenses'!F144</f>
        <v>0</v>
      </c>
      <c r="J1859" s="748" t="s">
        <v>249</v>
      </c>
      <c r="K1859" s="748">
        <f>SUM(K1857:L1858)</f>
        <v>1020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34567</v>
      </c>
    </row>
    <row r="1861" spans="2:16" ht="15.6" customHeight="1">
      <c r="C1861" s="748" t="s">
        <v>249</v>
      </c>
      <c r="F1861" s="748">
        <f>SUM(F1857:G1860)</f>
        <v>54657</v>
      </c>
    </row>
    <row r="1862" spans="2:16" ht="9" customHeight="1"/>
    <row r="1863" spans="2:16" ht="13.15" customHeight="1">
      <c r="B1863" s="748" t="s">
        <v>1991</v>
      </c>
      <c r="I1863" s="748" t="s">
        <v>1992</v>
      </c>
      <c r="N1863" s="748" t="s">
        <v>2082</v>
      </c>
      <c r="P1863" s="748">
        <f>IF(OR('Part VII-Pro Forma'!$B$20 = "Choose Mgt Fee",'Part VII-Pro Forma'!$B$20 = "Choose One!"), 0,- 'Part VII-Pro Forma'!$B$20)</f>
        <v>14055</v>
      </c>
    </row>
    <row r="1864" spans="2:16" ht="15.6" customHeight="1">
      <c r="B1864" s="748" t="s">
        <v>2074</v>
      </c>
      <c r="F1864" s="748">
        <f>'Part VI-Revenues &amp; Expenses'!F149</f>
        <v>1110</v>
      </c>
      <c r="I1864" s="748" t="s">
        <v>2364</v>
      </c>
      <c r="K1864" s="748">
        <f>'Part VI-Revenues &amp; Expenses'!K149</f>
        <v>888</v>
      </c>
      <c r="N1864" s="748">
        <f>+P1863/(M1778*0.93)</f>
        <v>408.45684394071486</v>
      </c>
      <c r="O1864" s="748" t="s">
        <v>3861</v>
      </c>
    </row>
    <row r="1865" spans="2:16" ht="15.6" customHeight="1">
      <c r="B1865" s="748" t="s">
        <v>2075</v>
      </c>
      <c r="F1865" s="748">
        <f>'Part VI-Revenues &amp; Expenses'!F150</f>
        <v>3600</v>
      </c>
      <c r="I1865" s="748" t="s">
        <v>3139</v>
      </c>
      <c r="K1865" s="748">
        <f>'Part VI-Revenues &amp; Expenses'!K150</f>
        <v>6500</v>
      </c>
      <c r="N1865" s="748">
        <f>+P1863/(M1778*0.93)/12</f>
        <v>34.038070328392905</v>
      </c>
      <c r="O1865" s="748" t="s">
        <v>3862</v>
      </c>
    </row>
    <row r="1866" spans="2:16" ht="15.6" customHeight="1">
      <c r="B1866" s="748" t="s">
        <v>2076</v>
      </c>
      <c r="F1866" s="748">
        <f>'Part VI-Revenues &amp; Expenses'!F151</f>
        <v>270</v>
      </c>
      <c r="I1866" s="748" t="s">
        <v>2365</v>
      </c>
      <c r="K1866" s="748">
        <f>'Part VI-Revenues &amp; Expenses'!K151</f>
        <v>247</v>
      </c>
    </row>
    <row r="1867" spans="2:16" ht="15.6" customHeight="1">
      <c r="B1867" s="748" t="s">
        <v>3487</v>
      </c>
      <c r="F1867" s="748">
        <f>'Part VI-Revenues &amp; Expenses'!F152</f>
        <v>0</v>
      </c>
      <c r="I1867" s="748" t="str">
        <f>'Part VI-Revenues &amp; Expenses'!I152</f>
        <v>Screening/Credit</v>
      </c>
      <c r="K1867" s="748">
        <f>'Part VI-Revenues &amp; Expenses'!K152</f>
        <v>347</v>
      </c>
      <c r="N1867" s="748" t="s">
        <v>3731</v>
      </c>
    </row>
    <row r="1868" spans="2:16" ht="15.6" customHeight="1">
      <c r="B1868" s="748" t="s">
        <v>2362</v>
      </c>
      <c r="F1868" s="748">
        <f>'Part VI-Revenues &amp; Expenses'!F153</f>
        <v>493</v>
      </c>
      <c r="J1868" s="748" t="s">
        <v>249</v>
      </c>
      <c r="K1868" s="748">
        <f>SUM(K1864:K1867)</f>
        <v>7982</v>
      </c>
    </row>
    <row r="1869" spans="2:16" ht="15.6" customHeight="1">
      <c r="B1869" s="748" t="str">
        <f>'Part VI-Revenues &amp; Expenses'!B154</f>
        <v>Chamber Dues, Bank Fees, Continuing Ed, Etc.</v>
      </c>
      <c r="F1869" s="748">
        <f>'Part VI-Revenues &amp; Expenses'!F154</f>
        <v>1870</v>
      </c>
    </row>
    <row r="1870" spans="2:16" ht="15.6" customHeight="1">
      <c r="C1870" s="748" t="s">
        <v>249</v>
      </c>
      <c r="F1870" s="748">
        <f>SUM(F1864:G1869)</f>
        <v>7343</v>
      </c>
    </row>
    <row r="1871" spans="2:16" ht="9" customHeight="1"/>
    <row r="1872" spans="2:16" ht="13.15" customHeight="1">
      <c r="B1872" s="748" t="s">
        <v>1993</v>
      </c>
      <c r="I1872" s="748" t="s">
        <v>2077</v>
      </c>
      <c r="J1872" s="748" t="s">
        <v>3553</v>
      </c>
      <c r="N1872" s="748" t="s">
        <v>3292</v>
      </c>
    </row>
    <row r="1873" spans="1:16" ht="15.6" customHeight="1">
      <c r="B1873" s="748" t="s">
        <v>2366</v>
      </c>
      <c r="F1873" s="748">
        <f>'Part VI-Revenues &amp; Expenses'!F158</f>
        <v>2775</v>
      </c>
      <c r="I1873" s="748" t="s">
        <v>2070</v>
      </c>
      <c r="J1873" s="748" t="e">
        <f>K1873/12/$M$63</f>
        <v>#DIV/0!</v>
      </c>
      <c r="K1873" s="748">
        <f>'Part VI-Revenues &amp; Expenses'!K158</f>
        <v>8880</v>
      </c>
      <c r="N1873" s="748" t="e">
        <f>+$P$158/$M$63</f>
        <v>#DIV/0!</v>
      </c>
      <c r="O1873" s="748" t="s">
        <v>2110</v>
      </c>
      <c r="P1873" s="748">
        <f>F1861+F1870+F1881+K1859+K1868+K1878+P1860+P1863</f>
        <v>160951</v>
      </c>
    </row>
    <row r="1874" spans="1:16" ht="15.6" customHeight="1">
      <c r="B1874" s="748" t="s">
        <v>2367</v>
      </c>
      <c r="F1874" s="748">
        <f>'Part VI-Revenues &amp; Expenses'!F159</f>
        <v>0</v>
      </c>
      <c r="I1874" s="748" t="s">
        <v>2071</v>
      </c>
      <c r="J1874" s="748" t="e">
        <f>K1874/12/$M$63</f>
        <v>#DIV/0!</v>
      </c>
      <c r="K1874" s="748">
        <f>'Part VI-Revenues &amp; Expenses'!K159</f>
        <v>0</v>
      </c>
    </row>
    <row r="1875" spans="1:16" ht="15.6" customHeight="1">
      <c r="B1875" s="748" t="s">
        <v>2368</v>
      </c>
      <c r="F1875" s="748">
        <f>'Part VI-Revenues &amp; Expenses'!F160</f>
        <v>16300</v>
      </c>
      <c r="I1875" s="748" t="s">
        <v>3552</v>
      </c>
      <c r="J1875" s="748" t="e">
        <f>K1875/12/$M$63</f>
        <v>#DIV/0!</v>
      </c>
      <c r="K1875" s="748">
        <f>'Part VI-Revenues &amp; Expenses'!K160</f>
        <v>1110</v>
      </c>
    </row>
    <row r="1876" spans="1:16" ht="15.6" customHeight="1">
      <c r="B1876" s="748" t="s">
        <v>1616</v>
      </c>
      <c r="F1876" s="748">
        <f>'Part VI-Revenues &amp; Expenses'!F161</f>
        <v>4626</v>
      </c>
      <c r="I1876" s="748" t="s">
        <v>2073</v>
      </c>
      <c r="K1876" s="748">
        <f>'Part VI-Revenues &amp; Expenses'!K161</f>
        <v>480</v>
      </c>
      <c r="N1876" s="748" t="s">
        <v>1922</v>
      </c>
      <c r="P1876" s="748">
        <f>P1877*M1778</f>
        <v>15540</v>
      </c>
    </row>
    <row r="1877" spans="1:16" ht="15.6" customHeight="1">
      <c r="B1877" s="748" t="s">
        <v>1617</v>
      </c>
      <c r="F1877" s="748">
        <f>'Part VI-Revenues &amp; Expenses'!F162</f>
        <v>3700</v>
      </c>
      <c r="I1877" s="748" t="str">
        <f>'Part VI-Revenues &amp; Expenses'!I162</f>
        <v>Other (describe here)</v>
      </c>
      <c r="K1877" s="748">
        <f>'Part VI-Revenues &amp; Expenses'!K162</f>
        <v>0</v>
      </c>
      <c r="N1877" s="748" t="s">
        <v>679</v>
      </c>
      <c r="P1877" s="748">
        <f>'Part VI-Revenues &amp; Expenses'!P162</f>
        <v>420</v>
      </c>
    </row>
    <row r="1878" spans="1:16" ht="15.6" customHeight="1">
      <c r="B1878" s="748" t="s">
        <v>1618</v>
      </c>
      <c r="F1878" s="748">
        <f>'Part VI-Revenues &amp; Expenses'!F163</f>
        <v>0</v>
      </c>
      <c r="J1878" s="748" t="s">
        <v>249</v>
      </c>
      <c r="K1878" s="748">
        <f>SUM(K1873:K1877)</f>
        <v>10470</v>
      </c>
    </row>
    <row r="1879" spans="1:16" ht="15.6" customHeight="1">
      <c r="B1879" s="748" t="s">
        <v>1458</v>
      </c>
      <c r="F1879" s="748">
        <f>'Part VI-Revenues &amp; Expenses'!F164</f>
        <v>3156</v>
      </c>
    </row>
    <row r="1880" spans="1:16" ht="15.6" customHeight="1">
      <c r="B1880" s="748" t="str">
        <f>'Part VI-Revenues &amp; Expenses'!B165</f>
        <v>Uniforms</v>
      </c>
      <c r="F1880" s="748">
        <f>'Part VI-Revenues &amp; Expenses'!F165</f>
        <v>300</v>
      </c>
      <c r="N1880" s="748" t="s">
        <v>3293</v>
      </c>
    </row>
    <row r="1881" spans="1:16" ht="15.6" customHeight="1">
      <c r="C1881" s="748" t="s">
        <v>249</v>
      </c>
      <c r="F1881" s="748">
        <f>SUM(F1873:G1880)</f>
        <v>30857</v>
      </c>
      <c r="P1881" s="748">
        <f>P1873+P1876</f>
        <v>176491</v>
      </c>
    </row>
    <row r="1882" spans="1:16" ht="10.9" customHeight="1"/>
    <row r="1883" spans="1:16" ht="12" customHeight="1">
      <c r="A1883" s="748" t="s">
        <v>2824</v>
      </c>
      <c r="B1883" s="748" t="s">
        <v>879</v>
      </c>
      <c r="K1883" s="748" t="s">
        <v>822</v>
      </c>
      <c r="L1883" s="748" t="s">
        <v>2896</v>
      </c>
    </row>
    <row r="1884" spans="1:16" ht="51.6" customHeight="1">
      <c r="A1884" s="748" t="str">
        <f>'Part VI-Revenues &amp; Expenses'!A169</f>
        <v>The support for the calculation of Real Estate Taxes and Insurance is located in Tab 8 of the application.</v>
      </c>
      <c r="K1884" s="748">
        <f>'Part VI-Revenues &amp; Expenses'!K169</f>
        <v>0</v>
      </c>
    </row>
    <row r="1885" spans="1:16" ht="51.6" customHeight="1">
      <c r="A1885" s="748">
        <f>'Part VI-Revenues &amp; Expenses'!A170</f>
        <v>0</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2011-038 Thomson Estates, ,  County</v>
      </c>
    </row>
    <row r="1891" spans="1:11">
      <c r="A1891" s="748" t="s">
        <v>100</v>
      </c>
      <c r="D1891" s="748" t="s">
        <v>90</v>
      </c>
      <c r="F1891" s="748" t="s">
        <v>4081</v>
      </c>
    </row>
    <row r="1893" spans="1:11">
      <c r="A1893" s="748" t="s">
        <v>3294</v>
      </c>
      <c r="B1893" s="748">
        <v>0.02</v>
      </c>
      <c r="D1893" s="748" t="s">
        <v>1365</v>
      </c>
      <c r="G1893" s="748">
        <f>'Part VII-Pro Forma'!G5</f>
        <v>3500</v>
      </c>
      <c r="H1893" s="748" t="s">
        <v>2970</v>
      </c>
      <c r="K1893" s="748" t="str">
        <f>IF(($B$14+$B$15+$B$16+$B$17)=0,"",-B1918/($B$14+$B$15+$B$16+$B$17))</f>
        <v/>
      </c>
    </row>
    <row r="1894" spans="1:11">
      <c r="A1894" s="748" t="s">
        <v>3295</v>
      </c>
      <c r="B1894" s="748">
        <v>0.03</v>
      </c>
      <c r="D1894" s="748" t="s">
        <v>1366</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f>'Part VII-Pro Forma'!G8</f>
        <v>0</v>
      </c>
      <c r="H1896" s="748" t="s">
        <v>2168</v>
      </c>
      <c r="K1896" s="748">
        <f>'Part VII-Pro Forma'!K8</f>
        <v>0</v>
      </c>
    </row>
    <row r="1897" spans="1:11">
      <c r="A1897" s="748" t="s">
        <v>2129</v>
      </c>
      <c r="B1897" s="748">
        <v>0.02</v>
      </c>
      <c r="D1897" s="748" t="s">
        <v>2743</v>
      </c>
      <c r="G1897" s="748" t="str">
        <f>'Part VII-Pro Forma'!G9</f>
        <v>Yes</v>
      </c>
      <c r="H1897" s="748" t="s">
        <v>3560</v>
      </c>
      <c r="K1897" s="748">
        <f>'Part VII-Pro Forma'!K9</f>
        <v>0.06</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-35926.334739675862</v>
      </c>
      <c r="C1913" s="748">
        <f>'Part VII-Pro Forma'!C25</f>
        <v>-35926.334739675862</v>
      </c>
      <c r="D1913" s="748">
        <f>'Part VII-Pro Forma'!D25</f>
        <v>-35926.334739675862</v>
      </c>
      <c r="E1913" s="748">
        <f>'Part VII-Pro Forma'!E25</f>
        <v>-35926.334739675862</v>
      </c>
      <c r="F1913" s="748">
        <f>'Part VII-Pro Forma'!F25</f>
        <v>-35926.334739675862</v>
      </c>
      <c r="G1913" s="748">
        <f>'Part VII-Pro Forma'!G25</f>
        <v>-35926.334739675862</v>
      </c>
      <c r="H1913" s="748">
        <f>'Part VII-Pro Forma'!H25</f>
        <v>-35926.334739675862</v>
      </c>
      <c r="I1913" s="748">
        <f>'Part VII-Pro Forma'!I25</f>
        <v>-35926.334739675862</v>
      </c>
      <c r="J1913" s="748">
        <f>'Part VII-Pro Forma'!J25</f>
        <v>-35926.334739675862</v>
      </c>
      <c r="K1913" s="748">
        <f>'Part VII-Pro Forma'!K25</f>
        <v>-35926.334739675862</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-3500</v>
      </c>
      <c r="C1918" s="748">
        <f>'Part VII-Pro Forma'!C30</f>
        <v>-3500</v>
      </c>
      <c r="D1918" s="748">
        <f>'Part VII-Pro Forma'!D30</f>
        <v>-3500</v>
      </c>
      <c r="E1918" s="748">
        <f>'Part VII-Pro Forma'!E30</f>
        <v>-3500</v>
      </c>
      <c r="F1918" s="748">
        <f>'Part VII-Pro Forma'!F30</f>
        <v>-3500</v>
      </c>
      <c r="G1918" s="748">
        <f>'Part VII-Pro Forma'!G30</f>
        <v>-3500</v>
      </c>
      <c r="H1918" s="748">
        <f>'Part VII-Pro Forma'!H30</f>
        <v>-3500</v>
      </c>
      <c r="I1918" s="748">
        <f>'Part VII-Pro Forma'!I30</f>
        <v>-3500</v>
      </c>
      <c r="J1918" s="748">
        <f>'Part VII-Pro Forma'!J30</f>
        <v>-3500</v>
      </c>
      <c r="K1918" s="748">
        <f>'Part VII-Pro Forma'!K30</f>
        <v>-3500</v>
      </c>
    </row>
    <row r="1919" spans="1:11">
      <c r="A1919" s="748" t="s">
        <v>1864</v>
      </c>
      <c r="B1919" s="748">
        <f>'Part VII-Pro Forma'!B31</f>
        <v>-972</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-40398.334739675862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445428.85576817236</v>
      </c>
      <c r="C1930" s="748">
        <f>'Part VII-Pro Forma'!C42</f>
        <v>440527.26315022039</v>
      </c>
      <c r="D1930" s="748">
        <f>'Part VII-Pro Forma'!D42</f>
        <v>435271.33400559233</v>
      </c>
      <c r="E1930" s="748">
        <f>'Part VII-Pro Forma'!E42</f>
        <v>429635.45331812446</v>
      </c>
      <c r="F1930" s="748">
        <f>'Part VII-Pro Forma'!F42</f>
        <v>423592.15436006343</v>
      </c>
      <c r="G1930" s="748">
        <f>'Part VII-Pro Forma'!G42</f>
        <v>417111.98483168578</v>
      </c>
      <c r="H1930" s="748">
        <f>'Part VII-Pro Forma'!H42</f>
        <v>410163.36332413962</v>
      </c>
      <c r="I1930" s="748">
        <f>'Part VII-Pro Forma'!I42</f>
        <v>402712.42540597351</v>
      </c>
      <c r="J1930" s="748">
        <f>'Part VII-Pro Forma'!J42</f>
        <v>394722.8585832484</v>
      </c>
      <c r="K1930" s="748">
        <f>'Part VII-Pro Forma'!K42</f>
        <v>386155.72532890219</v>
      </c>
    </row>
    <row r="1931" spans="1:11">
      <c r="A1931" s="748" t="str">
        <f>IF('Part III A-Sources of Funds'!$E$32 = "Neither", "Mortgage B Balance", "Mortgage C Balance")</f>
        <v>Mortgage B Balance</v>
      </c>
      <c r="B1931" s="748">
        <f>'Part VII-Pro Forma'!B43</f>
        <v>0</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-35926.334739675862</v>
      </c>
      <c r="C1948" s="748">
        <f>'Part VII-Pro Forma'!C60</f>
        <v>-35926.334739675862</v>
      </c>
      <c r="D1948" s="748">
        <f>'Part VII-Pro Forma'!D60</f>
        <v>-35926.334739675862</v>
      </c>
      <c r="E1948" s="748">
        <f>'Part VII-Pro Forma'!E60</f>
        <v>-35926.334739675862</v>
      </c>
      <c r="F1948" s="748">
        <f>'Part VII-Pro Forma'!F60</f>
        <v>-35926.334739675862</v>
      </c>
      <c r="G1948" s="748">
        <f>'Part VII-Pro Forma'!G60</f>
        <v>-35926.334739675862</v>
      </c>
      <c r="H1948" s="748">
        <f>'Part VII-Pro Forma'!H60</f>
        <v>-35926.334739675862</v>
      </c>
      <c r="I1948" s="748">
        <f>'Part VII-Pro Forma'!I60</f>
        <v>-35926.334739675862</v>
      </c>
      <c r="J1948" s="748">
        <f>'Part VII-Pro Forma'!J60</f>
        <v>-35926.334739675862</v>
      </c>
      <c r="K1948" s="748">
        <f>'Part VII-Pro Forma'!K60</f>
        <v>-35926.334739675862</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-3500</v>
      </c>
      <c r="C1953" s="748">
        <f>'Part VII-Pro Forma'!C65</f>
        <v>-3500</v>
      </c>
      <c r="D1953" s="748">
        <f>'Part VII-Pro Forma'!D65</f>
        <v>-3500</v>
      </c>
      <c r="E1953" s="748">
        <f>'Part VII-Pro Forma'!E65</f>
        <v>-3500</v>
      </c>
      <c r="F1953" s="748">
        <f>'Part VII-Pro Forma'!F65</f>
        <v>-3500</v>
      </c>
      <c r="G1953" s="748">
        <f>'Part VII-Pro Forma'!G65</f>
        <v>-3500</v>
      </c>
      <c r="H1953" s="748">
        <f>'Part VII-Pro Forma'!H65</f>
        <v>-3500</v>
      </c>
      <c r="I1953" s="748">
        <f>'Part VII-Pro Forma'!I65</f>
        <v>-3500</v>
      </c>
      <c r="J1953" s="748">
        <f>'Part VII-Pro Forma'!J65</f>
        <v>-3500</v>
      </c>
      <c r="K1953" s="748">
        <f>'Part VII-Pro Forma'!K65</f>
        <v>-3500</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376969.27331889316</v>
      </c>
      <c r="C1965" s="748">
        <f>'Part VII-Pro Forma'!C77</f>
        <v>367118.73195029865</v>
      </c>
      <c r="D1965" s="748">
        <f>'Part VII-Pro Forma'!D77</f>
        <v>356556.09414969076</v>
      </c>
      <c r="E1965" s="748">
        <f>'Part VII-Pro Forma'!E77</f>
        <v>345229.88240842178</v>
      </c>
      <c r="F1965" s="748">
        <f>'Part VII-Pro Forma'!F77</f>
        <v>333084.89790458162</v>
      </c>
      <c r="G1965" s="748">
        <f>'Part VII-Pro Forma'!G77</f>
        <v>320061.95148896112</v>
      </c>
      <c r="H1965" s="748">
        <f>'Part VII-Pro Forma'!H77</f>
        <v>306097.57522396895</v>
      </c>
      <c r="I1965" s="748">
        <f>'Part VII-Pro Forma'!I77</f>
        <v>291123.71306967363</v>
      </c>
      <c r="J1965" s="748">
        <f>'Part VII-Pro Forma'!J77</f>
        <v>275067.38920951413</v>
      </c>
      <c r="K1965" s="748">
        <f>'Part VII-Pro Forma'!K77</f>
        <v>257850.35239924988</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-35926.334739675862</v>
      </c>
      <c r="C1983" s="748">
        <f>'Part VII-Pro Forma'!C95</f>
        <v>-35926.334739675862</v>
      </c>
      <c r="D1983" s="748">
        <f>'Part VII-Pro Forma'!D95</f>
        <v>-35926.334739675862</v>
      </c>
      <c r="E1983" s="748">
        <f>'Part VII-Pro Forma'!E95</f>
        <v>-35926.334739675862</v>
      </c>
      <c r="F1983" s="748">
        <f>'Part VII-Pro Forma'!F95</f>
        <v>-35926.334739675862</v>
      </c>
      <c r="G1983" s="748">
        <f>'Part VII-Pro Forma'!G95</f>
        <v>-35926.334739675862</v>
      </c>
      <c r="H1983" s="748">
        <f>'Part VII-Pro Forma'!H95</f>
        <v>-35926.334739675862</v>
      </c>
      <c r="I1983" s="748">
        <f>'Part VII-Pro Forma'!I95</f>
        <v>-35926.334739675862</v>
      </c>
      <c r="J1983" s="748">
        <f>'Part VII-Pro Forma'!J95</f>
        <v>-35926.334739675862</v>
      </c>
      <c r="K1983" s="748">
        <f>'Part VII-Pro Forma'!K95</f>
        <v>-35926.334739675862</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-3500</v>
      </c>
      <c r="C1988" s="748">
        <f>'Part VII-Pro Forma'!C100</f>
        <v>-3500</v>
      </c>
      <c r="D1988" s="748">
        <f>'Part VII-Pro Forma'!D100</f>
        <v>-3500</v>
      </c>
      <c r="E1988" s="748">
        <f>'Part VII-Pro Forma'!E100</f>
        <v>-3500</v>
      </c>
      <c r="F1988" s="748">
        <f>'Part VII-Pro Forma'!F100</f>
        <v>-3500</v>
      </c>
      <c r="G1988" s="748">
        <f>'Part VII-Pro Forma'!G100</f>
        <v>-3500</v>
      </c>
      <c r="H1988" s="748">
        <f>'Part VII-Pro Forma'!H100</f>
        <v>-3500</v>
      </c>
      <c r="I1988" s="748">
        <f>'Part VII-Pro Forma'!I100</f>
        <v>-3500</v>
      </c>
      <c r="J1988" s="748">
        <f>'Part VII-Pro Forma'!J100</f>
        <v>-3500</v>
      </c>
      <c r="K1988" s="748">
        <f>'Part VII-Pro Forma'!K100</f>
        <v>-3500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239388.69460586683</v>
      </c>
      <c r="C2000" s="748">
        <f>'Part VII-Pro Forma'!C112</f>
        <v>219592.44207785995</v>
      </c>
      <c r="D2000" s="748">
        <f>'Part VII-Pro Forma'!D112</f>
        <v>198365.11685395296</v>
      </c>
      <c r="E2000" s="748">
        <f>'Part VII-Pro Forma'!E112</f>
        <v>175603.26657324814</v>
      </c>
      <c r="F2000" s="748">
        <f>'Part VII-Pro Forma'!F112</f>
        <v>151195.96029531362</v>
      </c>
      <c r="G2000" s="748">
        <f>'Part VII-Pro Forma'!G112</f>
        <v>125024.24787306431</v>
      </c>
      <c r="H2000" s="748">
        <f>'Part VII-Pro Forma'!H112</f>
        <v>96960.580243664444</v>
      </c>
      <c r="I2000" s="748">
        <f>'Part VII-Pro Forma'!I112</f>
        <v>66868.187812212709</v>
      </c>
      <c r="J2000" s="748">
        <f>'Part VII-Pro Forma'!J112</f>
        <v>34600.413898733757</v>
      </c>
      <c r="K2000" s="748">
        <f>'Part VII-Pro Forma'!K112</f>
        <v>-1.3242242857813835E-9</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-35926.334739675862</v>
      </c>
      <c r="C2018" s="748">
        <f>'Part VII-Pro Forma'!C130</f>
        <v>-35926.334739675862</v>
      </c>
      <c r="D2018" s="748">
        <f>'Part VII-Pro Forma'!D130</f>
        <v>-35926.334739675862</v>
      </c>
      <c r="E2018" s="748">
        <f>'Part VII-Pro Forma'!E130</f>
        <v>-35926.334739675862</v>
      </c>
      <c r="F2018" s="748">
        <f>'Part VII-Pro Forma'!F130</f>
        <v>-35926.334739675862</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-3500</v>
      </c>
      <c r="C2023" s="748">
        <f>'Part VII-Pro Forma'!C135</f>
        <v>-3500</v>
      </c>
      <c r="D2023" s="748">
        <f>'Part VII-Pro Forma'!D135</f>
        <v>-3500</v>
      </c>
      <c r="E2023" s="748">
        <f>'Part VII-Pro Forma'!E135</f>
        <v>-3500</v>
      </c>
      <c r="F2023" s="748">
        <f>'Part VII-Pro Forma'!F135</f>
        <v>-3500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-37101.680617135193</v>
      </c>
      <c r="C2035" s="748">
        <f>'Part VII-Pro Forma'!C147</f>
        <v>-76885.444725983907</v>
      </c>
      <c r="D2035" s="748">
        <f>'Part VII-Pro Forma'!D147</f>
        <v>-119545.18035902671</v>
      </c>
      <c r="E2035" s="748">
        <f>'Part VII-Pro Forma'!E147</f>
        <v>-165288.79173028783</v>
      </c>
      <c r="F2035" s="748">
        <f>'Part VII-Pro Forma'!F147</f>
        <v>-214339.21246623364</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v>
      </c>
      <c r="C2039" s="748">
        <f>'Part VII-Pro Forma'!C151</f>
        <v>0</v>
      </c>
      <c r="D2039" s="748">
        <f>'Part VII-Pro Forma'!D151</f>
        <v>0</v>
      </c>
      <c r="E2039" s="748">
        <f>'Part VII-Pro Forma'!E151</f>
        <v>0</v>
      </c>
      <c r="F2039" s="748">
        <f>'Part VII-Pro Forma'!F151</f>
        <v>0</v>
      </c>
    </row>
    <row r="2041" spans="1:7">
      <c r="A2041" s="748" t="s">
        <v>878</v>
      </c>
      <c r="G2041" s="748" t="s">
        <v>1654</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2011-038 Thomson Estates,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2888</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1077</v>
      </c>
      <c r="O2079" s="748" t="s">
        <v>923</v>
      </c>
      <c r="P2079" s="748" t="str">
        <f>'Part VIII-Threshold Criteria'!P31</f>
        <v>No</v>
      </c>
      <c r="Q2079" s="748">
        <f>'Part VIII-Threshold Criteria'!Q31</f>
        <v>0</v>
      </c>
    </row>
    <row r="2080" spans="1:17">
      <c r="B2080" s="748" t="s">
        <v>3061</v>
      </c>
      <c r="C2080" s="748" t="s">
        <v>1078</v>
      </c>
      <c r="J2080" s="748" t="str">
        <f>'Part VIII-Threshold Criteria'!J32</f>
        <v>&lt;&lt; Select &gt;&gt;</v>
      </c>
    </row>
    <row r="2081" spans="1:17">
      <c r="B2081" s="748" t="s">
        <v>2919</v>
      </c>
    </row>
    <row r="2082" spans="1:17">
      <c r="A2082" s="748" t="str">
        <f>'Part VIII-Threshold Criteria'!A34</f>
        <v>This section is not applicable to this project.</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2921</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2919</v>
      </c>
      <c r="K2096" s="748" t="s">
        <v>2920</v>
      </c>
    </row>
    <row r="2097" spans="1:17">
      <c r="A2097" s="748" t="str">
        <f>'Part VIII-Threshold Criteria'!A49</f>
        <v>This project is a family project and will be marketed as such.</v>
      </c>
      <c r="K2097" s="748">
        <f>'Part VIII-Threshold Criteria'!K49</f>
        <v>0</v>
      </c>
    </row>
    <row r="2099" spans="1:17">
      <c r="A2099" s="748">
        <v>3</v>
      </c>
      <c r="B2099" s="748" t="s">
        <v>681</v>
      </c>
      <c r="O2099" s="748" t="s">
        <v>2921</v>
      </c>
      <c r="P2099" s="748">
        <f>'Part VIII-Threshold Criteria'!P51</f>
        <v>0</v>
      </c>
    </row>
    <row r="2101" spans="1:17">
      <c r="B2101" s="748" t="s">
        <v>3058</v>
      </c>
      <c r="C2101" s="748" t="s">
        <v>4082</v>
      </c>
      <c r="P2101" s="748" t="str">
        <f>'Part VIII-Threshold Criteria'!P53</f>
        <v>Agree</v>
      </c>
      <c r="Q2101" s="748">
        <f>'Part VIII-Threshold Criteria'!Q53</f>
        <v>0</v>
      </c>
    </row>
    <row r="2102" spans="1:17">
      <c r="B2102" s="748" t="s">
        <v>3061</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2844</v>
      </c>
      <c r="O2104" s="748" t="s">
        <v>2765</v>
      </c>
      <c r="P2104" s="748">
        <f>'Part VIII-Threshold Criteria'!P56</f>
        <v>0</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2919</v>
      </c>
    </row>
    <row r="2107" spans="1:17">
      <c r="A2107" s="748" t="str">
        <f>'Part VIII-Threshold Criteria'!A59</f>
        <v>The manager will schedule semi-monthly parties/potluck dinners or other recreational activities for our residents.</v>
      </c>
    </row>
    <row r="2108" spans="1:17">
      <c r="A2108" s="748">
        <f>'Part VIII-Threshold Criteria'!A60</f>
        <v>0</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Real Property Research Group</v>
      </c>
      <c r="Q2115" s="748">
        <f>'Part VIII-Threshold Criteria'!Q67</f>
        <v>0</v>
      </c>
    </row>
    <row r="2116" spans="1:17">
      <c r="B2116" s="748" t="s">
        <v>3061</v>
      </c>
      <c r="C2116" s="748" t="s">
        <v>3116</v>
      </c>
      <c r="L2116" s="748" t="s">
        <v>3061</v>
      </c>
      <c r="M2116" s="748" t="str">
        <f>'Part VIII-Threshold Criteria'!M68</f>
        <v>Five Months</v>
      </c>
      <c r="Q2116" s="748">
        <f>'Part VIII-Threshold Criteria'!Q68</f>
        <v>0</v>
      </c>
    </row>
    <row r="2117" spans="1:17">
      <c r="B2117" s="748" t="s">
        <v>1238</v>
      </c>
      <c r="C2117" s="748" t="s">
        <v>3729</v>
      </c>
      <c r="L2117" s="748" t="s">
        <v>1238</v>
      </c>
      <c r="M2117" s="748" t="str">
        <f>'Part VIII-Threshold Criteria'!M69</f>
        <v>Five Months</v>
      </c>
      <c r="Q2117" s="748">
        <f>'Part VIII-Threshold Criteria'!Q69</f>
        <v>0</v>
      </c>
    </row>
    <row r="2118" spans="1:17">
      <c r="B2118" s="748" t="s">
        <v>3210</v>
      </c>
      <c r="C2118" s="748" t="s">
        <v>3730</v>
      </c>
      <c r="L2118" s="748" t="s">
        <v>3210</v>
      </c>
      <c r="M2118" s="748" t="str">
        <f>'Part VIII-Threshold Criteria'!M70</f>
        <v>11 Percent</v>
      </c>
      <c r="Q2118" s="748">
        <f>'Part VIII-Threshold Criteria'!Q70</f>
        <v>0</v>
      </c>
    </row>
    <row r="2119" spans="1:17">
      <c r="B2119" s="748" t="s">
        <v>2762</v>
      </c>
      <c r="C2119" s="748" t="s">
        <v>3554</v>
      </c>
      <c r="O2119" s="748" t="s">
        <v>2762</v>
      </c>
      <c r="P2119" s="748" t="str">
        <f>'Part VIII-Threshold Criteria'!P71</f>
        <v>No</v>
      </c>
      <c r="Q2119" s="748">
        <f>'Part VIII-Threshold Criteria'!Q71</f>
        <v>0</v>
      </c>
    </row>
    <row r="2120" spans="1:17">
      <c r="D2120" s="748" t="s">
        <v>3591</v>
      </c>
      <c r="E2120" s="748" t="s">
        <v>951</v>
      </c>
      <c r="H2120" s="748" t="s">
        <v>3591</v>
      </c>
      <c r="I2120" s="748" t="s">
        <v>951</v>
      </c>
      <c r="L2120" s="748" t="s">
        <v>3591</v>
      </c>
      <c r="M2120" s="748" t="s">
        <v>951</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2919</v>
      </c>
    </row>
    <row r="2126" spans="1:17">
      <c r="A2126" s="748" t="str">
        <f>'Part VIII-Threshold Criteria'!A78</f>
        <v>There are no DCA projects within a 10 mile radius for years 2008-2010.</v>
      </c>
    </row>
    <row r="2127" spans="1:17">
      <c r="A2127" s="748">
        <f>'Part VIII-Threshold Criteria'!A79</f>
        <v>0</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729</v>
      </c>
      <c r="O2133" s="748" t="s">
        <v>3058</v>
      </c>
      <c r="P2133" s="748" t="str">
        <f>'Part VIII-Threshold Criteria'!P85</f>
        <v>No</v>
      </c>
      <c r="Q2133" s="748">
        <f>'Part VIII-Threshold Criteria'!Q85</f>
        <v>0</v>
      </c>
    </row>
    <row r="2134" spans="1:17">
      <c r="B2134" s="748" t="s">
        <v>3061</v>
      </c>
      <c r="C2134" s="748" t="s">
        <v>2005</v>
      </c>
      <c r="O2134" s="748" t="s">
        <v>3061</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3210</v>
      </c>
      <c r="C2140" s="748" t="s">
        <v>2148</v>
      </c>
    </row>
    <row r="2141" spans="1:17">
      <c r="C2141" s="748" t="s">
        <v>2764</v>
      </c>
      <c r="D2141" s="748" t="s">
        <v>2149</v>
      </c>
      <c r="O2141" s="748" t="s">
        <v>2764</v>
      </c>
      <c r="P2141" s="748">
        <f>'Part VIII-Threshold Criteria'!P93</f>
        <v>0</v>
      </c>
      <c r="Q2141" s="748">
        <f>'Part VIII-Threshold Criteria'!Q93</f>
        <v>0</v>
      </c>
    </row>
    <row r="2142" spans="1:17">
      <c r="C2142" s="748" t="s">
        <v>2765</v>
      </c>
      <c r="D2142" s="748" t="s">
        <v>2150</v>
      </c>
      <c r="O2142" s="748" t="s">
        <v>2765</v>
      </c>
      <c r="P2142" s="748">
        <f>'Part VIII-Threshold Criteria'!P94</f>
        <v>0</v>
      </c>
      <c r="Q2142" s="748">
        <f>'Part VIII-Threshold Criteria'!Q94</f>
        <v>0</v>
      </c>
    </row>
    <row r="2143" spans="1:17">
      <c r="C2143" s="748" t="s">
        <v>2766</v>
      </c>
      <c r="D2143" s="748" t="s">
        <v>2151</v>
      </c>
      <c r="O2143" s="748" t="s">
        <v>2766</v>
      </c>
      <c r="P2143" s="748">
        <f>'Part VIII-Threshold Criteria'!P95</f>
        <v>0</v>
      </c>
      <c r="Q2143" s="748">
        <f>'Part VIII-Threshold Criteria'!Q95</f>
        <v>0</v>
      </c>
    </row>
    <row r="2144" spans="1:17">
      <c r="B2144" s="748" t="s">
        <v>2919</v>
      </c>
    </row>
    <row r="2145" spans="1:17">
      <c r="A2145" s="748" t="str">
        <f>'Part VIII-Threshold Criteria'!A97</f>
        <v>There is no identity of interest between the buyer and seller making this section N/A.</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Geotechnical &amp; Environmental Consultants, Inc.</v>
      </c>
      <c r="Q2153" s="748">
        <f>'Part VIII-Threshold Criteria'!Q105</f>
        <v>0</v>
      </c>
    </row>
    <row r="2154" spans="1:17">
      <c r="B2154" s="748" t="s">
        <v>3061</v>
      </c>
      <c r="C2154" s="748" t="s">
        <v>2291</v>
      </c>
      <c r="O2154" s="748" t="s">
        <v>3061</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2841</v>
      </c>
      <c r="P2156" s="748" t="str">
        <f>'Part VIII-Threshold Criteria'!P108</f>
        <v>&lt;65</v>
      </c>
      <c r="Q2156" s="748">
        <f>'Part VIII-Threshold Criteria'!Q108</f>
        <v>0</v>
      </c>
    </row>
    <row r="2157" spans="1:17">
      <c r="C2157" s="748" t="s">
        <v>2089</v>
      </c>
    </row>
    <row r="2158" spans="1:17">
      <c r="C2158" s="748" t="str">
        <f>'Part VIII-Threshold Criteria'!C110</f>
        <v>All noise levels are less than 65 DNL and therefore no noise mitigation is required per HUD Noise Guidelines.  Contributing factors are:  Roadway &lt;65, Railway &lt;65 and Aircraft &lt;55.</v>
      </c>
    </row>
    <row r="2159" spans="1:17">
      <c r="B2159" s="748" t="s">
        <v>3210</v>
      </c>
      <c r="C2159" s="748" t="s">
        <v>1944</v>
      </c>
      <c r="O2159" s="748" t="s">
        <v>3210</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2766</v>
      </c>
      <c r="D2165" s="748" t="s">
        <v>1946</v>
      </c>
      <c r="O2165" s="748" t="s">
        <v>2766</v>
      </c>
      <c r="P2165" s="748" t="str">
        <f>'Part VIII-Threshold Criteria'!P117</f>
        <v>Yes</v>
      </c>
      <c r="Q2165" s="748">
        <f>'Part VIII-Threshold Criteria'!Q117</f>
        <v>0</v>
      </c>
    </row>
    <row r="2166" spans="2:17">
      <c r="D2166" s="748" t="s">
        <v>1407</v>
      </c>
      <c r="P2166" s="748">
        <f>'Part VIII-Threshold Criteria'!P118</f>
        <v>0.06</v>
      </c>
      <c r="Q2166" s="748">
        <f>'Part VIII-Threshold Criteria'!Q118</f>
        <v>0</v>
      </c>
    </row>
    <row r="2167" spans="2:17">
      <c r="D2167" s="748" t="s">
        <v>3243</v>
      </c>
      <c r="P2167" s="748" t="str">
        <f>'Part VIII-Threshold Criteria'!P119</f>
        <v>No</v>
      </c>
      <c r="Q2167" s="748">
        <f>'Part VIII-Threshold Criteria'!Q119</f>
        <v>0</v>
      </c>
    </row>
    <row r="2168" spans="2:17">
      <c r="D2168" s="748" t="s">
        <v>3242</v>
      </c>
      <c r="P2168" s="748" t="str">
        <f>'Part VIII-Threshold Criteria'!P120</f>
        <v>Yes</v>
      </c>
      <c r="Q2168" s="748">
        <f>'Part VIII-Threshold Criteria'!Q120</f>
        <v>0</v>
      </c>
    </row>
    <row r="2169" spans="2:17">
      <c r="C2169" s="748" t="s">
        <v>3569</v>
      </c>
      <c r="D2169" s="748" t="s">
        <v>726</v>
      </c>
      <c r="O2169" s="748" t="s">
        <v>3569</v>
      </c>
      <c r="P2169" s="748" t="str">
        <f>'Part VIII-Threshold Criteria'!P121</f>
        <v>Yes</v>
      </c>
      <c r="Q2169" s="748">
        <f>'Part VIII-Threshold Criteria'!Q121</f>
        <v>0</v>
      </c>
    </row>
    <row r="2170" spans="2:17">
      <c r="B2170" s="748" t="s">
        <v>2762</v>
      </c>
      <c r="C2170" s="748" t="s">
        <v>3656</v>
      </c>
      <c r="O2170" s="748" t="s">
        <v>2762</v>
      </c>
      <c r="P2170" s="748" t="str">
        <f>'Part VIII-Threshold Criteria'!P122</f>
        <v>Yes</v>
      </c>
      <c r="Q2170" s="748">
        <f>'Part VIII-Threshold Criteria'!Q122</f>
        <v>0</v>
      </c>
    </row>
    <row r="2171" spans="2:17">
      <c r="C2171" s="748" t="s">
        <v>2764</v>
      </c>
      <c r="D2171" s="748" t="s">
        <v>3657</v>
      </c>
      <c r="F2171" s="748" t="str">
        <f>'Part VIII-Threshold Criteria'!F123</f>
        <v>Yes</v>
      </c>
      <c r="G2171" s="748">
        <f>'Part VIII-Threshold Criteria'!G123</f>
        <v>0</v>
      </c>
      <c r="H2171" s="748" t="s">
        <v>2766</v>
      </c>
      <c r="I2171" s="748" t="s">
        <v>2305</v>
      </c>
      <c r="J2171" s="748" t="str">
        <f>'Part VIII-Threshold Criteria'!J123</f>
        <v>No</v>
      </c>
      <c r="K2171" s="748">
        <f>'Part VIII-Threshold Criteria'!K123</f>
        <v>0</v>
      </c>
      <c r="L2171" s="748" t="s">
        <v>2303</v>
      </c>
      <c r="M2171" s="748" t="s">
        <v>3619</v>
      </c>
      <c r="N2171" s="748" t="str">
        <f>'Part VIII-Threshold Criteria'!N123</f>
        <v>No</v>
      </c>
      <c r="O2171" s="748">
        <f>'Part VIII-Threshold Criteria'!O123</f>
        <v>0</v>
      </c>
    </row>
    <row r="2172" spans="2:17">
      <c r="C2172" s="748" t="s">
        <v>2765</v>
      </c>
      <c r="D2172" s="748" t="s">
        <v>3773</v>
      </c>
      <c r="F2172" s="748" t="str">
        <f>'Part VIII-Threshold Criteria'!F124</f>
        <v>No</v>
      </c>
      <c r="G2172" s="748">
        <f>'Part VIII-Threshold Criteria'!G124</f>
        <v>0</v>
      </c>
      <c r="H2172" s="748" t="s">
        <v>3569</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2763</v>
      </c>
      <c r="C2174" s="748" t="s">
        <v>1983</v>
      </c>
      <c r="O2174" s="748" t="s">
        <v>2763</v>
      </c>
      <c r="P2174" s="748" t="str">
        <f>'Part VIII-Threshold Criteria'!P126</f>
        <v>N/A</v>
      </c>
      <c r="Q2174" s="748">
        <f>'Part VIII-Threshold Criteria'!Q126</f>
        <v>0</v>
      </c>
    </row>
    <row r="2175" spans="2:17">
      <c r="C2175" s="748" t="s">
        <v>2764</v>
      </c>
      <c r="D2175" s="748" t="s">
        <v>1079</v>
      </c>
      <c r="O2175" s="748" t="s">
        <v>2764</v>
      </c>
      <c r="P2175" s="748" t="str">
        <f>'Part VIII-Threshold Criteria'!P127</f>
        <v>No</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3018</v>
      </c>
      <c r="C2178" s="748" t="s">
        <v>2781</v>
      </c>
      <c r="O2178" s="748" t="s">
        <v>3018</v>
      </c>
      <c r="P2178" s="748" t="str">
        <f>'Part VIII-Threshold Criteria'!P130</f>
        <v>N/A</v>
      </c>
      <c r="Q2178" s="748">
        <f>'Part VIII-Threshold Criteria'!Q130</f>
        <v>0</v>
      </c>
    </row>
    <row r="2180" spans="1:17">
      <c r="B2180" s="748" t="s">
        <v>2919</v>
      </c>
    </row>
    <row r="2181" spans="1:17">
      <c r="A2181" s="748">
        <f>'Part VIII-Threshold Criteria'!A133</f>
        <v>0</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Thomson Estates, L.P.</v>
      </c>
      <c r="P2192" s="748">
        <f>'Part VIII-Threshold Criteria'!P144</f>
        <v>0</v>
      </c>
      <c r="Q2192" s="748">
        <f>'Part VIII-Threshold Criteria'!Q144</f>
        <v>0</v>
      </c>
    </row>
    <row r="2193" spans="1:17">
      <c r="B2193" s="748" t="s">
        <v>2919</v>
      </c>
    </row>
    <row r="2194" spans="1:17">
      <c r="A2194" s="748" t="str">
        <f>'Part VIII-Threshold Criteria'!A146</f>
        <v>Thomson Estates is an assemblage of six parcels.  Site Control for all the parcels is included in Tab 12.</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 xml:space="preserve">Documentation indicating the existence of paved road access is included in Tab 13 </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721</v>
      </c>
      <c r="O2212" s="748" t="s">
        <v>3061</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3210</v>
      </c>
      <c r="C2214" s="748" t="s">
        <v>929</v>
      </c>
      <c r="O2214" s="748" t="s">
        <v>3210</v>
      </c>
      <c r="P2214" s="748" t="str">
        <f>'Part VIII-Threshold Criteria'!P166</f>
        <v>Yes</v>
      </c>
      <c r="Q2214" s="748">
        <f>'Part VIII-Threshold Criteria'!Q166</f>
        <v>0</v>
      </c>
    </row>
    <row r="2215" spans="1:17">
      <c r="B2215" s="748" t="s">
        <v>2762</v>
      </c>
      <c r="C2215" s="748" t="s">
        <v>3592</v>
      </c>
      <c r="O2215" s="748" t="s">
        <v>2762</v>
      </c>
      <c r="P2215" s="748" t="str">
        <f>'Part VIII-Threshold Criteria'!P167</f>
        <v>Yes</v>
      </c>
      <c r="Q2215" s="748">
        <f>'Part VIII-Threshold Criteria'!Q167</f>
        <v>0</v>
      </c>
    </row>
    <row r="2216" spans="1:17">
      <c r="B2216" s="748" t="s">
        <v>2919</v>
      </c>
    </row>
    <row r="2217" spans="1:17">
      <c r="A2217" s="748" t="str">
        <f>'Part VIII-Threshold Criteria'!A169</f>
        <v>Zoning documentation can be found in Tab 14 of the application</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2764</v>
      </c>
      <c r="I2224" s="748" t="s">
        <v>206</v>
      </c>
      <c r="J2224" s="748" t="str">
        <f>'Part VIII-Threshold Criteria'!J176</f>
        <v>City of Thomson</v>
      </c>
      <c r="O2224" s="748" t="s">
        <v>2764</v>
      </c>
      <c r="P2224" s="748" t="str">
        <f>'Part VIII-Threshold Criteria'!P176</f>
        <v>No</v>
      </c>
      <c r="Q2224" s="748">
        <f>'Part VIII-Threshold Criteria'!Q176</f>
        <v>0</v>
      </c>
    </row>
    <row r="2225" spans="1:17">
      <c r="H2225" s="748" t="s">
        <v>2765</v>
      </c>
      <c r="I2225" s="748" t="s">
        <v>2357</v>
      </c>
      <c r="J2225" s="748" t="str">
        <f>'Part VIII-Threshold Criteria'!J177</f>
        <v>Georgia Power</v>
      </c>
      <c r="O2225" s="748" t="s">
        <v>2765</v>
      </c>
      <c r="P2225" s="748" t="str">
        <f>'Part VIII-Threshold Criteria'!P177</f>
        <v>Yes</v>
      </c>
      <c r="Q2225" s="748">
        <f>'Part VIII-Threshold Criteria'!Q177</f>
        <v>0</v>
      </c>
    </row>
    <row r="2226" spans="1:17">
      <c r="B2226" s="748" t="s">
        <v>2919</v>
      </c>
    </row>
    <row r="2227" spans="1:17">
      <c r="A2227" s="748" t="str">
        <f>'Part VIII-Threshold Criteria'!A179</f>
        <v>The appropriate utility letters are located in Tab 15 of the application.</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3061</v>
      </c>
      <c r="C2235" s="748" t="s">
        <v>2901</v>
      </c>
      <c r="H2235" s="748" t="s">
        <v>2764</v>
      </c>
      <c r="I2235" s="748" t="s">
        <v>971</v>
      </c>
      <c r="J2235" s="748" t="str">
        <f>'Part VIII-Threshold Criteria'!J187</f>
        <v>City of Thomson</v>
      </c>
      <c r="O2235" s="748" t="s">
        <v>2170</v>
      </c>
      <c r="P2235" s="748" t="str">
        <f>'Part VIII-Threshold Criteria'!P187</f>
        <v>Yes</v>
      </c>
      <c r="Q2235" s="748">
        <f>'Part VIII-Threshold Criteria'!Q187</f>
        <v>0</v>
      </c>
    </row>
    <row r="2236" spans="1:17">
      <c r="H2236" s="748" t="s">
        <v>2765</v>
      </c>
      <c r="I2236" s="748" t="s">
        <v>131</v>
      </c>
      <c r="J2236" s="748" t="str">
        <f>'Part VIII-Threshold Criteria'!J188</f>
        <v>City of Thomson</v>
      </c>
      <c r="O2236" s="748" t="s">
        <v>2765</v>
      </c>
      <c r="P2236" s="748" t="str">
        <f>'Part VIII-Threshold Criteria'!P188</f>
        <v>Yes</v>
      </c>
      <c r="Q2236" s="748">
        <f>'Part VIII-Threshold Criteria'!Q188</f>
        <v>0</v>
      </c>
    </row>
    <row r="2237" spans="1:17">
      <c r="B2237" s="748" t="s">
        <v>2919</v>
      </c>
    </row>
    <row r="2238" spans="1:17">
      <c r="A2238" s="748" t="str">
        <f>'Part VIII-Threshold Criteria'!A190</f>
        <v>A letter from the City of Thomson indicating availability of water and sewer to the site is located in Tab 15 of the application.</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3210</v>
      </c>
      <c r="C2247" s="748" t="s">
        <v>196</v>
      </c>
      <c r="O2247" s="748" t="s">
        <v>3210</v>
      </c>
      <c r="P2247" s="748" t="str">
        <f>'Part VIII-Threshold Criteria'!P199</f>
        <v>No</v>
      </c>
      <c r="Q2247" s="748">
        <f>'Part VIII-Threshold Criteria'!Q199</f>
        <v>0</v>
      </c>
    </row>
    <row r="2248" spans="1:17">
      <c r="B2248" s="748" t="s">
        <v>2919</v>
      </c>
    </row>
    <row r="2249" spans="1:17">
      <c r="A2249" s="748" t="str">
        <f>'Part VIII-Threshold Criteria'!A201</f>
        <v>The supporting meeting agendas, newspaper articles and resolutions are included in Tab 16 of the application.</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1838</v>
      </c>
      <c r="P2257" s="748" t="str">
        <f>'Part VIII-Threshold Criteria'!P209</f>
        <v>No</v>
      </c>
      <c r="Q2257" s="748">
        <f>'Part VIII-Threshold Criteria'!Q209</f>
        <v>0</v>
      </c>
    </row>
    <row r="2258" spans="2:17">
      <c r="B2258" s="748" t="s">
        <v>3058</v>
      </c>
      <c r="C2258" s="748" t="s">
        <v>2086</v>
      </c>
    </row>
    <row r="2259" spans="2:17">
      <c r="C2259" s="748" t="s">
        <v>2764</v>
      </c>
      <c r="D2259" s="748" t="s">
        <v>3001</v>
      </c>
      <c r="L2259" s="748" t="s">
        <v>2230</v>
      </c>
      <c r="M2259" s="748" t="str">
        <f>'Part VIII-Threshold Criteria'!M211</f>
        <v>Building</v>
      </c>
      <c r="P2259" s="748" t="str">
        <f>'Part VIII-Threshold Criteria'!P211</f>
        <v>Agree</v>
      </c>
      <c r="Q2259" s="748">
        <f>'Part VIII-Threshold Criteria'!Q211</f>
        <v>0</v>
      </c>
    </row>
    <row r="2260" spans="2:17">
      <c r="C2260" s="748" t="s">
        <v>2765</v>
      </c>
      <c r="D2260" s="748" t="s">
        <v>198</v>
      </c>
      <c r="L2260" s="748" t="s">
        <v>2231</v>
      </c>
      <c r="M2260" s="748" t="str">
        <f>'Part VIII-Threshold Criteria'!M212</f>
        <v>Covered Porch</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4083</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Covered Pavillion with picnic and BBQ facilities</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Equipped Playground</v>
      </c>
      <c r="I2267" s="748">
        <f>'Part VIII-Threshold Criteria'!I219</f>
        <v>0</v>
      </c>
      <c r="J2267" s="748">
        <f>'Part VIII-Threshold Criteria'!J219</f>
        <v>0</v>
      </c>
      <c r="K2267" s="748" t="s">
        <v>3569</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f>'Part VIII-Threshold Criteria'!P227</f>
        <v>0</v>
      </c>
      <c r="Q2275" s="748">
        <f>'Part VIII-Threshold Criteria'!Q227</f>
        <v>0</v>
      </c>
    </row>
    <row r="2277" spans="1:17">
      <c r="B2277" s="748" t="s">
        <v>3210</v>
      </c>
      <c r="C2277" s="748" t="s">
        <v>2344</v>
      </c>
      <c r="O2277" s="748" t="s">
        <v>3210</v>
      </c>
      <c r="P2277" s="748">
        <f>'Part VIII-Threshold Criteria'!P229</f>
        <v>0</v>
      </c>
      <c r="Q2277" s="748">
        <f>'Part VIII-Threshold Criteria'!Q229</f>
        <v>0</v>
      </c>
    </row>
    <row r="2278" spans="1:17">
      <c r="C2278" s="748" t="s">
        <v>2764</v>
      </c>
      <c r="D2278" s="748" t="s">
        <v>1933</v>
      </c>
      <c r="O2278" s="748" t="s">
        <v>2764</v>
      </c>
      <c r="P2278" s="748">
        <f>'Part VIII-Threshold Criteria'!P230</f>
        <v>0</v>
      </c>
      <c r="Q2278" s="748">
        <f>'Part VIII-Threshold Criteria'!Q230</f>
        <v>0</v>
      </c>
    </row>
    <row r="2279" spans="1:17">
      <c r="C2279" s="748" t="s">
        <v>2765</v>
      </c>
      <c r="D2279" s="748" t="s">
        <v>199</v>
      </c>
      <c r="O2279" s="748" t="s">
        <v>2765</v>
      </c>
      <c r="P2279" s="748">
        <f>'Part VIII-Threshold Criteria'!P231</f>
        <v>0</v>
      </c>
      <c r="Q2279" s="748">
        <f>'Part VIII-Threshold Criteria'!Q231</f>
        <v>0</v>
      </c>
    </row>
    <row r="2280" spans="1:17">
      <c r="C2280" s="748" t="s">
        <v>2766</v>
      </c>
      <c r="D2280" s="748" t="s">
        <v>2625</v>
      </c>
      <c r="O2280" s="748" t="s">
        <v>3579</v>
      </c>
      <c r="P2280" s="748">
        <f>'Part VIII-Threshold Criteria'!P232</f>
        <v>0</v>
      </c>
      <c r="Q2280" s="748">
        <f>'Part VIII-Threshold Criteria'!Q232</f>
        <v>0</v>
      </c>
    </row>
    <row r="2281" spans="1:17">
      <c r="D2281" s="748" t="s">
        <v>1984</v>
      </c>
      <c r="O2281" s="748" t="s">
        <v>3580</v>
      </c>
      <c r="P2281" s="748">
        <f>'Part VIII-Threshold Criteria'!P233</f>
        <v>0</v>
      </c>
      <c r="Q2281" s="748">
        <f>'Part VIII-Threshold Criteria'!Q233</f>
        <v>0</v>
      </c>
    </row>
    <row r="2282" spans="1:17">
      <c r="B2282" s="748" t="s">
        <v>2919</v>
      </c>
    </row>
    <row r="2283" spans="1:17">
      <c r="A2283" s="748" t="str">
        <f>'Part VIII-Threshold Criteria'!A235</f>
        <v>Applicant agrees to provide the amenities listed above in accordance with the DCA amenities manual for a family project under 50 units.  The additional amenities under Section D do not apply.</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1952</v>
      </c>
      <c r="L2291" s="748" t="s">
        <v>3058</v>
      </c>
      <c r="M2291" s="748" t="str">
        <f>'Part VIII-Threshold Criteria'!M243</f>
        <v>&lt;&lt;Select&gt;&gt;</v>
      </c>
      <c r="P2291" s="748" t="str">
        <f>'Part VIII-Threshold Criteria'!P243</f>
        <v>&lt;&lt;Select&gt;&gt;</v>
      </c>
    </row>
    <row r="2292" spans="1:17">
      <c r="B2292" s="748" t="s">
        <v>3061</v>
      </c>
      <c r="C2292" s="748" t="s">
        <v>1921</v>
      </c>
      <c r="L2292" s="748" t="s">
        <v>3061</v>
      </c>
      <c r="M2292" s="748">
        <f>'Part VIII-Threshold Criteria'!M244</f>
        <v>0</v>
      </c>
      <c r="P2292" s="748">
        <f>'Part VIII-Threshold Criteria'!P244</f>
        <v>0</v>
      </c>
    </row>
    <row r="2293" spans="1:17">
      <c r="B2293" s="748" t="s">
        <v>1238</v>
      </c>
      <c r="C2293" s="748" t="s">
        <v>3015</v>
      </c>
      <c r="L2293" s="748" t="s">
        <v>1238</v>
      </c>
      <c r="M2293" s="748">
        <f>'Part VIII-Threshold Criteria'!M245</f>
        <v>0</v>
      </c>
      <c r="P2293" s="748">
        <f>'Part VIII-Threshold Criteria'!P245</f>
        <v>0</v>
      </c>
    </row>
    <row r="2294" spans="1:17">
      <c r="B2294" s="748" t="s">
        <v>3210</v>
      </c>
      <c r="C2294" s="748" t="s">
        <v>3840</v>
      </c>
      <c r="O2294" s="748" t="s">
        <v>3210</v>
      </c>
      <c r="P2294" s="748">
        <f>'Part VIII-Threshold Criteria'!P246</f>
        <v>0</v>
      </c>
      <c r="Q2294" s="748">
        <f>'Part VIII-Threshold Criteria'!Q246</f>
        <v>0</v>
      </c>
    </row>
    <row r="2295" spans="1:17">
      <c r="B2295" s="748" t="s">
        <v>2762</v>
      </c>
      <c r="C2295" s="748" t="s">
        <v>4084</v>
      </c>
      <c r="O2295" s="748" t="s">
        <v>2762</v>
      </c>
      <c r="P2295" s="748">
        <f>'Part VIII-Threshold Criteria'!P247</f>
        <v>0</v>
      </c>
      <c r="Q2295" s="748">
        <f>'Part VIII-Threshold Criteria'!Q247</f>
        <v>0</v>
      </c>
    </row>
    <row r="2296" spans="1:17">
      <c r="B2296" s="748" t="s">
        <v>2919</v>
      </c>
    </row>
    <row r="2297" spans="1:17">
      <c r="A2297" s="748" t="str">
        <f>'Part VIII-Threshold Criteria'!A249</f>
        <v>This section in N/A for this project.</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2113</v>
      </c>
      <c r="O2306" s="748" t="s">
        <v>3061</v>
      </c>
      <c r="P2306" s="748" t="str">
        <f>'Part VIII-Threshold Criteria'!P258</f>
        <v>Yes</v>
      </c>
      <c r="Q2306" s="748">
        <f>'Part VIII-Threshold Criteria'!Q258</f>
        <v>0</v>
      </c>
    </row>
    <row r="2307" spans="1:17">
      <c r="B2307" s="748" t="s">
        <v>2919</v>
      </c>
    </row>
    <row r="2308" spans="1:17">
      <c r="A2308" s="748" t="str">
        <f>'Part VIII-Threshold Criteria'!A260</f>
        <v>The Conceptual Site Plan is included in Tab 18</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1089</v>
      </c>
      <c r="O2314" s="748" t="s">
        <v>2921</v>
      </c>
      <c r="P2314" s="748">
        <f>'Part VIII-Threshold Criteria'!P266</f>
        <v>0</v>
      </c>
    </row>
    <row r="2316" spans="1:17" ht="24" customHeight="1">
      <c r="B2316" s="748" t="s">
        <v>3058</v>
      </c>
      <c r="C2316" s="748" t="s">
        <v>1207</v>
      </c>
      <c r="O2316" s="748" t="s">
        <v>3058</v>
      </c>
      <c r="P2316" s="748" t="str">
        <f>'Part VIII-Threshold Criteria'!P268</f>
        <v>Agree</v>
      </c>
      <c r="Q2316" s="748">
        <f>'Part VIII-Threshold Criteria'!Q268</f>
        <v>0</v>
      </c>
    </row>
    <row r="2317" spans="1:17" ht="24" customHeight="1">
      <c r="B2317" s="748" t="s">
        <v>3061</v>
      </c>
      <c r="C2317" s="748" t="s">
        <v>1208</v>
      </c>
      <c r="O2317" s="748" t="s">
        <v>3061</v>
      </c>
      <c r="P2317" s="748" t="str">
        <f>'Part VIII-Threshold Criteria'!P269</f>
        <v>Agree</v>
      </c>
      <c r="Q2317" s="748">
        <f>'Part VIII-Threshold Criteria'!Q269</f>
        <v>0</v>
      </c>
    </row>
    <row r="2318" spans="1:17" ht="33" customHeight="1">
      <c r="B2318" s="748" t="s">
        <v>1238</v>
      </c>
      <c r="C2318" s="748" t="s">
        <v>1209</v>
      </c>
      <c r="O2318" s="748" t="s">
        <v>3061</v>
      </c>
      <c r="P2318" s="748">
        <f>'Part VIII-Threshold Criteria'!P270</f>
        <v>0</v>
      </c>
      <c r="Q2318" s="748">
        <f>'Part VIII-Threshold Criteria'!Q270</f>
        <v>0</v>
      </c>
    </row>
    <row r="2319" spans="1:17">
      <c r="B2319" s="748" t="s">
        <v>2919</v>
      </c>
    </row>
    <row r="2320" spans="1:17">
      <c r="A2320" s="748" t="str">
        <f>'Part VIII-Threshold Criteria'!A272</f>
        <v>Applicant agrees to comply with all Building Sustainability requirements.</v>
      </c>
    </row>
    <row r="2321" spans="1:17">
      <c r="A2321" s="748" t="str">
        <f>'Part VIII-Threshold Criteria'!A273</f>
        <v>Item C is not applicable to this project.</v>
      </c>
    </row>
    <row r="2322" spans="1:17">
      <c r="B2322" s="748" t="s">
        <v>2920</v>
      </c>
    </row>
    <row r="2323" spans="1:17">
      <c r="A2323" s="748">
        <f>'Part VIII-Threshold Criteria'!A275</f>
        <v>0</v>
      </c>
    </row>
    <row r="2324" spans="1:17">
      <c r="A2324" s="748">
        <f>'Part VIII-Threshold Criteria'!A276</f>
        <v>0</v>
      </c>
    </row>
    <row r="2326" spans="1:17">
      <c r="A2326" s="748">
        <v>17</v>
      </c>
      <c r="B2326" s="748" t="s">
        <v>877</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1238</v>
      </c>
      <c r="C2329" s="748" t="s">
        <v>2886</v>
      </c>
      <c r="O2329" s="748" t="s">
        <v>1238</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2919</v>
      </c>
    </row>
    <row r="2333" spans="1:17">
      <c r="A2333" s="748" t="str">
        <f>'Part VIII-Threshold Criteria'!A285</f>
        <v>Applicant agrees to comply with the Accessibility Standards as indicated above.</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No</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1081</v>
      </c>
      <c r="O2342" s="748" t="s">
        <v>3058</v>
      </c>
      <c r="P2342" s="748">
        <f>'Part VIII-Threshold Criteria'!P294</f>
        <v>0</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4085</v>
      </c>
      <c r="G2346" s="748" t="str">
        <f>'Part VIII-Threshold Criteria'!G298</f>
        <v>Addition of decorative elements</v>
      </c>
      <c r="O2346" s="748" t="s">
        <v>2765</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2766</v>
      </c>
      <c r="D2348" s="748" t="s">
        <v>1767</v>
      </c>
      <c r="G2348" s="748" t="str">
        <f>'Part VIII-Threshold Criteria'!G300</f>
        <v>Upgraded roofing shingles, or roofing materials</v>
      </c>
      <c r="O2348" s="748" t="s">
        <v>2766</v>
      </c>
      <c r="P2348" s="748" t="str">
        <f>'Part VIII-Threshold Criteria'!P300</f>
        <v>Yes</v>
      </c>
      <c r="Q2348" s="748">
        <f>'Part VIII-Threshold Criteria'!Q300</f>
        <v>0</v>
      </c>
    </row>
    <row r="2349" spans="1:17" ht="13.15" customHeight="1">
      <c r="C2349" s="748" t="s">
        <v>3569</v>
      </c>
      <c r="D2349" s="748" t="s">
        <v>4086</v>
      </c>
      <c r="G2349" s="748" t="str">
        <f>'Part VIII-Threshold Criteria'!G301</f>
        <v>Site entry w/ permanent, illuminated entry sign and decorative fence</v>
      </c>
      <c r="O2349" s="748" t="s">
        <v>3569</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2919</v>
      </c>
    </row>
    <row r="2353" spans="1:17">
      <c r="A2353" s="748" t="str">
        <f>'Part VIII-Threshold Criteria'!A305</f>
        <v>Applicant agrees to comply with the Architectural Design &amp; Quality Standards as indicated above.  Please note that Thomson Estates may be a mix of one and two story houses.  In accordance with the QAP, the Exterior Wall Finishes as selected in B.1. will apply to the two story homes; and the single story homes will have a minimum of 35% brick and 65% fiber cement siding or stucco.</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924</v>
      </c>
      <c r="L2363" s="748" t="str">
        <f>'Part VIII-Threshold Criteria'!L315</f>
        <v>Qualified without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t="str">
        <f>'Part VIII-Threshold Criteria'!A319</f>
        <v>Applicant was prequalified without conditions.  Evidence of the qualification is located in Tab 19.</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2543</v>
      </c>
      <c r="O2377" s="748" t="s">
        <v>3058</v>
      </c>
      <c r="P2377" s="748" t="str">
        <f>'Part VIII-Threshold Criteria'!P329</f>
        <v>Yes</v>
      </c>
      <c r="Q2377" s="748">
        <f>'Part VIII-Threshold Criteria'!Q329</f>
        <v>0</v>
      </c>
    </row>
    <row r="2378" spans="1:17">
      <c r="B2378" s="748" t="s">
        <v>3061</v>
      </c>
      <c r="C2378" s="748" t="s">
        <v>356</v>
      </c>
      <c r="O2378" s="748" t="s">
        <v>3061</v>
      </c>
      <c r="P2378" s="748">
        <f>'Part VIII-Threshold Criteria'!P330</f>
        <v>0</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3210</v>
      </c>
      <c r="C2380" s="748" t="s">
        <v>1058</v>
      </c>
      <c r="O2380" s="748" t="s">
        <v>3210</v>
      </c>
      <c r="P2380" s="748" t="str">
        <f>'Part VIII-Threshold Criteria'!P332</f>
        <v>Yes</v>
      </c>
      <c r="Q2380" s="748">
        <f>'Part VIII-Threshold Criteria'!Q332</f>
        <v>0</v>
      </c>
    </row>
    <row r="2381" spans="1:17">
      <c r="B2381" s="748" t="s">
        <v>2919</v>
      </c>
    </row>
    <row r="2382" spans="1:17">
      <c r="A2382" s="748" t="str">
        <f>'Part VIII-Threshold Criteria'!A334</f>
        <v>All of the required compliance history information is included in Tab 38.</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1553</v>
      </c>
      <c r="O2389" s="748" t="s">
        <v>2921</v>
      </c>
      <c r="P2389" s="748">
        <f>'Part VIII-Threshold Criteria'!P341</f>
        <v>0</v>
      </c>
    </row>
    <row r="2390" spans="1:17">
      <c r="B2390" s="748" t="s">
        <v>3058</v>
      </c>
      <c r="C2390" s="748" t="s">
        <v>2083</v>
      </c>
      <c r="J2390" s="748" t="s">
        <v>3058</v>
      </c>
      <c r="K2390" s="748" t="str">
        <f>'Part VIII-Threshold Criteria'!K342</f>
        <v>RHA/Housing, Inc.</v>
      </c>
      <c r="P2390" s="748">
        <f>'Part VIII-Threshold Criteria'!P342</f>
        <v>0</v>
      </c>
      <c r="Q2390" s="748">
        <f>'Part VIII-Threshold Criteria'!Q342</f>
        <v>0</v>
      </c>
    </row>
    <row r="2391" spans="1:17">
      <c r="B2391" s="748" t="s">
        <v>3061</v>
      </c>
      <c r="C2391" s="748" t="s">
        <v>2905</v>
      </c>
      <c r="O2391" s="748" t="s">
        <v>3061</v>
      </c>
      <c r="P2391" s="748" t="str">
        <f>'Part VIII-Threshold Criteria'!P343</f>
        <v>Yes</v>
      </c>
      <c r="Q2391" s="748">
        <f>'Part VIII-Threshold Criteria'!Q343</f>
        <v>0</v>
      </c>
    </row>
    <row r="2392" spans="1:17">
      <c r="B2392" s="748" t="s">
        <v>1238</v>
      </c>
      <c r="C2392" s="748" t="s">
        <v>1554</v>
      </c>
      <c r="O2392" s="748" t="s">
        <v>1238</v>
      </c>
      <c r="P2392" s="748" t="str">
        <f>'Part VIII-Threshold Criteria'!P344</f>
        <v>Yes</v>
      </c>
      <c r="Q2392" s="748">
        <f>'Part VIII-Threshold Criteria'!Q344</f>
        <v>0</v>
      </c>
    </row>
    <row r="2393" spans="1:17">
      <c r="B2393" s="748" t="s">
        <v>3210</v>
      </c>
      <c r="C2393" s="748" t="s">
        <v>355</v>
      </c>
      <c r="O2393" s="748" t="s">
        <v>3210</v>
      </c>
      <c r="P2393" s="748" t="str">
        <f>'Part VIII-Threshold Criteria'!P345</f>
        <v>Yes</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t="str">
        <f>'Part VIII-Threshold Criteria'!P347</f>
        <v>Yes</v>
      </c>
      <c r="Q2395" s="748">
        <f>'Part VIII-Threshold Criteria'!Q347</f>
        <v>0</v>
      </c>
    </row>
    <row r="2396" spans="1:17">
      <c r="B2396" s="748" t="s">
        <v>2919</v>
      </c>
    </row>
    <row r="2397" spans="1:17">
      <c r="A2397" s="748" t="str">
        <f>'Part VIII-Threshold Criteria'!A349</f>
        <v>The Qualified Nonprofit has no interest in the development entity but will receive a part of the fee.  This agreement is included in Tab 19 of the application.</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1657</v>
      </c>
      <c r="J2402" s="748" t="s">
        <v>3058</v>
      </c>
      <c r="K2402" s="748">
        <f>'Part VIII-Threshold Criteria'!K354</f>
        <v>0</v>
      </c>
      <c r="P2402" s="748">
        <f>'Part VIII-Threshold Criteria'!P354</f>
        <v>0</v>
      </c>
      <c r="Q2402" s="748">
        <f>'Part VIII-Threshold Criteria'!Q354</f>
        <v>0</v>
      </c>
    </row>
    <row r="2403" spans="1:17">
      <c r="B2403" s="748" t="s">
        <v>3061</v>
      </c>
      <c r="C2403" s="748" t="s">
        <v>2767</v>
      </c>
      <c r="O2403" s="748" t="s">
        <v>3061</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3018</v>
      </c>
      <c r="C2408" s="748" t="s">
        <v>851</v>
      </c>
      <c r="O2408" s="748" t="s">
        <v>3018</v>
      </c>
      <c r="P2408" s="748">
        <f>'Part VIII-Threshold Criteria'!P360</f>
        <v>0</v>
      </c>
      <c r="Q2408" s="748">
        <f>'Part VIII-Threshold Criteria'!Q360</f>
        <v>0</v>
      </c>
    </row>
    <row r="2409" spans="1:17">
      <c r="B2409" s="748" t="s">
        <v>2919</v>
      </c>
    </row>
    <row r="2410" spans="1:17">
      <c r="A2410" s="748" t="str">
        <f>'Part VIII-Threshold Criteria'!A362</f>
        <v>This section is not applicable for this project.</v>
      </c>
    </row>
    <row r="2411" spans="1:17">
      <c r="B2411" s="748" t="s">
        <v>2920</v>
      </c>
    </row>
    <row r="2412" spans="1:17">
      <c r="A2412" s="748">
        <f>'Part VIII-Threshold Criteria'!A364</f>
        <v>0</v>
      </c>
    </row>
    <row r="2414" spans="1:17">
      <c r="A2414" s="748">
        <v>23</v>
      </c>
      <c r="B2414" s="748" t="s">
        <v>1082</v>
      </c>
      <c r="O2414" s="748" t="s">
        <v>2921</v>
      </c>
      <c r="P2414" s="748">
        <f>'Part VIII-Threshold Criteria'!P366</f>
        <v>0</v>
      </c>
    </row>
    <row r="2415" spans="1:17">
      <c r="B2415" s="748" t="s">
        <v>3058</v>
      </c>
      <c r="C2415" s="748" t="s">
        <v>4087</v>
      </c>
      <c r="M2415" s="748" t="s">
        <v>3058</v>
      </c>
      <c r="N2415" s="748" t="str">
        <f>'Part VIII-Threshold Criteria'!N367</f>
        <v>&lt;&lt;Select&gt;&gt;</v>
      </c>
      <c r="P2415" s="748" t="str">
        <f>'Part VIII-Threshold Criteria'!P367</f>
        <v>&lt;&lt;Select&gt;&gt;</v>
      </c>
    </row>
    <row r="2416" spans="1:17">
      <c r="B2416" s="748" t="s">
        <v>3061</v>
      </c>
      <c r="C2416" s="748" t="s">
        <v>2</v>
      </c>
      <c r="G2416" s="748" t="s">
        <v>3061</v>
      </c>
      <c r="H2416" s="748">
        <f>'Part VIII-Threshold Criteria'!H368</f>
        <v>0</v>
      </c>
      <c r="P2416" s="748">
        <f>'Part VIII-Threshold Criteria'!P368</f>
        <v>0</v>
      </c>
      <c r="Q2416" s="748">
        <f>'Part VIII-Threshold Criteria'!Q368</f>
        <v>0</v>
      </c>
    </row>
    <row r="2417" spans="1:17">
      <c r="B2417" s="748" t="s">
        <v>1238</v>
      </c>
      <c r="C2417" s="748" t="s">
        <v>2125</v>
      </c>
      <c r="O2417" s="748" t="s">
        <v>1238</v>
      </c>
      <c r="P2417" s="748">
        <f>'Part VIII-Threshold Criteria'!P369</f>
        <v>0</v>
      </c>
      <c r="Q2417" s="748">
        <f>'Part VIII-Threshold Criteria'!Q369</f>
        <v>0</v>
      </c>
    </row>
    <row r="2418" spans="1:17">
      <c r="B2418" s="748" t="s">
        <v>2919</v>
      </c>
    </row>
    <row r="2419" spans="1:17">
      <c r="A2419" s="748" t="str">
        <f>'Part VIII-Threshold Criteria'!A371</f>
        <v>This section is not applicable for this project.</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2529</v>
      </c>
      <c r="F2426" s="748" t="s">
        <v>1057</v>
      </c>
      <c r="O2426" s="748" t="s">
        <v>2921</v>
      </c>
      <c r="P2426" s="748">
        <f>'Part VIII-Threshold Criteria'!P378</f>
        <v>0</v>
      </c>
    </row>
    <row r="2427" spans="1:17">
      <c r="B2427" s="748" t="s">
        <v>3058</v>
      </c>
      <c r="C2427" s="748" t="s">
        <v>2126</v>
      </c>
      <c r="O2427" s="748" t="s">
        <v>3058</v>
      </c>
      <c r="P2427" s="748" t="str">
        <f>'Part VIII-Threshold Criteria'!P379</f>
        <v>No</v>
      </c>
      <c r="Q2427" s="748">
        <f>'Part VIII-Threshold Criteria'!Q379</f>
        <v>0</v>
      </c>
    </row>
    <row r="2428" spans="1:17">
      <c r="B2428" s="748" t="s">
        <v>3061</v>
      </c>
      <c r="C2428" s="748" t="s">
        <v>1241</v>
      </c>
      <c r="O2428" s="748" t="s">
        <v>3061</v>
      </c>
      <c r="P2428" s="748" t="str">
        <f>'Part VIII-Threshold Criteria'!P380</f>
        <v>No</v>
      </c>
      <c r="Q2428" s="748">
        <f>'Part VIII-Threshold Criteria'!Q380</f>
        <v>0</v>
      </c>
    </row>
    <row r="2429" spans="1:17">
      <c r="B2429" s="748" t="s">
        <v>1238</v>
      </c>
      <c r="C2429" s="748" t="s">
        <v>1242</v>
      </c>
      <c r="O2429" s="748" t="s">
        <v>1238</v>
      </c>
      <c r="P2429" s="748" t="str">
        <f>'Part VIII-Threshold Criteria'!P381</f>
        <v>Yes</v>
      </c>
      <c r="Q2429" s="748">
        <f>'Part VIII-Threshold Criteria'!Q381</f>
        <v>0</v>
      </c>
    </row>
    <row r="2430" spans="1:17">
      <c r="B2430" s="748" t="s">
        <v>3210</v>
      </c>
      <c r="C2430" s="748" t="s">
        <v>877</v>
      </c>
      <c r="O2430" s="748" t="s">
        <v>3210</v>
      </c>
      <c r="P2430" s="748" t="str">
        <f>'Part VIII-Threshold Criteria'!P382</f>
        <v>No</v>
      </c>
      <c r="Q2430" s="748">
        <f>'Part VIII-Threshold Criteria'!Q382</f>
        <v>0</v>
      </c>
    </row>
    <row r="2431" spans="1:17">
      <c r="B2431" s="748" t="s">
        <v>2762</v>
      </c>
      <c r="C2431" s="748" t="s">
        <v>3173</v>
      </c>
      <c r="G2431" s="748" t="s">
        <v>2762</v>
      </c>
      <c r="H2431" s="748" t="str">
        <f>'Part VIII-Threshold Criteria'!H383</f>
        <v>N/A</v>
      </c>
      <c r="P2431" s="748">
        <f>'Part VIII-Threshold Criteria'!P383</f>
        <v>0</v>
      </c>
      <c r="Q2431" s="748">
        <f>'Part VIII-Threshold Criteria'!Q383</f>
        <v>0</v>
      </c>
    </row>
    <row r="2432" spans="1:17">
      <c r="B2432" s="748" t="s">
        <v>2919</v>
      </c>
    </row>
    <row r="2433" spans="1:17">
      <c r="A2433" s="748" t="str">
        <f>'Part VIII-Threshold Criteria'!A385</f>
        <v>The required legal opinion is included in Tab 2</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4088</v>
      </c>
      <c r="O2438" s="748" t="s">
        <v>3058</v>
      </c>
      <c r="P2438" s="748" t="str">
        <f>'Part VIII-Threshold Criteria'!P390</f>
        <v>Agree</v>
      </c>
      <c r="Q2438" s="748">
        <f>'Part VIII-Threshold Criteria'!Q390</f>
        <v>0</v>
      </c>
    </row>
    <row r="2439" spans="1:17">
      <c r="B2439" s="748" t="s">
        <v>3061</v>
      </c>
      <c r="C2439" s="748" t="s">
        <v>852</v>
      </c>
      <c r="O2439" s="748" t="s">
        <v>3061</v>
      </c>
      <c r="P2439" s="748" t="str">
        <f>'Part VIII-Threshold Criteria'!P391</f>
        <v>Yes</v>
      </c>
      <c r="Q2439" s="748">
        <f>'Part VIII-Threshold Criteria'!Q391</f>
        <v>0</v>
      </c>
    </row>
    <row r="2440" spans="1:17">
      <c r="B2440" s="748" t="s">
        <v>2919</v>
      </c>
      <c r="K2440" s="748" t="s">
        <v>2920</v>
      </c>
    </row>
    <row r="2441" spans="1:17">
      <c r="A2441" s="748" t="str">
        <f>'Part VIII-Threshold Criteria'!A393</f>
        <v>This information is included in Tab 39 of the Application</v>
      </c>
      <c r="K2441" s="748">
        <f>'Part VIII-Threshold Criteria'!K393</f>
        <v>0</v>
      </c>
    </row>
    <row r="2443" spans="1:17">
      <c r="A2443" s="748">
        <v>26</v>
      </c>
      <c r="B2443" s="748" t="s">
        <v>2004</v>
      </c>
      <c r="O2443" s="748" t="s">
        <v>2921</v>
      </c>
      <c r="P2443" s="748">
        <f>'Part VIII-Threshold Criteria'!P395</f>
        <v>0</v>
      </c>
    </row>
    <row r="2444" spans="1:17">
      <c r="B2444" s="748" t="s">
        <v>3058</v>
      </c>
      <c r="C2444" s="748" t="s">
        <v>1243</v>
      </c>
      <c r="O2444" s="748" t="s">
        <v>3058</v>
      </c>
      <c r="P2444" s="748" t="str">
        <f>'Part VIII-Threshold Criteria'!P396</f>
        <v>No</v>
      </c>
      <c r="Q2444" s="748">
        <f>'Part VIII-Threshold Criteria'!Q396</f>
        <v>0</v>
      </c>
    </row>
    <row r="2445" spans="1:17">
      <c r="B2445" s="748" t="s">
        <v>3061</v>
      </c>
      <c r="C2445" s="748" t="s">
        <v>3312</v>
      </c>
      <c r="O2445" s="748" t="s">
        <v>2170</v>
      </c>
      <c r="P2445" s="748">
        <f>'Part VIII-Threshold Criteria'!P397</f>
        <v>0</v>
      </c>
      <c r="Q2445" s="748">
        <f>'Part VIII-Threshold Criteria'!Q397</f>
        <v>0</v>
      </c>
    </row>
    <row r="2446" spans="1:17">
      <c r="C2446" s="748" t="s">
        <v>2226</v>
      </c>
    </row>
    <row r="2447" spans="1:17">
      <c r="C2447" s="748" t="s">
        <v>3313</v>
      </c>
      <c r="O2447" s="748" t="s">
        <v>2765</v>
      </c>
      <c r="P2447" s="748">
        <f>'Part VIII-Threshold Criteria'!P399</f>
        <v>0</v>
      </c>
      <c r="Q2447" s="748">
        <f>'Part VIII-Threshold Criteria'!Q399</f>
        <v>0</v>
      </c>
    </row>
    <row r="2448" spans="1:17">
      <c r="B2448" s="748" t="s">
        <v>1238</v>
      </c>
      <c r="C2448" s="748" t="s">
        <v>3311</v>
      </c>
      <c r="O2448" s="748" t="s">
        <v>1238</v>
      </c>
      <c r="P2448" s="748">
        <f>'Part VIII-Threshold Criteria'!P400</f>
        <v>0</v>
      </c>
      <c r="Q2448" s="748">
        <f>'Part VIII-Threshold Criteria'!Q400</f>
        <v>0</v>
      </c>
    </row>
    <row r="2449" spans="1:17">
      <c r="B2449" s="748" t="s">
        <v>3210</v>
      </c>
      <c r="C2449" s="748" t="s">
        <v>151</v>
      </c>
      <c r="O2449" s="748" t="s">
        <v>3210</v>
      </c>
    </row>
    <row r="2450" spans="1:17">
      <c r="C2450" s="748" t="s">
        <v>3314</v>
      </c>
      <c r="O2450" s="748" t="s">
        <v>2764</v>
      </c>
      <c r="P2450" s="748">
        <f>'Part VIII-Threshold Criteria'!P402</f>
        <v>0</v>
      </c>
      <c r="Q2450" s="748" t="str">
        <f>'Part VIII-Threshold Criteria'!Q402</f>
        <v xml:space="preserve"> </v>
      </c>
    </row>
    <row r="2451" spans="1:17">
      <c r="C2451" s="748" t="s">
        <v>3315</v>
      </c>
      <c r="O2451" s="748" t="s">
        <v>2765</v>
      </c>
      <c r="P2451" s="748">
        <f>'Part VIII-Threshold Criteria'!P403</f>
        <v>0</v>
      </c>
      <c r="Q2451" s="748">
        <f>'Part VIII-Threshold Criteria'!Q403</f>
        <v>0</v>
      </c>
    </row>
    <row r="2452" spans="1:17">
      <c r="C2452" s="748" t="s">
        <v>3316</v>
      </c>
      <c r="O2452" s="748" t="s">
        <v>2766</v>
      </c>
      <c r="P2452" s="748">
        <f>'Part VIII-Threshold Criteria'!P404</f>
        <v>0</v>
      </c>
      <c r="Q2452" s="748" t="str">
        <f>'Part VIII-Threshold Criteria'!Q404</f>
        <v xml:space="preserve"> </v>
      </c>
    </row>
    <row r="2453" spans="1:17">
      <c r="C2453" s="748" t="s">
        <v>3317</v>
      </c>
      <c r="O2453" s="748" t="s">
        <v>3569</v>
      </c>
      <c r="P2453" s="748">
        <f>'Part VIII-Threshold Criteria'!P405</f>
        <v>0</v>
      </c>
      <c r="Q2453" s="748" t="str">
        <f>'Part VIII-Threshold Criteria'!Q405</f>
        <v xml:space="preserve"> </v>
      </c>
    </row>
    <row r="2454" spans="1:17">
      <c r="C2454" s="748" t="s">
        <v>3318</v>
      </c>
      <c r="O2454" s="748" t="s">
        <v>2303</v>
      </c>
      <c r="P2454" s="748">
        <f>'Part VIII-Threshold Criteria'!P406</f>
        <v>0</v>
      </c>
      <c r="Q2454" s="748" t="str">
        <f>'Part VIII-Threshold Criteria'!Q406</f>
        <v xml:space="preserve"> </v>
      </c>
    </row>
    <row r="2455" spans="1:17">
      <c r="B2455" s="748" t="s">
        <v>2762</v>
      </c>
      <c r="C2455" s="748" t="s">
        <v>3612</v>
      </c>
      <c r="O2455" s="748" t="s">
        <v>2762</v>
      </c>
    </row>
    <row r="2456" spans="1:17">
      <c r="C2456" s="748" t="s">
        <v>3319</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This section is not applicable</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887</v>
      </c>
      <c r="O2469" s="748" t="s">
        <v>3058</v>
      </c>
      <c r="P2469" s="748" t="str">
        <f>'Part VIII-Threshold Criteria'!P421</f>
        <v>Agree</v>
      </c>
      <c r="Q2469" s="748">
        <f>'Part VIII-Threshold Criteria'!Q421</f>
        <v>0</v>
      </c>
    </row>
    <row r="2470" spans="1:17">
      <c r="B2470" s="748" t="s">
        <v>3061</v>
      </c>
      <c r="C2470" s="748" t="s">
        <v>888</v>
      </c>
      <c r="O2470" s="748" t="s">
        <v>3061</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2919</v>
      </c>
    </row>
    <row r="2473" spans="1:17">
      <c r="A2473" s="748" t="str">
        <f>'Part VIII-Threshold Criteria'!A425</f>
        <v>If selected for funding, Applicant agrees to prepare and submit all of the required documentation and to market to populations with disabilities or the homeless.</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2921</v>
      </c>
      <c r="P2481" s="748">
        <f>'Part VIII-Threshold Criteria'!P433</f>
        <v>0</v>
      </c>
    </row>
    <row r="2482" spans="1:16">
      <c r="B2482" s="748" t="s">
        <v>2919</v>
      </c>
    </row>
    <row r="2483" spans="1:16">
      <c r="A2483" s="748" t="str">
        <f>'Part VIII-Threshold Criteria'!A435</f>
        <v xml:space="preserve">We believe that the utilization of resources in the project and the ability to share expenses with Phase I meets and/or exceeds DCA's requirements. </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2011-038 Thomson Estates, ,  County</v>
      </c>
    </row>
    <row r="2495" spans="1:16">
      <c r="M2495" s="748" t="s">
        <v>3335</v>
      </c>
      <c r="O2495" s="748" t="s">
        <v>3334</v>
      </c>
      <c r="P2495" s="748" t="s">
        <v>334</v>
      </c>
    </row>
    <row r="2496" spans="1:16">
      <c r="M2496" s="748" t="s">
        <v>104</v>
      </c>
      <c r="O2496" s="748" t="s">
        <v>3335</v>
      </c>
      <c r="P2496" s="748" t="s">
        <v>3335</v>
      </c>
    </row>
    <row r="2498" spans="1:17">
      <c r="L2498" s="748" t="s">
        <v>1887</v>
      </c>
      <c r="M2498" s="748">
        <v>108</v>
      </c>
      <c r="O2498" s="748">
        <f>O2786</f>
        <v>59</v>
      </c>
      <c r="P2498" s="748">
        <f>P2786</f>
        <v>13</v>
      </c>
    </row>
    <row r="2500" spans="1:17">
      <c r="A2500" s="748" t="s">
        <v>3062</v>
      </c>
      <c r="B2500" s="748" t="s">
        <v>1671</v>
      </c>
      <c r="H2500" s="748" t="s">
        <v>2523</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1215</v>
      </c>
      <c r="F2503" s="748" t="s">
        <v>3893</v>
      </c>
      <c r="G2503" s="748">
        <f>K2509</f>
        <v>0</v>
      </c>
      <c r="H2503" s="748" t="s">
        <v>4089</v>
      </c>
      <c r="M2503" s="748">
        <v>0</v>
      </c>
      <c r="N2503" s="748" t="s">
        <v>3061</v>
      </c>
      <c r="O2503" s="748">
        <f>'Part IX A-Scoring Criteria'!O11</f>
        <v>0</v>
      </c>
      <c r="P2503" s="748">
        <f>'Part IX A-Scoring Criteria'!P11</f>
        <v>0</v>
      </c>
    </row>
    <row r="2504" spans="1:17">
      <c r="A2504" s="748" t="s">
        <v>1238</v>
      </c>
      <c r="B2504" s="748" t="s">
        <v>3208</v>
      </c>
      <c r="F2504" s="748" t="s">
        <v>3893</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15" customHeight="1">
      <c r="A2507" s="748">
        <f>'Part IX A-Scoring Criteria'!A15</f>
        <v>0</v>
      </c>
    </row>
    <row r="2508" spans="1:17" ht="13.15" customHeight="1">
      <c r="A2508" s="748" t="s">
        <v>2920</v>
      </c>
      <c r="F2508" s="748" t="s">
        <v>2739</v>
      </c>
      <c r="K2508" s="748" t="s">
        <v>2739</v>
      </c>
      <c r="P2508" s="748" t="s">
        <v>2739</v>
      </c>
    </row>
    <row r="2509" spans="1:17">
      <c r="A2509" s="748" t="s">
        <v>3637</v>
      </c>
      <c r="E2509" s="748" t="s">
        <v>785</v>
      </c>
      <c r="F2509" s="748">
        <f>SUM(F2510:F2521)</f>
        <v>0</v>
      </c>
      <c r="G2509" s="748" t="s">
        <v>3638</v>
      </c>
      <c r="J2509" s="748" t="s">
        <v>785</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6</v>
      </c>
      <c r="L2524" s="748" t="s">
        <v>1939</v>
      </c>
      <c r="M2524" s="748">
        <f>IF(OR('Part VI-Revenues &amp; Expenses'!$M$61="", 'Part VI-Revenues &amp; Expenses'!$M$61=0),"",J2524/'Part VI-Revenues &amp; Expenses'!$M$61)</f>
        <v>0.16216216216216217</v>
      </c>
    </row>
    <row r="2525" spans="1:18">
      <c r="B2525" s="748" t="s">
        <v>333</v>
      </c>
    </row>
    <row r="2526" spans="1:18">
      <c r="A2526" s="748">
        <f>'Part IX A-Scoring Criteria'!A34</f>
        <v>0</v>
      </c>
    </row>
    <row r="2527" spans="1:18">
      <c r="B2527" s="748" t="s">
        <v>2920</v>
      </c>
    </row>
    <row r="2528" spans="1:18">
      <c r="A2528" s="748">
        <f>'Part IX A-Scoring Criteria'!A36</f>
        <v>0</v>
      </c>
    </row>
    <row r="2530" spans="1:17">
      <c r="A2530" s="748" t="s">
        <v>3821</v>
      </c>
      <c r="B2530" s="748" t="s">
        <v>2928</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1238</v>
      </c>
      <c r="B2535" s="748" t="s">
        <v>2932</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The documentation of Desirable's are located in Tab 24 of the application.   There is a Wal-Mart Supercenter 0.5 Mile(s) from the site which Applicant has utilized to claim the 2 Bonus points.  We do not believe there are any undesirable conditions and therefore have not deducted any points.</v>
      </c>
      <c r="Q2538" s="748" t="s">
        <v>1932</v>
      </c>
    </row>
    <row r="2539" spans="1:17" ht="13.15" customHeight="1">
      <c r="A2539" s="748">
        <f>'Part IX A-Scoring Criteria'!A47</f>
        <v>0</v>
      </c>
    </row>
    <row r="2540" spans="1:17" ht="13.15" customHeight="1">
      <c r="A2540" s="748">
        <f>'Part IX A-Scoring Criteria'!A48</f>
        <v>0</v>
      </c>
    </row>
    <row r="2541" spans="1:17">
      <c r="B2541" s="748" t="s">
        <v>2920</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2939</v>
      </c>
      <c r="M2547" s="748">
        <v>2</v>
      </c>
      <c r="O2547" s="748">
        <f>MIN($M2547,(O2548+O2549))</f>
        <v>0</v>
      </c>
      <c r="P2547" s="748">
        <f>MIN($M2547,(P2548+P2549))</f>
        <v>0</v>
      </c>
      <c r="Q2547" s="748" t="s">
        <v>651</v>
      </c>
    </row>
    <row r="2548" spans="1:17">
      <c r="A2548" s="748" t="s">
        <v>3058</v>
      </c>
      <c r="B2548" s="748" t="s">
        <v>1709</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1710</v>
      </c>
      <c r="L2549" s="748" t="str">
        <f>IF(OR($O2549=$M2549,$O2549=0,$O2549=""),"","* * Check Score! * *")</f>
        <v/>
      </c>
      <c r="M2549" s="748">
        <v>1</v>
      </c>
      <c r="N2549" s="748" t="s">
        <v>3061</v>
      </c>
      <c r="O2549" s="748">
        <f>'Part IX A-Scoring Criteria'!O57</f>
        <v>0</v>
      </c>
      <c r="P2549" s="748">
        <f>'Part IX A-Scoring Criteria'!P57</f>
        <v>0</v>
      </c>
    </row>
    <row r="2550" spans="1:17">
      <c r="B2550" s="748" t="s">
        <v>333</v>
      </c>
    </row>
    <row r="2551" spans="1:17">
      <c r="A2551" s="748" t="str">
        <f>'Part IX A-Scoring Criteria'!A59</f>
        <v>Not applicable.</v>
      </c>
    </row>
    <row r="2552" spans="1:17">
      <c r="B2552" s="748" t="s">
        <v>2920</v>
      </c>
    </row>
    <row r="2553" spans="1:17">
      <c r="A2553" s="748">
        <f>'Part IX A-Scoring Criteria'!A61</f>
        <v>0</v>
      </c>
    </row>
    <row r="2554" spans="1:17">
      <c r="A2554" s="748">
        <f>'Part IX A-Scoring Criteria'!A62</f>
        <v>0</v>
      </c>
    </row>
    <row r="2556" spans="1:17" ht="12.6" customHeight="1">
      <c r="A2556" s="748" t="s">
        <v>1886</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t="str">
        <f>'Part IX A-Scoring Criteria'!A69</f>
        <v>Not applicable.</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2090</v>
      </c>
      <c r="I2566" s="748" t="s">
        <v>2939</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t="str">
        <f>'Part IX A-Scoring Criteria'!A77</f>
        <v>Not applicable.</v>
      </c>
    </row>
    <row r="2570" spans="1:18">
      <c r="B2570" s="748" t="s">
        <v>2920</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2658</v>
      </c>
      <c r="O2575" s="748" t="str">
        <f>'Part IX A-Scoring Criteria'!O83</f>
        <v>Yes</v>
      </c>
      <c r="P2575" s="748">
        <f>'Part IX A-Scoring Criteria'!P83</f>
        <v>0</v>
      </c>
    </row>
    <row r="2576" spans="1:18" ht="14.45" customHeight="1">
      <c r="B2576" s="748" t="s">
        <v>3058</v>
      </c>
      <c r="C2576" s="748" t="s">
        <v>1569</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1570</v>
      </c>
      <c r="M2577" s="748" t="str">
        <f>IF(AND($I$89="Stable Communities &lt; 10%",O2577=""), "X","")</f>
        <v/>
      </c>
      <c r="N2577" s="748" t="s">
        <v>3061</v>
      </c>
      <c r="O2577" s="748" t="str">
        <f>'Part IX A-Scoring Criteria'!O85</f>
        <v>Agree</v>
      </c>
      <c r="P2577" s="748">
        <f>'Part IX A-Scoring Criteria'!P85</f>
        <v>0</v>
      </c>
    </row>
    <row r="2578" spans="1:17" ht="13.15" customHeight="1">
      <c r="B2578" s="748" t="s">
        <v>333</v>
      </c>
    </row>
    <row r="2579" spans="1:17">
      <c r="A2579" s="748" t="str">
        <f>'Part IX A-Scoring Criteria'!A87</f>
        <v>The scoring worksheet supporting these points is located in Tab 28 of the application.</v>
      </c>
    </row>
    <row r="2580" spans="1:17">
      <c r="A2580" s="748" t="str">
        <f>'Part IX A-Scoring Criteria'!A88</f>
        <v>Applicant agrees to educate the tenants, management and maintenance staff and provide the applicable manuals as stated above.</v>
      </c>
    </row>
    <row r="2581" spans="1:17">
      <c r="B2581" s="748" t="s">
        <v>2920</v>
      </c>
    </row>
    <row r="2582" spans="1:17">
      <c r="A2582" s="748">
        <f>'Part IX A-Scoring Criteria'!A90</f>
        <v>0</v>
      </c>
    </row>
    <row r="2583" spans="1:17">
      <c r="A2583" s="748">
        <f>'Part IX A-Scoring Criteria'!A91</f>
        <v>0</v>
      </c>
    </row>
    <row r="2585" spans="1:17">
      <c r="A2585" s="748" t="s">
        <v>744</v>
      </c>
      <c r="B2585" s="748" t="s">
        <v>3639</v>
      </c>
      <c r="I2585" s="748" t="str">
        <f>'Part IX A-Scoring Criteria'!I93</f>
        <v>Statutory Redevelopment Plan</v>
      </c>
      <c r="M2585" s="748">
        <v>6</v>
      </c>
      <c r="O2585" s="748">
        <f>'Part IX A-Scoring Criteria'!O93</f>
        <v>2</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
      </c>
      <c r="B2588" s="748" t="s">
        <v>3062</v>
      </c>
      <c r="C2588" s="748" t="s">
        <v>867</v>
      </c>
      <c r="O2588" s="748" t="s">
        <v>3793</v>
      </c>
      <c r="P2588" s="748" t="s">
        <v>3793</v>
      </c>
    </row>
    <row r="2589" spans="1:17">
      <c r="B2589" s="748" t="s">
        <v>3680</v>
      </c>
      <c r="C2589" s="748" t="s">
        <v>3620</v>
      </c>
      <c r="G2589" s="748" t="s">
        <v>3621</v>
      </c>
      <c r="M2589" s="748" t="str">
        <f>IF(AND($I$89="Stable Communities &lt; 10%",O2589=""), "X","")</f>
        <v/>
      </c>
      <c r="N2589" s="748" t="s">
        <v>3680</v>
      </c>
      <c r="O2589" s="748" t="str">
        <f>'Part IX A-Scoring Criteria'!O97</f>
        <v>N/a</v>
      </c>
      <c r="P2589" s="748">
        <f>'Part IX A-Scoring Criteria'!P97</f>
        <v>0</v>
      </c>
    </row>
    <row r="2590" spans="1:17">
      <c r="B2590" s="748" t="s">
        <v>3681</v>
      </c>
      <c r="C2590" s="748" t="s">
        <v>3622</v>
      </c>
      <c r="G2590" s="748" t="s">
        <v>3623</v>
      </c>
      <c r="M2590" s="748" t="str">
        <f>IF(AND($I$89="Stable Communities &lt; 10%",O2590=""), "X","")</f>
        <v/>
      </c>
      <c r="N2590" s="748" t="s">
        <v>3681</v>
      </c>
      <c r="O2590" s="748" t="str">
        <f>'Part IX A-Scoring Criteria'!O98</f>
        <v>N/a</v>
      </c>
      <c r="P2590" s="748">
        <f>'Part IX A-Scoring Criteria'!P98</f>
        <v>0</v>
      </c>
    </row>
    <row r="2591" spans="1:17">
      <c r="B2591" s="748" t="s">
        <v>3684</v>
      </c>
      <c r="C2591" s="748" t="s">
        <v>2190</v>
      </c>
      <c r="M2591" s="748" t="str">
        <f>IF(AND($I$89="Stable Communities &lt; 10%",O2591=""), "X","")</f>
        <v/>
      </c>
      <c r="N2591" s="748" t="s">
        <v>3684</v>
      </c>
      <c r="O2591" s="748" t="str">
        <f>'Part IX A-Scoring Criteria'!O99</f>
        <v>N/a</v>
      </c>
      <c r="P2591" s="748">
        <f>'Part IX A-Scoring Criteria'!P99</f>
        <v>0</v>
      </c>
    </row>
    <row r="2592" spans="1:17">
      <c r="A2592" s="748" t="str">
        <f>'Part IX A-Scoring Criteria'!A100</f>
        <v/>
      </c>
      <c r="B2592" s="748" t="s">
        <v>3064</v>
      </c>
      <c r="C2592" s="748" t="s">
        <v>867</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N/a</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N/a</v>
      </c>
      <c r="P2594" s="748">
        <f>'Part IX A-Scoring Criteria'!P102</f>
        <v>0</v>
      </c>
    </row>
    <row r="2595" spans="1:16">
      <c r="B2595" s="748" t="s">
        <v>3684</v>
      </c>
      <c r="C2595" s="748" t="s">
        <v>2190</v>
      </c>
      <c r="M2595" s="748" t="str">
        <f>IF(AND($I$89="Stable Communities &lt; 20%",O2595=""), "X","")</f>
        <v/>
      </c>
      <c r="N2595" s="748" t="s">
        <v>3684</v>
      </c>
      <c r="O2595" s="748" t="str">
        <f>'Part IX A-Scoring Criteria'!O103</f>
        <v>N/a</v>
      </c>
      <c r="P2595" s="748">
        <f>'Part IX A-Scoring Criteria'!P103</f>
        <v>0</v>
      </c>
    </row>
    <row r="2596" spans="1:16">
      <c r="A2596" s="748" t="s">
        <v>3061</v>
      </c>
      <c r="B2596" s="748" t="s">
        <v>346</v>
      </c>
      <c r="M2596" s="748">
        <v>6</v>
      </c>
    </row>
    <row r="2597" spans="1:16">
      <c r="A2597" s="748" t="str">
        <f>'Part IX A-Scoring Criteria'!A105</f>
        <v/>
      </c>
      <c r="B2597" s="748" t="s">
        <v>3062</v>
      </c>
      <c r="C2597" s="748" t="s">
        <v>4090</v>
      </c>
      <c r="O2597" s="748" t="s">
        <v>3793</v>
      </c>
      <c r="P2597" s="748" t="s">
        <v>3793</v>
      </c>
    </row>
    <row r="2598" spans="1:16">
      <c r="B2598" s="748" t="s">
        <v>3680</v>
      </c>
      <c r="C2598" s="748" t="s">
        <v>913</v>
      </c>
      <c r="M2598" s="748" t="str">
        <f>IF(AND($I$89="HOPE VI Initiative",O2598=""), "X","")</f>
        <v/>
      </c>
      <c r="N2598" s="748" t="s">
        <v>3680</v>
      </c>
      <c r="O2598" s="748" t="str">
        <f>'Part IX A-Scoring Criteria'!O106</f>
        <v>N/a</v>
      </c>
      <c r="P2598" s="748">
        <f>'Part IX A-Scoring Criteria'!P106</f>
        <v>0</v>
      </c>
    </row>
    <row r="2599" spans="1:16">
      <c r="B2599" s="748" t="s">
        <v>3681</v>
      </c>
      <c r="C2599" s="748" t="s">
        <v>914</v>
      </c>
      <c r="M2599" s="748" t="str">
        <f>IF(AND($I$89="HOPE VI Initiative",O2599=""), "X","")</f>
        <v/>
      </c>
      <c r="N2599" s="748" t="s">
        <v>3681</v>
      </c>
      <c r="O2599" s="748" t="str">
        <f>'Part IX A-Scoring Criteria'!O107</f>
        <v>N/a</v>
      </c>
      <c r="P2599" s="748">
        <f>'Part IX A-Scoring Criteria'!P107</f>
        <v>0</v>
      </c>
    </row>
    <row r="2600" spans="1:16">
      <c r="B2600" s="748" t="s">
        <v>3682</v>
      </c>
      <c r="C2600" s="748" t="s">
        <v>915</v>
      </c>
      <c r="M2600" s="748" t="str">
        <f>IF(AND($I$89="HOPE VI Initiative",O2600=""), "X","")</f>
        <v/>
      </c>
      <c r="N2600" s="748" t="s">
        <v>3682</v>
      </c>
      <c r="O2600" s="748" t="str">
        <f>'Part IX A-Scoring Criteria'!O108</f>
        <v>N/a</v>
      </c>
      <c r="P2600" s="748">
        <f>'Part IX A-Scoring Criteria'!P108</f>
        <v>0</v>
      </c>
    </row>
    <row r="2601" spans="1:16">
      <c r="B2601" s="748" t="s">
        <v>3683</v>
      </c>
      <c r="C2601" s="748" t="s">
        <v>916</v>
      </c>
      <c r="M2601" s="748" t="str">
        <f>IF(AND($I$89="HOPE VI Initiative",O2601=""), "X","")</f>
        <v/>
      </c>
      <c r="N2601" s="748" t="s">
        <v>3683</v>
      </c>
      <c r="O2601" s="748" t="str">
        <f>'Part IX A-Scoring Criteria'!O109</f>
        <v>N/a</v>
      </c>
      <c r="P2601" s="748">
        <f>'Part IX A-Scoring Criteria'!P109</f>
        <v>0</v>
      </c>
    </row>
    <row r="2602" spans="1:16">
      <c r="B2602" s="748" t="s">
        <v>3064</v>
      </c>
      <c r="C2602" s="748" t="s">
        <v>539</v>
      </c>
      <c r="G2602" s="748" t="s">
        <v>920</v>
      </c>
      <c r="N2602" s="748" t="s">
        <v>3064</v>
      </c>
      <c r="O2602" s="748" t="str">
        <f>'Part IX A-Scoring Criteria'!O110</f>
        <v>Yes</v>
      </c>
      <c r="P2602" s="748">
        <f>'Part IX A-Scoring Criteria'!P110</f>
        <v>0</v>
      </c>
    </row>
    <row r="2603" spans="1:16">
      <c r="A2603" s="748" t="str">
        <f>'Part IX A-Scoring Criteria'!A111</f>
        <v/>
      </c>
      <c r="B2603" s="748" t="s">
        <v>3821</v>
      </c>
      <c r="C2603" s="748" t="s">
        <v>540</v>
      </c>
      <c r="G2603" s="748" t="s">
        <v>1650</v>
      </c>
      <c r="H2603" s="748" t="str">
        <f>'Part IX A-Scoring Criteria'!H111</f>
        <v>QCT</v>
      </c>
      <c r="I2603" s="748" t="s">
        <v>1562</v>
      </c>
      <c r="J2603" s="748">
        <f>'Part IX A-Scoring Criteria'!J111</f>
        <v>13189950200</v>
      </c>
      <c r="N2603" s="748" t="s">
        <v>3821</v>
      </c>
      <c r="O2603" s="748" t="str">
        <f>'Part IX A-Scoring Criteria'!O111</f>
        <v>Yes</v>
      </c>
      <c r="P2603" s="748">
        <f>'Part IX A-Scoring Criteria'!P111</f>
        <v>0</v>
      </c>
    </row>
    <row r="2604" spans="1:16">
      <c r="A2604" s="748" t="str">
        <f>'Part IX A-Scoring Criteria'!A112</f>
        <v/>
      </c>
      <c r="B2604" s="748" t="s">
        <v>1885</v>
      </c>
      <c r="C2604" s="748" t="s">
        <v>3609</v>
      </c>
      <c r="G2604" s="748" t="s">
        <v>636</v>
      </c>
      <c r="H2604" s="748">
        <f>'Part IX A-Scoring Criteria'!H112</f>
        <v>0</v>
      </c>
      <c r="N2604" s="748" t="s">
        <v>1885</v>
      </c>
      <c r="O2604" s="748" t="str">
        <f>'Part IX A-Scoring Criteria'!O112</f>
        <v>N/a</v>
      </c>
      <c r="P2604" s="748">
        <f>'Part IX A-Scoring Criteria'!P112</f>
        <v>0</v>
      </c>
    </row>
    <row r="2605" spans="1:16">
      <c r="B2605" s="748" t="s">
        <v>3680</v>
      </c>
      <c r="C2605" s="748" t="s">
        <v>921</v>
      </c>
      <c r="G2605" s="748" t="s">
        <v>919</v>
      </c>
      <c r="H2605" s="748">
        <f>'Part IX A-Scoring Criteria'!H113</f>
        <v>0</v>
      </c>
      <c r="M2605" s="748" t="str">
        <f>IF(AND($I$89="Local Redevelopment Plan",O2605=""), "X","")</f>
        <v/>
      </c>
      <c r="N2605" s="748" t="s">
        <v>3680</v>
      </c>
      <c r="O2605" s="748" t="str">
        <f>'Part IX A-Scoring Criteria'!O113</f>
        <v>N/a</v>
      </c>
      <c r="P2605" s="748">
        <f>'Part IX A-Scoring Criteria'!P113</f>
        <v>0</v>
      </c>
    </row>
    <row r="2606" spans="1:16">
      <c r="B2606" s="748" t="s">
        <v>3681</v>
      </c>
      <c r="C2606" s="748" t="s">
        <v>3709</v>
      </c>
      <c r="N2606" s="748" t="s">
        <v>3681</v>
      </c>
      <c r="O2606" s="748" t="str">
        <f>'Part IX A-Scoring Criteria'!O114</f>
        <v>N/a</v>
      </c>
      <c r="P2606" s="748">
        <f>'Part IX A-Scoring Criteria'!P114</f>
        <v>0</v>
      </c>
    </row>
    <row r="2607" spans="1:16">
      <c r="B2607" s="748" t="s">
        <v>3682</v>
      </c>
      <c r="C2607" s="748" t="s">
        <v>3710</v>
      </c>
      <c r="M2607" s="748" t="str">
        <f t="shared" ref="M2607:M2616" si="374">IF(AND($I$89="Local Redevelopment Plan",O2607=""), "X","")</f>
        <v/>
      </c>
      <c r="N2607" s="748" t="s">
        <v>3682</v>
      </c>
      <c r="O2607" s="748" t="str">
        <f>'Part IX A-Scoring Criteria'!O115</f>
        <v>N/a</v>
      </c>
      <c r="P2607" s="748">
        <f>'Part IX A-Scoring Criteria'!P115</f>
        <v>0</v>
      </c>
    </row>
    <row r="2608" spans="1:16">
      <c r="B2608" s="748" t="s">
        <v>3683</v>
      </c>
      <c r="C2608" s="748" t="s">
        <v>3711</v>
      </c>
      <c r="M2608" s="748" t="str">
        <f t="shared" si="374"/>
        <v/>
      </c>
      <c r="N2608" s="748" t="s">
        <v>3683</v>
      </c>
      <c r="O2608" s="748" t="str">
        <f>'Part IX A-Scoring Criteria'!O116</f>
        <v>N/a</v>
      </c>
      <c r="P2608" s="748">
        <f>'Part IX A-Scoring Criteria'!P116</f>
        <v>0</v>
      </c>
    </row>
    <row r="2609" spans="1:17">
      <c r="B2609" s="748" t="s">
        <v>3684</v>
      </c>
      <c r="C2609" s="748" t="s">
        <v>3712</v>
      </c>
      <c r="M2609" s="748" t="str">
        <f t="shared" si="374"/>
        <v/>
      </c>
      <c r="N2609" s="748" t="s">
        <v>3684</v>
      </c>
      <c r="O2609" s="748" t="str">
        <f>'Part IX A-Scoring Criteria'!O117</f>
        <v>N/a</v>
      </c>
      <c r="P2609" s="748">
        <f>'Part IX A-Scoring Criteria'!P117</f>
        <v>0</v>
      </c>
    </row>
    <row r="2610" spans="1:17">
      <c r="B2610" s="748" t="s">
        <v>3707</v>
      </c>
      <c r="C2610" s="748" t="s">
        <v>3713</v>
      </c>
      <c r="M2610" s="748" t="str">
        <f t="shared" si="374"/>
        <v/>
      </c>
      <c r="N2610" s="748" t="s">
        <v>3707</v>
      </c>
      <c r="O2610" s="748" t="str">
        <f>'Part IX A-Scoring Criteria'!O118</f>
        <v>N/a</v>
      </c>
      <c r="P2610" s="748">
        <f>'Part IX A-Scoring Criteria'!P118</f>
        <v>0</v>
      </c>
    </row>
    <row r="2611" spans="1:17">
      <c r="B2611" s="748" t="s">
        <v>3708</v>
      </c>
      <c r="C2611" s="748" t="s">
        <v>3714</v>
      </c>
      <c r="M2611" s="748" t="str">
        <f t="shared" si="374"/>
        <v/>
      </c>
      <c r="N2611" s="748" t="s">
        <v>3708</v>
      </c>
      <c r="O2611" s="748" t="str">
        <f>'Part IX A-Scoring Criteria'!O119</f>
        <v>N/a</v>
      </c>
      <c r="P2611" s="748">
        <f>'Part IX A-Scoring Criteria'!P119</f>
        <v>0</v>
      </c>
    </row>
    <row r="2612" spans="1:17">
      <c r="A2612" s="748" t="str">
        <f>'Part IX A-Scoring Criteria'!A120</f>
        <v/>
      </c>
      <c r="B2612" s="748" t="s">
        <v>3718</v>
      </c>
      <c r="O2612" s="748" t="s">
        <v>3793</v>
      </c>
      <c r="P2612" s="748" t="s">
        <v>3793</v>
      </c>
    </row>
    <row r="2613" spans="1:17">
      <c r="B2613" s="748" t="s">
        <v>3715</v>
      </c>
      <c r="C2613" s="748" t="s">
        <v>3719</v>
      </c>
      <c r="M2613" s="748" t="str">
        <f t="shared" si="374"/>
        <v/>
      </c>
      <c r="N2613" s="748" t="s">
        <v>3715</v>
      </c>
      <c r="O2613" s="748" t="str">
        <f>'Part IX A-Scoring Criteria'!O121</f>
        <v>N/a</v>
      </c>
      <c r="P2613" s="748">
        <f>'Part IX A-Scoring Criteria'!P121</f>
        <v>0</v>
      </c>
    </row>
    <row r="2614" spans="1:17">
      <c r="B2614" s="748" t="s">
        <v>3716</v>
      </c>
      <c r="C2614" s="748" t="s">
        <v>3720</v>
      </c>
      <c r="M2614" s="748" t="str">
        <f t="shared" si="374"/>
        <v/>
      </c>
      <c r="N2614" s="748" t="s">
        <v>3716</v>
      </c>
      <c r="O2614" s="748" t="str">
        <f>'Part IX A-Scoring Criteria'!O122</f>
        <v>N/a</v>
      </c>
      <c r="P2614" s="748">
        <f>'Part IX A-Scoring Criteria'!P122</f>
        <v>0</v>
      </c>
    </row>
    <row r="2615" spans="1:17">
      <c r="B2615" s="748" t="s">
        <v>3717</v>
      </c>
      <c r="C2615" s="748" t="s">
        <v>3721</v>
      </c>
      <c r="M2615" s="748" t="str">
        <f t="shared" si="374"/>
        <v/>
      </c>
      <c r="N2615" s="748" t="s">
        <v>3717</v>
      </c>
      <c r="O2615" s="748" t="str">
        <f>'Part IX A-Scoring Criteria'!O123</f>
        <v>N/a</v>
      </c>
      <c r="P2615" s="748">
        <f>'Part IX A-Scoring Criteria'!P123</f>
        <v>0</v>
      </c>
    </row>
    <row r="2616" spans="1:17">
      <c r="B2616" s="748" t="s">
        <v>918</v>
      </c>
      <c r="C2616" s="748" t="s">
        <v>3722</v>
      </c>
      <c r="M2616" s="748" t="str">
        <f t="shared" si="374"/>
        <v/>
      </c>
      <c r="N2616" s="748" t="s">
        <v>918</v>
      </c>
      <c r="O2616" s="748" t="str">
        <f>'Part IX A-Scoring Criteria'!O124</f>
        <v>N/a</v>
      </c>
      <c r="P2616" s="748">
        <f>'Part IX A-Scoring Criteria'!P124</f>
        <v>0</v>
      </c>
    </row>
    <row r="2617" spans="1:17">
      <c r="B2617" s="748" t="s">
        <v>333</v>
      </c>
    </row>
    <row r="2618" spans="1:17">
      <c r="A2618" s="748" t="str">
        <f>'Part IX A-Scoring Criteria'!A126</f>
        <v>The Redevelopment Plan is located in Tab 31 of the application.  The property is also located in a QCT and we have included that documentation in Tab 31.</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1564</v>
      </c>
      <c r="N2626" s="748" t="s">
        <v>3062</v>
      </c>
      <c r="O2626" s="748">
        <f>'Part IX A-Scoring Criteria'!O134</f>
        <v>0</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3064</v>
      </c>
      <c r="C2628" s="748" t="s">
        <v>1566</v>
      </c>
      <c r="L2628" s="748" t="str">
        <f>IF(OR($O2628=$M2628,$O2628=0,$O2628=""),"","* * Check Score! * *")</f>
        <v/>
      </c>
      <c r="N2628" s="748" t="s">
        <v>3064</v>
      </c>
      <c r="O2628" s="748">
        <f>'Part IX A-Scoring Criteria'!O136</f>
        <v>0</v>
      </c>
      <c r="P2628" s="748">
        <f>'Part IX A-Scoring Criteria'!P136</f>
        <v>0</v>
      </c>
    </row>
    <row r="2629" spans="1:17">
      <c r="B2629" s="748" t="s">
        <v>3821</v>
      </c>
      <c r="C2629" s="748" t="s">
        <v>1567</v>
      </c>
      <c r="L2629" s="748" t="str">
        <f>IF(OR($O2629=$M2629,$O2629=0,$O2629=""),"","* * Check Score! * *")</f>
        <v/>
      </c>
      <c r="N2629" s="748" t="s">
        <v>3821</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3061</v>
      </c>
      <c r="C2631" s="748" t="s">
        <v>3357</v>
      </c>
      <c r="M2631" s="748">
        <v>3</v>
      </c>
      <c r="N2631" s="748" t="s">
        <v>3061</v>
      </c>
      <c r="O2631" s="748">
        <f>IF($M2632=4,3,IF($M2632=3,2,IF($M2632=2,1,0)))</f>
        <v>3</v>
      </c>
      <c r="P2631" s="748">
        <f>IF($M2632=4,3,IF($M2632=3,2,IF($M2632=2,1,0)))</f>
        <v>3</v>
      </c>
    </row>
    <row r="2632" spans="1:17">
      <c r="L2632" s="748" t="s">
        <v>734</v>
      </c>
      <c r="M2632" s="748">
        <f>'Part IX A-Scoring Criteria'!M140</f>
        <v>4</v>
      </c>
      <c r="N2632" s="748" t="s">
        <v>735</v>
      </c>
    </row>
    <row r="2633" spans="1:17">
      <c r="B2633" s="748" t="s">
        <v>333</v>
      </c>
    </row>
    <row r="2634" spans="1:17">
      <c r="A2634" s="748" t="str">
        <f>'Part IX A-Scoring Criteria'!A142</f>
        <v>Not applicable.</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2667</v>
      </c>
      <c r="O2646" s="748" t="s">
        <v>3708</v>
      </c>
      <c r="P2646" s="748">
        <f>'Part IX A-Scoring Criteria'!P154</f>
        <v>0</v>
      </c>
    </row>
    <row r="2647" spans="1:16">
      <c r="A2647" s="748" t="s">
        <v>3715</v>
      </c>
      <c r="B2647" s="748" t="s">
        <v>2668</v>
      </c>
      <c r="O2647" s="748" t="s">
        <v>3715</v>
      </c>
      <c r="P2647" s="748">
        <f>'Part IX A-Scoring Criteria'!P155</f>
        <v>0</v>
      </c>
    </row>
    <row r="2648" spans="1:16">
      <c r="B2648" s="748" t="s">
        <v>333</v>
      </c>
    </row>
    <row r="2649" spans="1:16">
      <c r="A2649" s="748" t="str">
        <f>'Part IX A-Scoring Criteria'!A157</f>
        <v>The Market Study is included in Tab 9 of the application.</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2215</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Applicant agrees to a five year extension of the cancellation option.</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0</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2669</v>
      </c>
      <c r="M2672" s="748">
        <v>6</v>
      </c>
      <c r="N2672" s="748" t="s">
        <v>3061</v>
      </c>
      <c r="O2672" s="748">
        <f>'Part IX A-Scoring Criteria'!O180</f>
        <v>0</v>
      </c>
      <c r="P2672" s="748">
        <f>'Part IX A-Scoring Criteria'!P180</f>
        <v>0</v>
      </c>
      <c r="R2672" s="748" t="str">
        <f>IF(OR($O2672=$M2672,$O2672=0,$O2672=""),"","* * Check Score! * *")</f>
        <v/>
      </c>
    </row>
    <row r="2673" spans="1:18">
      <c r="B2673" s="748" t="s">
        <v>3062</v>
      </c>
      <c r="C2673" s="748" t="s">
        <v>2671</v>
      </c>
      <c r="M2673" s="748">
        <v>6</v>
      </c>
      <c r="N2673" s="748" t="s">
        <v>3062</v>
      </c>
      <c r="O2673" s="748">
        <f>'Part IX A-Scoring Criteria'!O181</f>
        <v>0</v>
      </c>
      <c r="P2673" s="748">
        <f>'Part IX A-Scoring Criteria'!P181</f>
        <v>0</v>
      </c>
    </row>
    <row r="2674" spans="1:18">
      <c r="B2674" s="748" t="s">
        <v>3064</v>
      </c>
      <c r="C2674" s="748" t="s">
        <v>2672</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2670</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t="str">
        <f>'Part IX A-Scoring Criteria'!A185</f>
        <v>Not applicable</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3</v>
      </c>
      <c r="P2683" s="748">
        <f>MIN($M2683,P2685+P2684)</f>
        <v>0</v>
      </c>
      <c r="Q2683" s="748" t="s">
        <v>651</v>
      </c>
    </row>
    <row r="2684" spans="1:18">
      <c r="A2684" s="748" t="s">
        <v>3058</v>
      </c>
      <c r="B2684" s="748" t="s">
        <v>922</v>
      </c>
      <c r="L2684" s="748" t="str">
        <f>IF(OR($O2684=$M2684,$O2684=0,$O2684=""),"","* * Check Score! * *")</f>
        <v/>
      </c>
      <c r="M2684" s="748">
        <v>3</v>
      </c>
      <c r="N2684" s="748" t="s">
        <v>3058</v>
      </c>
      <c r="O2684" s="748">
        <f>'Part IX A-Scoring Criteria'!O192</f>
        <v>3</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The GP is comprised of 100% non-profit with ownership in 5+ successful LIHTC projects.  The documenation of non-profit status is located in Tab 2 and the experience in Tab 4.</v>
      </c>
    </row>
    <row r="2688" spans="1:18">
      <c r="B2688" s="748" t="s">
        <v>2920</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3058</v>
      </c>
      <c r="B2692" s="748" t="s">
        <v>4091</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4092</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Documenation of GP and Developer experience is located in Tab 35 of the application.</v>
      </c>
    </row>
    <row r="2696" spans="1:18">
      <c r="B2696" s="748" t="s">
        <v>2920</v>
      </c>
    </row>
    <row r="2697" spans="1:18">
      <c r="A2697" s="748">
        <f>'Part IX A-Scoring Criteria'!A205</f>
        <v>0</v>
      </c>
    </row>
    <row r="2699" spans="1:18">
      <c r="A2699" s="748" t="s">
        <v>2676</v>
      </c>
      <c r="B2699" s="748" t="s">
        <v>1037</v>
      </c>
      <c r="J2699" s="748" t="s">
        <v>3640</v>
      </c>
      <c r="L2699" s="748" t="str">
        <f>IF(OR($O2699=$M2699,$O2699=0,$O2699=2,$O2699=""),"","* * Check Score! * *")</f>
        <v/>
      </c>
      <c r="M2699" s="748">
        <v>3</v>
      </c>
      <c r="O2699" s="748">
        <f>IF(OR(AND(J2701=2,M2701=3),AND(J2701=0,M2701=3)),3,IF(AND(J2701=3,M2701=2),2,0))</f>
        <v>2</v>
      </c>
      <c r="P2699" s="748">
        <f>'Part IX A-Scoring Criteria'!P207</f>
        <v>0</v>
      </c>
      <c r="Q2699" s="748" t="s">
        <v>651</v>
      </c>
    </row>
    <row r="2700" spans="1:18" ht="13.15" customHeight="1">
      <c r="B2700" s="748" t="s">
        <v>1571</v>
      </c>
    </row>
    <row r="2701" spans="1:18">
      <c r="C2701" s="748" t="s">
        <v>951</v>
      </c>
      <c r="D2701" s="748" t="str">
        <f>'Part IX A-Scoring Criteria'!D209</f>
        <v>Washington Estates II</v>
      </c>
      <c r="I2701" s="748" t="s">
        <v>1572</v>
      </c>
      <c r="J2701" s="748">
        <f>'Part IX A-Scoring Criteria'!J209</f>
        <v>3</v>
      </c>
      <c r="L2701" s="748" t="s">
        <v>4093</v>
      </c>
      <c r="M2701" s="748">
        <f>'Part IX A-Scoring Criteria'!M209</f>
        <v>2</v>
      </c>
    </row>
    <row r="2702" spans="1:18">
      <c r="B2702" s="748" t="s">
        <v>333</v>
      </c>
      <c r="J2702" s="748" t="s">
        <v>2920</v>
      </c>
    </row>
    <row r="2703" spans="1:18">
      <c r="A2703" s="748" t="str">
        <f>'Part IX A-Scoring Criteria'!A211</f>
        <v>Rural Documentation is located in Tab 1 of the application.</v>
      </c>
      <c r="J2703" s="748">
        <f>'Part IX A-Scoring Criteria'!J211</f>
        <v>0</v>
      </c>
    </row>
    <row r="2705" spans="1:17">
      <c r="A2705" s="748" t="s">
        <v>2678</v>
      </c>
      <c r="B2705" s="748" t="s">
        <v>2677</v>
      </c>
      <c r="L2705" s="748" t="str">
        <f>IF(OR($O2705=$M2705,$O2705=0,$O2705=""),"","* * Check Score! * *")</f>
        <v/>
      </c>
      <c r="M2705" s="748">
        <v>1</v>
      </c>
      <c r="O2705" s="748">
        <f>'Part IX A-Scoring Criteria'!O213</f>
        <v>1</v>
      </c>
      <c r="P2705" s="748">
        <f>'Part IX A-Scoring Criteria'!P213</f>
        <v>0</v>
      </c>
      <c r="Q2705" s="748" t="s">
        <v>651</v>
      </c>
    </row>
    <row r="2706" spans="1:17">
      <c r="B2706" s="748" t="s">
        <v>2891</v>
      </c>
      <c r="E2706" s="748" t="str">
        <f>'Part IX A-Scoring Criteria'!E214</f>
        <v>DCA Community of Opportunity</v>
      </c>
      <c r="I2706" s="748" t="s">
        <v>2890</v>
      </c>
      <c r="O2706" s="748" t="s">
        <v>3793</v>
      </c>
      <c r="P2706" s="748" t="s">
        <v>3793</v>
      </c>
    </row>
    <row r="2707" spans="1:17">
      <c r="B2707" s="748" t="s">
        <v>3680</v>
      </c>
      <c r="C2707" s="748" t="s">
        <v>2679</v>
      </c>
      <c r="G2707" s="748" t="str">
        <f>'Part IX A-Scoring Criteria'!G215</f>
        <v>Thomson / McDuffie County</v>
      </c>
      <c r="J2707" s="748" t="str">
        <f>'Part IX A-Scoring Criteria'!J215</f>
        <v>McDuffie</v>
      </c>
      <c r="N2707" s="748" t="s">
        <v>3680</v>
      </c>
      <c r="O2707" s="748" t="str">
        <f>'Part IX A-Scoring Criteria'!O215</f>
        <v>Yes</v>
      </c>
      <c r="P2707" s="748">
        <f>'Part IX A-Scoring Criteria'!P215</f>
        <v>0</v>
      </c>
    </row>
    <row r="2708" spans="1:17">
      <c r="B2708" s="748" t="s">
        <v>3681</v>
      </c>
      <c r="C2708" s="748" t="s">
        <v>505</v>
      </c>
      <c r="N2708" s="748" t="s">
        <v>3681</v>
      </c>
      <c r="O2708" s="748" t="str">
        <f>'Part IX A-Scoring Criteria'!O216</f>
        <v>Yes</v>
      </c>
      <c r="P2708" s="748">
        <f>'Part IX A-Scoring Criteria'!P216</f>
        <v>0</v>
      </c>
    </row>
    <row r="2709" spans="1:17">
      <c r="B2709" s="748" t="s">
        <v>3682</v>
      </c>
      <c r="C2709" s="748" t="s">
        <v>2624</v>
      </c>
      <c r="N2709" s="748" t="s">
        <v>3682</v>
      </c>
      <c r="O2709" s="748" t="str">
        <f>'Part IX A-Scoring Criteria'!O217</f>
        <v>Yes</v>
      </c>
      <c r="P2709" s="748">
        <f>'Part IX A-Scoring Criteria'!P217</f>
        <v>0</v>
      </c>
    </row>
    <row r="2710" spans="1:17">
      <c r="B2710" s="748" t="s">
        <v>3683</v>
      </c>
      <c r="C2710" s="748" t="s">
        <v>3489</v>
      </c>
      <c r="N2710" s="748" t="s">
        <v>3683</v>
      </c>
      <c r="O2710" s="748" t="str">
        <f>'Part IX A-Scoring Criteria'!O218</f>
        <v>Yes</v>
      </c>
      <c r="P2710" s="748">
        <f>'Part IX A-Scoring Criteria'!P218</f>
        <v>0</v>
      </c>
    </row>
    <row r="2712" spans="1:17">
      <c r="B2712" s="748" t="s">
        <v>333</v>
      </c>
    </row>
    <row r="2713" spans="1:17">
      <c r="A2713" s="748" t="str">
        <f>'Part IX A-Scoring Criteria'!A221</f>
        <v>Appropriate documentation is located in Tab 36 of the application</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2680</v>
      </c>
      <c r="B2719" s="748" t="s">
        <v>2892</v>
      </c>
      <c r="L2719" s="748" t="str">
        <f>IF(M2719&gt;14,"Over limit!","")</f>
        <v/>
      </c>
      <c r="M2719" s="748">
        <v>8</v>
      </c>
      <c r="O2719" s="748">
        <f>MIN($M2719,(O2727+O2737+O2739))</f>
        <v>0</v>
      </c>
      <c r="P2719" s="748">
        <f>MIN($M2719,(P2727+P2737+P2739))</f>
        <v>0</v>
      </c>
      <c r="Q2719" s="748" t="s">
        <v>651</v>
      </c>
    </row>
    <row r="2720" spans="1:17">
      <c r="B2720" s="748" t="s">
        <v>868</v>
      </c>
      <c r="L2720" s="748" t="str">
        <f>IF(M2720&gt;14,"Over limit!","")</f>
        <v/>
      </c>
      <c r="O2720" s="748" t="s">
        <v>3793</v>
      </c>
      <c r="P2720" s="748" t="s">
        <v>3793</v>
      </c>
    </row>
    <row r="2721" spans="1:18">
      <c r="B2721" s="748" t="s">
        <v>3062</v>
      </c>
      <c r="C2721" s="748" t="s">
        <v>869</v>
      </c>
      <c r="L2721" s="748" t="str">
        <f>IF(M2721&gt;14,"Over limit!","")</f>
        <v/>
      </c>
      <c r="N2721" s="748" t="s">
        <v>3062</v>
      </c>
      <c r="O2721" s="748">
        <f>'Part IX A-Scoring Criteria'!O229</f>
        <v>0</v>
      </c>
      <c r="P2721" s="748">
        <f>'Part IX A-Scoring Criteria'!P229</f>
        <v>0</v>
      </c>
    </row>
    <row r="2722" spans="1:18">
      <c r="B2722" s="748" t="s">
        <v>3064</v>
      </c>
      <c r="C2722" s="748" t="s">
        <v>870</v>
      </c>
      <c r="N2722" s="748" t="s">
        <v>3064</v>
      </c>
      <c r="O2722" s="748">
        <f>'Part IX A-Scoring Criteria'!O230</f>
        <v>0</v>
      </c>
      <c r="P2722" s="748">
        <f>'Part IX A-Scoring Criteria'!P230</f>
        <v>0</v>
      </c>
    </row>
    <row r="2723" spans="1:18">
      <c r="B2723" s="748" t="s">
        <v>3821</v>
      </c>
      <c r="C2723" s="748" t="s">
        <v>871</v>
      </c>
      <c r="N2723" s="748" t="s">
        <v>3821</v>
      </c>
      <c r="O2723" s="748">
        <f>'Part IX A-Scoring Criteria'!O231</f>
        <v>0</v>
      </c>
      <c r="P2723" s="748">
        <f>'Part IX A-Scoring Criteria'!P231</f>
        <v>0</v>
      </c>
    </row>
    <row r="2724" spans="1:18">
      <c r="B2724" s="748" t="s">
        <v>1885</v>
      </c>
      <c r="C2724" s="748" t="s">
        <v>872</v>
      </c>
      <c r="N2724" s="748" t="s">
        <v>1885</v>
      </c>
      <c r="O2724" s="748">
        <f>'Part IX A-Scoring Criteria'!O232</f>
        <v>0</v>
      </c>
      <c r="P2724" s="748">
        <f>'Part IX A-Scoring Criteria'!P232</f>
        <v>0</v>
      </c>
    </row>
    <row r="2725" spans="1:18">
      <c r="B2725" s="748" t="s">
        <v>1886</v>
      </c>
      <c r="C2725" s="748" t="s">
        <v>884</v>
      </c>
      <c r="N2725" s="748" t="s">
        <v>1886</v>
      </c>
      <c r="O2725" s="748">
        <f>'Part IX A-Scoring Criteria'!O233</f>
        <v>0</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2216</v>
      </c>
      <c r="H2728" s="748" t="s">
        <v>2217</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2220</v>
      </c>
      <c r="H2729" s="748" t="s">
        <v>2217</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2224</v>
      </c>
      <c r="H2730" s="748" t="s">
        <v>2217</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2941</v>
      </c>
      <c r="C2733" s="748" t="s">
        <v>2222</v>
      </c>
      <c r="H2733" s="748" t="s">
        <v>2218</v>
      </c>
      <c r="L2733" s="748" t="str">
        <f t="shared" si="375"/>
        <v/>
      </c>
      <c r="M2733" s="748">
        <v>2</v>
      </c>
      <c r="N2733" s="748" t="s">
        <v>2941</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3062</v>
      </c>
      <c r="C2740" s="748" t="s">
        <v>983</v>
      </c>
      <c r="E2740" s="748">
        <f>'Part IX A-Scoring Criteria'!E248</f>
        <v>0</v>
      </c>
    </row>
    <row r="2741" spans="1:18">
      <c r="B2741" s="748" t="s">
        <v>3064</v>
      </c>
      <c r="C2741" s="748" t="s">
        <v>3559</v>
      </c>
      <c r="E2741" s="748">
        <f>'Part IX A-Scoring Criteria'!E249</f>
        <v>0</v>
      </c>
    </row>
    <row r="2742" spans="1:18">
      <c r="B2742" s="748" t="s">
        <v>3821</v>
      </c>
      <c r="C2742" s="748" t="s">
        <v>984</v>
      </c>
      <c r="E2742" s="748">
        <f>'Part IX A-Scoring Criteria'!E250</f>
        <v>0</v>
      </c>
    </row>
    <row r="2744" spans="1:18">
      <c r="B2744" s="748" t="s">
        <v>333</v>
      </c>
    </row>
    <row r="2745" spans="1:18">
      <c r="A2745" s="748" t="str">
        <f>'Part IX A-Scoring Criteria'!A253</f>
        <v>This section is not applicable to this project.</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f>'Part IX A-Scoring Criteria'!O260</f>
        <v>0</v>
      </c>
      <c r="P2752" s="748">
        <f>'Part IX A-Scoring Criteria'!P260</f>
        <v>0</v>
      </c>
    </row>
    <row r="2753" spans="1:18" ht="14.45" customHeight="1">
      <c r="B2753" s="748" t="s">
        <v>3516</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3058</v>
      </c>
      <c r="B2763" s="748" t="s">
        <v>2687</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2688</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t="str">
        <f>'Part IX A-Scoring Criteria'!O273</f>
        <v>Agree</v>
      </c>
      <c r="P2765" s="748">
        <f>'Part IX A-Scoring Criteria'!P273</f>
        <v>0</v>
      </c>
    </row>
    <row r="2766" spans="1:18">
      <c r="B2766" s="748" t="s">
        <v>333</v>
      </c>
    </row>
    <row r="2767" spans="1:18">
      <c r="A2767" s="748" t="str">
        <f>'Part IX A-Scoring Criteria'!A275</f>
        <v>Documenation of the MITAS System Requirements is located in Tab 39.  Applicant agrees to market to tenants with special needs and comply with all requirements if selected for funding.</v>
      </c>
    </row>
    <row r="2768" spans="1:18">
      <c r="B2768" s="748" t="s">
        <v>2920</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3835</v>
      </c>
      <c r="O2773" s="748" t="str">
        <f>'Part IX A-Scoring Criteria'!O281</f>
        <v>No</v>
      </c>
      <c r="P2773" s="748">
        <f>'Part IX A-Scoring Criteria'!P281</f>
        <v>0</v>
      </c>
    </row>
    <row r="2775" spans="1:17">
      <c r="B2775" s="748" t="s">
        <v>3058</v>
      </c>
      <c r="C2775" s="748" t="s">
        <v>2160</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t="str">
        <f>'Part IX A-Scoring Criteria'!A288</f>
        <v>DCA did not perform a pre-determination of compliance in the pre-application process and therefore no pre-determination letters were issued.  The DCA Compliance History forms are included in Tab 38.</v>
      </c>
      <c r="Q2780" s="748" t="s">
        <v>1932</v>
      </c>
    </row>
    <row r="2781" spans="1:17">
      <c r="A2781" s="748">
        <f>'Part IX A-Scoring Criteria'!A289</f>
        <v>0</v>
      </c>
    </row>
    <row r="2782" spans="1:17">
      <c r="B2782" s="748" t="s">
        <v>2920</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59</v>
      </c>
      <c r="P2786" s="748">
        <f>P2500+P2523+P2530+P2547+P2556+P2566+P2574+P2585+P2624+P2638+P2658+P2667+P2683+P2691+P2699+P2705+P2719+P2751+P2762+P2771</f>
        <v>13</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8" workbookViewId="0">
      <selection activeCell="F30" sqref="F30"/>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Thomson Estates</v>
      </c>
    </row>
    <row r="3" spans="1:6" ht="16.5">
      <c r="A3" s="1147" t="str">
        <f>CONCATENATE('Part I-Project Information'!F24,", ", 'Part I-Project Information'!J25," County")</f>
        <v>Thomson, McDuffie County</v>
      </c>
    </row>
    <row r="4" spans="1:6" ht="12" customHeight="1"/>
    <row r="5" spans="1:6" ht="75" customHeight="1">
      <c r="A5" s="1585" t="s">
        <v>4042</v>
      </c>
      <c r="B5" s="774" t="s">
        <v>1591</v>
      </c>
      <c r="C5" s="774"/>
      <c r="D5" s="774"/>
      <c r="E5" s="774"/>
      <c r="F5" s="774"/>
    </row>
    <row r="6" spans="1:6" ht="6.6" customHeight="1">
      <c r="A6" s="1149"/>
      <c r="B6" s="774"/>
      <c r="C6" s="774"/>
      <c r="D6" s="774"/>
      <c r="E6" s="774"/>
      <c r="F6" s="774"/>
    </row>
    <row r="7" spans="1:6" ht="58.5" customHeight="1">
      <c r="A7" s="1148" t="s">
        <v>4041</v>
      </c>
    </row>
    <row r="8" spans="1:6" ht="6.6" customHeight="1">
      <c r="A8" s="1149"/>
    </row>
    <row r="9" spans="1:6" ht="111" customHeight="1">
      <c r="A9" s="1148" t="s">
        <v>3990</v>
      </c>
    </row>
    <row r="10" spans="1:6" ht="6.6" customHeight="1">
      <c r="A10" s="1149"/>
    </row>
    <row r="11" spans="1:6" ht="39.75" customHeight="1">
      <c r="A11" s="1148" t="s">
        <v>4040</v>
      </c>
    </row>
    <row r="12" spans="1:6" ht="6.6" hidden="1" customHeight="1">
      <c r="A12" s="1149"/>
    </row>
    <row r="13" spans="1:6" ht="111" hidden="1" customHeight="1">
      <c r="A13" s="1148"/>
    </row>
    <row r="14" spans="1:6" ht="6.6" hidden="1" customHeight="1">
      <c r="A14" s="1149"/>
    </row>
    <row r="15" spans="1:6" ht="111" hidden="1" customHeight="1">
      <c r="A15" s="1148"/>
    </row>
    <row r="16" spans="1:6" ht="6.6" hidden="1" customHeight="1">
      <c r="A16" s="1149"/>
    </row>
    <row r="17" spans="1:1" ht="111" hidden="1" customHeight="1">
      <c r="A17" s="1148"/>
    </row>
    <row r="18" spans="1:1" ht="6.6" hidden="1" customHeight="1">
      <c r="A18" s="1149"/>
    </row>
    <row r="19" spans="1:1" ht="111" hidden="1" customHeight="1">
      <c r="A19" s="1148"/>
    </row>
    <row r="20" spans="1:1" ht="6.6" hidden="1" customHeight="1">
      <c r="A20" s="1149"/>
    </row>
    <row r="21" spans="1:1" ht="111" hidden="1" customHeight="1">
      <c r="A21" s="1148"/>
    </row>
    <row r="22" spans="1:1" ht="6.6" hidden="1" customHeight="1">
      <c r="A22" s="1149"/>
    </row>
    <row r="23" spans="1:1" ht="111" hidden="1" customHeight="1">
      <c r="A23" s="1148"/>
    </row>
    <row r="24" spans="1:1" ht="6.6" hidden="1" customHeight="1">
      <c r="A24" s="1149"/>
    </row>
    <row r="25" spans="1:1" ht="111" hidden="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F24" sqref="F24:H24 J25:K25 C183:H34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88" t="str">
        <f>CONCATENATE("PART ONE - PROJECT INFORMATION"," - ",$O$4," ",$F$22,", ",'Part I-Project Information'!F24,", ",'Part I-Project Information'!J25," County")</f>
        <v>PART ONE - PROJECT INFORMATION - 2011-038 Thomson Estates, Thomson, McDuffie County</v>
      </c>
      <c r="B1" s="789"/>
      <c r="C1" s="789"/>
      <c r="D1" s="789"/>
      <c r="E1" s="789"/>
      <c r="F1" s="789"/>
      <c r="G1" s="789"/>
      <c r="H1" s="789"/>
      <c r="I1" s="789"/>
      <c r="J1" s="789"/>
      <c r="K1" s="789"/>
      <c r="L1" s="789"/>
      <c r="M1" s="789"/>
      <c r="N1" s="789"/>
      <c r="O1" s="789"/>
      <c r="P1" s="790"/>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792" t="s">
        <v>2729</v>
      </c>
      <c r="N3" s="792"/>
      <c r="O3" s="792"/>
      <c r="P3" s="792"/>
    </row>
    <row r="4" spans="1:16" s="458" customFormat="1" ht="12" customHeight="1" thickBot="1">
      <c r="A4" s="733"/>
      <c r="B4" s="461"/>
      <c r="C4" s="461"/>
      <c r="D4" s="462"/>
      <c r="E4" s="401" t="s">
        <v>654</v>
      </c>
      <c r="H4" s="723"/>
      <c r="I4" s="723"/>
      <c r="J4" s="723"/>
      <c r="M4" s="723"/>
      <c r="O4" s="1529" t="s">
        <v>4060</v>
      </c>
      <c r="P4" s="1530"/>
    </row>
    <row r="5" spans="1:16" s="458" customFormat="1" ht="12" customHeight="1">
      <c r="A5" s="733"/>
      <c r="B5" s="461"/>
      <c r="C5" s="461"/>
      <c r="D5" s="461"/>
      <c r="E5" s="723"/>
      <c r="H5" s="723"/>
      <c r="I5" s="723"/>
      <c r="J5" s="723"/>
      <c r="K5" s="395"/>
      <c r="M5" s="723"/>
    </row>
    <row r="6" spans="1:16" s="458" customFormat="1" ht="13.15" customHeight="1">
      <c r="A6" s="461" t="s">
        <v>950</v>
      </c>
      <c r="C6" s="461" t="s">
        <v>3588</v>
      </c>
      <c r="D6" s="418"/>
      <c r="E6" s="463"/>
      <c r="F6" s="464" t="s">
        <v>2740</v>
      </c>
      <c r="J6" s="793">
        <f>'Part IV-Uses of Funds'!J165</f>
        <v>648669</v>
      </c>
      <c r="K6" s="794"/>
    </row>
    <row r="7" spans="1:16" s="2" customFormat="1" ht="13.15" customHeight="1">
      <c r="A7" s="5"/>
      <c r="C7" s="5"/>
      <c r="D7" s="31"/>
      <c r="E7" s="563"/>
      <c r="F7" s="458" t="s">
        <v>1982</v>
      </c>
      <c r="J7" s="778">
        <f>'Part III A-Sources of Funds'!J5</f>
        <v>0</v>
      </c>
      <c r="K7" s="779"/>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3130</v>
      </c>
      <c r="F9" s="1170" t="s">
        <v>3918</v>
      </c>
      <c r="G9" s="1171"/>
      <c r="H9" s="1172"/>
      <c r="I9" s="1531" t="s">
        <v>1230</v>
      </c>
      <c r="J9" s="1448"/>
      <c r="K9" s="1449"/>
      <c r="L9" s="1449"/>
      <c r="M9" s="1449"/>
      <c r="N9" s="1449"/>
      <c r="O9" s="1449"/>
      <c r="P9" s="1450"/>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8" t="s">
        <v>3919</v>
      </c>
      <c r="G13" s="1449"/>
      <c r="H13" s="1449"/>
      <c r="I13" s="1449"/>
      <c r="J13" s="1449"/>
      <c r="K13" s="1449"/>
      <c r="L13" s="1450"/>
      <c r="M13" s="713" t="s">
        <v>3055</v>
      </c>
      <c r="N13" s="1448" t="s">
        <v>3920</v>
      </c>
      <c r="O13" s="1449"/>
      <c r="P13" s="1450"/>
    </row>
    <row r="14" spans="1:16" s="458" customFormat="1" ht="13.15" customHeight="1">
      <c r="C14" s="464" t="s">
        <v>3056</v>
      </c>
      <c r="F14" s="1448" t="s">
        <v>3921</v>
      </c>
      <c r="G14" s="1449"/>
      <c r="H14" s="1449"/>
      <c r="I14" s="1449"/>
      <c r="J14" s="1449"/>
      <c r="K14" s="1449"/>
      <c r="L14" s="1450"/>
      <c r="M14" s="713" t="s">
        <v>2746</v>
      </c>
      <c r="O14" s="1532">
        <v>7704810853</v>
      </c>
      <c r="P14" s="1533"/>
    </row>
    <row r="15" spans="1:16" s="458" customFormat="1" ht="13.15" customHeight="1">
      <c r="C15" s="464" t="s">
        <v>953</v>
      </c>
      <c r="F15" s="1463" t="s">
        <v>1866</v>
      </c>
      <c r="G15" s="1399"/>
      <c r="H15" s="1400"/>
      <c r="M15" s="713" t="s">
        <v>2832</v>
      </c>
      <c r="O15" s="1479">
        <v>6786384230</v>
      </c>
      <c r="P15" s="1481"/>
    </row>
    <row r="16" spans="1:16" s="458" customFormat="1" ht="13.15" customHeight="1">
      <c r="C16" s="464" t="s">
        <v>2829</v>
      </c>
      <c r="F16" s="1534" t="s">
        <v>1438</v>
      </c>
      <c r="I16" s="723" t="s">
        <v>3352</v>
      </c>
      <c r="J16" s="1482">
        <v>303281636</v>
      </c>
      <c r="K16" s="1535"/>
      <c r="M16" s="713" t="s">
        <v>3054</v>
      </c>
      <c r="O16" s="1479">
        <v>4045430855</v>
      </c>
      <c r="P16" s="1481"/>
    </row>
    <row r="17" spans="1:16" s="458" customFormat="1" ht="13.15" customHeight="1">
      <c r="B17" s="721"/>
      <c r="C17" s="464" t="s">
        <v>2745</v>
      </c>
      <c r="F17" s="1479">
        <v>7704810855</v>
      </c>
      <c r="G17" s="1480"/>
      <c r="H17" s="1481"/>
      <c r="I17" s="716" t="s">
        <v>2744</v>
      </c>
      <c r="J17" s="1445">
        <v>100</v>
      </c>
      <c r="K17" s="723" t="s">
        <v>3059</v>
      </c>
      <c r="L17" s="1448" t="s">
        <v>3922</v>
      </c>
      <c r="M17" s="1449"/>
      <c r="N17" s="1449"/>
      <c r="O17" s="1449"/>
      <c r="P17" s="1450"/>
    </row>
    <row r="18" spans="1:16" s="458" customFormat="1" ht="13.15" customHeight="1">
      <c r="A18" s="461"/>
      <c r="B18" s="463"/>
      <c r="C18" s="441" t="s">
        <v>997</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2822</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6" t="s">
        <v>3947</v>
      </c>
      <c r="G22" s="1487"/>
      <c r="H22" s="1487"/>
      <c r="I22" s="1487"/>
      <c r="J22" s="1487"/>
      <c r="K22" s="1487"/>
      <c r="L22" s="1488"/>
      <c r="M22" s="713" t="s">
        <v>3298</v>
      </c>
      <c r="O22" s="1448" t="s">
        <v>3923</v>
      </c>
      <c r="P22" s="1450"/>
    </row>
    <row r="23" spans="1:16" s="458" customFormat="1" ht="13.15" customHeight="1">
      <c r="A23" s="471"/>
      <c r="B23" s="461"/>
      <c r="C23" s="458" t="s">
        <v>952</v>
      </c>
      <c r="D23" s="472"/>
      <c r="F23" s="1448" t="s">
        <v>3989</v>
      </c>
      <c r="G23" s="1449"/>
      <c r="H23" s="1449"/>
      <c r="I23" s="1449"/>
      <c r="J23" s="1449"/>
      <c r="K23" s="1449"/>
      <c r="L23" s="1450"/>
      <c r="M23" s="713" t="s">
        <v>3144</v>
      </c>
      <c r="O23" s="1448" t="s">
        <v>3923</v>
      </c>
      <c r="P23" s="1450"/>
    </row>
    <row r="24" spans="1:16" s="458" customFormat="1" ht="13.15" customHeight="1">
      <c r="A24" s="733"/>
      <c r="B24" s="461"/>
      <c r="C24" s="458" t="s">
        <v>953</v>
      </c>
      <c r="F24" s="1448" t="s">
        <v>3477</v>
      </c>
      <c r="G24" s="1449"/>
      <c r="H24" s="1450"/>
      <c r="I24" s="723" t="s">
        <v>445</v>
      </c>
      <c r="J24" s="1482">
        <v>308241636</v>
      </c>
      <c r="K24" s="1535"/>
      <c r="L24" s="550" t="str">
        <f>IF(AND(NOT(F22=""),NOT(F24="Select from list"),J24=""),"Enter Zip!","")</f>
        <v/>
      </c>
      <c r="M24" s="713" t="s">
        <v>3414</v>
      </c>
      <c r="O24" s="1448">
        <v>31.46</v>
      </c>
      <c r="P24" s="1450"/>
    </row>
    <row r="25" spans="1:16" s="458" customFormat="1" ht="13.15" customHeight="1">
      <c r="A25" s="733"/>
      <c r="B25" s="461"/>
      <c r="C25" s="775" t="s">
        <v>3143</v>
      </c>
      <c r="D25" s="775"/>
      <c r="F25" s="1536" t="s">
        <v>3924</v>
      </c>
      <c r="I25" s="504" t="s">
        <v>954</v>
      </c>
      <c r="J25" s="1537" t="str">
        <f>IF($F$24="","",VLOOKUP($F$24,$N$183:$O$786,2,FALSE))</f>
        <v>McDuffie</v>
      </c>
      <c r="K25" s="1538"/>
      <c r="M25" s="474" t="s">
        <v>3433</v>
      </c>
      <c r="O25" s="1448">
        <v>13189950200</v>
      </c>
      <c r="P25" s="1539"/>
    </row>
    <row r="26" spans="1:16" s="458" customFormat="1" ht="13.15" customHeight="1">
      <c r="A26" s="733"/>
      <c r="B26" s="461"/>
      <c r="C26" s="458" t="s">
        <v>2313</v>
      </c>
      <c r="F26" s="1540" t="s">
        <v>3924</v>
      </c>
      <c r="G26" s="475"/>
      <c r="I26" s="466" t="s">
        <v>885</v>
      </c>
      <c r="J26" s="1541" t="str">
        <f>IF($F$24="","",VLOOKUP($J$25,$C$183:$H$342,3,FALSE))</f>
        <v>Augusta-Richmond Co.</v>
      </c>
      <c r="K26" s="1542"/>
      <c r="L26" s="1543"/>
      <c r="M26" s="713" t="s">
        <v>665</v>
      </c>
      <c r="N26" s="1544" t="s">
        <v>3924</v>
      </c>
      <c r="O26" s="466" t="s">
        <v>666</v>
      </c>
      <c r="P26" s="1544"/>
    </row>
    <row r="27" spans="1:16" s="458" customFormat="1" ht="3" customHeight="1">
      <c r="A27" s="733"/>
      <c r="B27" s="461"/>
      <c r="C27" s="461"/>
      <c r="I27" s="464"/>
      <c r="J27" s="721"/>
      <c r="L27" s="732"/>
      <c r="M27" s="732"/>
      <c r="N27" s="732"/>
      <c r="O27" s="732"/>
      <c r="P27" s="732"/>
    </row>
    <row r="28" spans="1:16" s="458" customFormat="1" ht="13.15" customHeight="1">
      <c r="A28" s="733"/>
      <c r="B28" s="461"/>
      <c r="F28" s="791" t="s">
        <v>446</v>
      </c>
      <c r="G28" s="791"/>
      <c r="H28" s="791" t="s">
        <v>1225</v>
      </c>
      <c r="I28" s="791"/>
      <c r="J28" s="791" t="s">
        <v>1226</v>
      </c>
      <c r="K28" s="791"/>
      <c r="L28" s="468"/>
    </row>
    <row r="29" spans="1:16" s="458" customFormat="1" ht="13.15" customHeight="1">
      <c r="A29" s="733"/>
      <c r="B29" s="461"/>
      <c r="C29" s="458" t="s">
        <v>955</v>
      </c>
      <c r="D29" s="461"/>
      <c r="F29" s="1545">
        <v>10</v>
      </c>
      <c r="G29" s="1546"/>
      <c r="H29" s="1545">
        <v>24</v>
      </c>
      <c r="I29" s="1546"/>
      <c r="J29" s="1545">
        <v>124</v>
      </c>
      <c r="K29" s="1546"/>
    </row>
    <row r="30" spans="1:16" s="458" customFormat="1" ht="13.15" customHeight="1">
      <c r="A30" s="733"/>
      <c r="B30" s="461"/>
      <c r="C30" s="464" t="s">
        <v>1227</v>
      </c>
      <c r="F30" s="1545"/>
      <c r="G30" s="1546"/>
      <c r="H30" s="1545"/>
      <c r="I30" s="1546"/>
      <c r="J30" s="1545"/>
      <c r="K30" s="1546"/>
    </row>
    <row r="31" spans="1:16" s="458" customFormat="1" ht="3" customHeight="1">
      <c r="A31" s="733"/>
      <c r="B31" s="461"/>
      <c r="I31" s="732"/>
      <c r="J31" s="732"/>
      <c r="K31" s="732"/>
      <c r="M31" s="721"/>
      <c r="N31" s="721"/>
      <c r="O31" s="721"/>
      <c r="P31" s="721"/>
    </row>
    <row r="32" spans="1:16" s="458" customFormat="1" ht="13.15" customHeight="1">
      <c r="A32" s="733"/>
      <c r="B32" s="733"/>
      <c r="C32" s="461" t="s">
        <v>973</v>
      </c>
      <c r="F32" s="1547" t="s">
        <v>3993</v>
      </c>
      <c r="G32" s="1548"/>
      <c r="H32" s="1548"/>
      <c r="I32" s="1548"/>
      <c r="J32" s="1548"/>
      <c r="K32" s="1549"/>
      <c r="L32" s="476"/>
      <c r="M32" s="476"/>
      <c r="N32" s="476"/>
    </row>
    <row r="33" spans="1:19" s="458" customFormat="1" ht="13.15" customHeight="1">
      <c r="A33" s="733"/>
      <c r="B33" s="733"/>
      <c r="C33" s="458" t="s">
        <v>974</v>
      </c>
      <c r="F33" s="1550" t="s">
        <v>3991</v>
      </c>
      <c r="G33" s="1551"/>
      <c r="H33" s="1551"/>
      <c r="I33" s="1551"/>
      <c r="J33" s="1552"/>
      <c r="K33" s="477" t="s">
        <v>3055</v>
      </c>
      <c r="L33" s="1547" t="s">
        <v>3992</v>
      </c>
      <c r="M33" s="1548"/>
      <c r="N33" s="1549"/>
    </row>
    <row r="34" spans="1:19" s="458" customFormat="1" ht="13.15" customHeight="1">
      <c r="A34" s="733"/>
      <c r="B34" s="733"/>
      <c r="C34" s="458" t="s">
        <v>3056</v>
      </c>
      <c r="F34" s="1547" t="s">
        <v>3994</v>
      </c>
      <c r="G34" s="1548"/>
      <c r="H34" s="1548"/>
      <c r="I34" s="1548"/>
      <c r="J34" s="1549"/>
      <c r="K34" s="478" t="s">
        <v>953</v>
      </c>
      <c r="L34" s="1448" t="s">
        <v>3477</v>
      </c>
      <c r="M34" s="1449"/>
      <c r="N34" s="1450"/>
    </row>
    <row r="35" spans="1:19" s="458" customFormat="1" ht="13.15" customHeight="1">
      <c r="A35" s="733"/>
      <c r="B35" s="733"/>
      <c r="C35" s="713" t="s">
        <v>3352</v>
      </c>
      <c r="F35" s="1553">
        <v>308242612</v>
      </c>
      <c r="G35" s="1554"/>
      <c r="H35" s="716" t="s">
        <v>3057</v>
      </c>
      <c r="I35" s="1485">
        <v>7065951781</v>
      </c>
      <c r="J35" s="1555"/>
      <c r="K35" s="1556"/>
      <c r="L35" s="716" t="s">
        <v>2832</v>
      </c>
      <c r="M35" s="1485"/>
      <c r="N35" s="1556"/>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2824</v>
      </c>
      <c r="C37" s="461" t="s">
        <v>2208</v>
      </c>
      <c r="F37" s="481"/>
      <c r="I37" s="464"/>
      <c r="J37" s="683" t="s">
        <v>1974</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3058</v>
      </c>
      <c r="C39" s="461" t="s">
        <v>3435</v>
      </c>
      <c r="F39" s="1445" t="s">
        <v>3923</v>
      </c>
      <c r="J39" s="605" t="s">
        <v>1971</v>
      </c>
      <c r="K39" s="721"/>
      <c r="L39" s="797" t="s">
        <v>1972</v>
      </c>
      <c r="M39" s="797"/>
      <c r="N39" s="797"/>
      <c r="O39" s="797"/>
      <c r="P39" s="606"/>
    </row>
    <row r="40" spans="1:19" s="458" customFormat="1" ht="3" customHeight="1">
      <c r="A40" s="733"/>
      <c r="J40" s="605"/>
      <c r="K40" s="732"/>
      <c r="L40" s="721"/>
      <c r="M40" s="732"/>
      <c r="N40" s="732"/>
      <c r="O40" s="732"/>
      <c r="P40" s="607"/>
    </row>
    <row r="41" spans="1:19" s="458" customFormat="1" ht="13.15" customHeight="1">
      <c r="A41" s="733"/>
      <c r="B41" s="733" t="s">
        <v>3061</v>
      </c>
      <c r="C41" s="461" t="s">
        <v>1083</v>
      </c>
      <c r="J41" s="608" t="s">
        <v>1975</v>
      </c>
      <c r="K41" s="609"/>
      <c r="L41" s="798" t="s">
        <v>1970</v>
      </c>
      <c r="M41" s="798"/>
      <c r="N41" s="798"/>
      <c r="O41" s="798"/>
      <c r="P41" s="799"/>
      <c r="Q41" s="723"/>
    </row>
    <row r="42" spans="1:19" ht="13.15" customHeight="1">
      <c r="B42" s="733"/>
      <c r="C42" s="458" t="s">
        <v>3434</v>
      </c>
      <c r="D42" s="458"/>
      <c r="E42" s="458"/>
      <c r="F42" s="483">
        <f>'Part VI-Revenues &amp; Expenses'!$M$75</f>
        <v>37</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0</v>
      </c>
      <c r="G44" s="458" t="s">
        <v>444</v>
      </c>
      <c r="L44" s="1557"/>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1238</v>
      </c>
      <c r="C48" s="470" t="s">
        <v>3406</v>
      </c>
      <c r="D48" s="721"/>
      <c r="I48" s="795" t="s">
        <v>2130</v>
      </c>
      <c r="J48" s="471" t="s">
        <v>3210</v>
      </c>
      <c r="K48" s="485" t="s">
        <v>3441</v>
      </c>
      <c r="M48" s="721"/>
      <c r="N48" s="721"/>
      <c r="O48" s="721"/>
      <c r="P48" s="723"/>
      <c r="Q48" s="723"/>
      <c r="R48" s="723"/>
      <c r="S48" s="721"/>
    </row>
    <row r="49" spans="1:16" s="458" customFormat="1" ht="13.15" customHeight="1">
      <c r="A49" s="733"/>
      <c r="B49" s="714"/>
      <c r="C49" s="468" t="s">
        <v>3407</v>
      </c>
      <c r="D49" s="721"/>
      <c r="E49" s="721"/>
      <c r="H49" s="486">
        <f>SUM(H50:H51)</f>
        <v>37</v>
      </c>
      <c r="I49" s="796"/>
      <c r="J49" s="733"/>
      <c r="K49" s="468" t="s">
        <v>3442</v>
      </c>
      <c r="M49" s="721"/>
      <c r="N49" s="721"/>
      <c r="O49" s="721"/>
      <c r="P49" s="486">
        <f>'Part VI-Revenues &amp; Expenses'!$M$94</f>
        <v>51200</v>
      </c>
    </row>
    <row r="50" spans="1:16" s="458" customFormat="1" ht="13.15" customHeight="1">
      <c r="A50" s="733"/>
      <c r="B50" s="482"/>
      <c r="D50" s="487" t="s">
        <v>489</v>
      </c>
      <c r="E50" s="487"/>
      <c r="H50" s="486">
        <f>'Part VI-Revenues &amp; Expenses'!$M$58</f>
        <v>6</v>
      </c>
      <c r="I50" s="486">
        <f>'Part VI-Revenues &amp; Expenses'!$M$66</f>
        <v>0</v>
      </c>
      <c r="K50" s="468" t="s">
        <v>326</v>
      </c>
      <c r="M50" s="721"/>
      <c r="N50" s="721"/>
      <c r="O50" s="721"/>
      <c r="P50" s="486">
        <f>'Part VI-Revenues &amp; Expenses'!$M$95</f>
        <v>0</v>
      </c>
    </row>
    <row r="51" spans="1:16" s="458" customFormat="1" ht="13.15" customHeight="1">
      <c r="A51" s="733"/>
      <c r="D51" s="487" t="s">
        <v>2862</v>
      </c>
      <c r="E51" s="487"/>
      <c r="H51" s="486">
        <f>'Part VI-Revenues &amp; Expenses'!$M$57</f>
        <v>31</v>
      </c>
      <c r="I51" s="486">
        <f>'Part VI-Revenues &amp; Expenses'!$M$65</f>
        <v>0</v>
      </c>
      <c r="K51" s="468" t="s">
        <v>3443</v>
      </c>
      <c r="M51" s="721"/>
      <c r="N51" s="721"/>
      <c r="O51" s="721"/>
      <c r="P51" s="486">
        <f>+P49+P50</f>
        <v>51200</v>
      </c>
    </row>
    <row r="52" spans="1:16" s="458" customFormat="1" ht="13.15" customHeight="1">
      <c r="A52" s="733"/>
      <c r="C52" s="468" t="s">
        <v>327</v>
      </c>
      <c r="D52" s="721"/>
      <c r="E52" s="721"/>
      <c r="H52" s="486">
        <f>'Part VI-Revenues &amp; Expenses'!$M$60</f>
        <v>0</v>
      </c>
      <c r="J52" s="733"/>
      <c r="K52" s="468" t="s">
        <v>2133</v>
      </c>
      <c r="M52" s="721"/>
      <c r="N52" s="721"/>
      <c r="O52" s="721"/>
      <c r="P52" s="486">
        <f>'Part VI-Revenues &amp; Expenses'!$M$97</f>
        <v>0</v>
      </c>
    </row>
    <row r="53" spans="1:16" s="458" customFormat="1" ht="13.15" customHeight="1">
      <c r="A53" s="733"/>
      <c r="C53" s="468" t="s">
        <v>3648</v>
      </c>
      <c r="D53" s="721"/>
      <c r="E53" s="721"/>
      <c r="H53" s="486">
        <f>+H49+H52</f>
        <v>37</v>
      </c>
      <c r="J53" s="733"/>
      <c r="K53" s="468" t="s">
        <v>2132</v>
      </c>
      <c r="M53" s="721"/>
      <c r="N53" s="721"/>
      <c r="O53" s="721"/>
      <c r="P53" s="486">
        <f>+P51+P52</f>
        <v>51200</v>
      </c>
    </row>
    <row r="54" spans="1:16" s="458" customFormat="1" ht="13.15" customHeight="1">
      <c r="A54" s="733"/>
      <c r="C54" s="468" t="s">
        <v>3649</v>
      </c>
      <c r="D54" s="721"/>
      <c r="E54" s="721"/>
      <c r="H54" s="486">
        <f>'Part VI-Revenues &amp; Expenses'!$M$62</f>
        <v>0</v>
      </c>
      <c r="J54" s="733"/>
    </row>
    <row r="55" spans="1:16" s="458" customFormat="1" ht="13.15" customHeight="1">
      <c r="A55" s="733"/>
      <c r="C55" s="468" t="s">
        <v>2823</v>
      </c>
      <c r="D55" s="721"/>
      <c r="E55" s="721"/>
      <c r="H55" s="486">
        <f>+H53+H54</f>
        <v>37</v>
      </c>
      <c r="J55" s="721"/>
    </row>
    <row r="56" spans="1:16" s="458" customFormat="1" ht="3" customHeight="1">
      <c r="A56" s="733"/>
      <c r="I56" s="723"/>
      <c r="L56" s="723"/>
      <c r="M56" s="723"/>
      <c r="N56" s="721"/>
      <c r="P56" s="469"/>
    </row>
    <row r="57" spans="1:16" s="458" customFormat="1" ht="13.15" customHeight="1">
      <c r="A57" s="733"/>
      <c r="B57" s="733" t="s">
        <v>2762</v>
      </c>
      <c r="C57" s="470" t="s">
        <v>3436</v>
      </c>
      <c r="D57" s="487" t="s">
        <v>3072</v>
      </c>
      <c r="G57" s="721"/>
      <c r="H57" s="1558">
        <v>37</v>
      </c>
      <c r="K57" s="468" t="s">
        <v>1759</v>
      </c>
      <c r="O57" s="721"/>
      <c r="P57" s="1558">
        <v>1600</v>
      </c>
    </row>
    <row r="58" spans="1:16" s="458" customFormat="1" ht="13.15" customHeight="1">
      <c r="A58" s="733"/>
      <c r="B58" s="733"/>
      <c r="D58" s="714" t="s">
        <v>3073</v>
      </c>
      <c r="H58" s="1558">
        <v>1</v>
      </c>
      <c r="I58" s="721"/>
      <c r="K58" s="468" t="s">
        <v>325</v>
      </c>
      <c r="O58" s="721"/>
      <c r="P58" s="486">
        <f>+P53+P57</f>
        <v>52800</v>
      </c>
    </row>
    <row r="59" spans="1:16" s="458" customFormat="1" ht="13.15" customHeight="1">
      <c r="A59" s="733"/>
      <c r="B59" s="733"/>
      <c r="D59" s="714" t="s">
        <v>3074</v>
      </c>
      <c r="H59" s="486">
        <f>+H57+H58</f>
        <v>38</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2763</v>
      </c>
      <c r="C61" s="470" t="s">
        <v>1084</v>
      </c>
      <c r="D61" s="721"/>
      <c r="E61" s="721"/>
      <c r="F61" s="721"/>
      <c r="G61" s="721"/>
      <c r="H61" s="1558">
        <v>91</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822</v>
      </c>
      <c r="C63" s="488" t="s">
        <v>1836</v>
      </c>
      <c r="D63" s="488"/>
      <c r="E63" s="488"/>
      <c r="F63" s="721"/>
      <c r="G63" s="723"/>
      <c r="K63" s="721"/>
      <c r="P63" s="469"/>
    </row>
    <row r="64" spans="1:16" s="458" customFormat="1" ht="3" customHeight="1">
      <c r="A64" s="733"/>
      <c r="C64" s="717"/>
      <c r="D64" s="717"/>
      <c r="E64" s="717"/>
      <c r="F64" s="721"/>
      <c r="G64" s="723"/>
      <c r="K64" s="721"/>
      <c r="P64" s="469"/>
    </row>
    <row r="65" spans="1:16" s="458" customFormat="1" ht="13.15" customHeight="1">
      <c r="A65" s="733"/>
      <c r="B65" s="733" t="s">
        <v>3058</v>
      </c>
      <c r="C65" s="395" t="s">
        <v>2272</v>
      </c>
      <c r="D65" s="717"/>
      <c r="E65" s="717"/>
      <c r="F65" s="721"/>
      <c r="G65" s="723"/>
      <c r="H65" s="1559" t="s">
        <v>3925</v>
      </c>
      <c r="I65" s="1560"/>
      <c r="K65" s="775" t="s">
        <v>2801</v>
      </c>
      <c r="L65" s="775"/>
      <c r="N65" s="1448"/>
      <c r="O65" s="1449"/>
      <c r="P65" s="1450"/>
    </row>
    <row r="66" spans="1:16" s="458" customFormat="1" ht="3" customHeight="1">
      <c r="A66" s="733"/>
      <c r="B66" s="733"/>
      <c r="D66" s="714"/>
      <c r="E66" s="714"/>
      <c r="F66" s="714"/>
      <c r="G66" s="714"/>
      <c r="I66" s="723"/>
      <c r="K66" s="713"/>
      <c r="L66" s="713"/>
      <c r="M66" s="723"/>
      <c r="N66" s="721"/>
      <c r="P66" s="469"/>
    </row>
    <row r="67" spans="1:16" s="458" customFormat="1" ht="13.15" customHeight="1">
      <c r="A67" s="733"/>
      <c r="B67" s="733" t="s">
        <v>3061</v>
      </c>
      <c r="C67" s="470" t="s">
        <v>2121</v>
      </c>
      <c r="D67" s="721"/>
      <c r="E67" s="487"/>
      <c r="G67" s="489" t="s">
        <v>1378</v>
      </c>
      <c r="H67" s="1558">
        <v>2</v>
      </c>
      <c r="K67" s="775" t="s">
        <v>812</v>
      </c>
      <c r="L67" s="775"/>
      <c r="P67" s="490">
        <f>IF('Part VI-Revenues &amp; Expenses'!$M$63=0,0,$H67/'Part VI-Revenues &amp; Expenses'!$M$63)</f>
        <v>5.4054054054054057E-2</v>
      </c>
    </row>
    <row r="68" spans="1:16" s="458" customFormat="1" ht="3" customHeight="1">
      <c r="A68" s="733"/>
      <c r="B68" s="733"/>
      <c r="D68" s="714"/>
      <c r="E68" s="714"/>
      <c r="F68" s="714"/>
      <c r="G68" s="714"/>
      <c r="I68" s="723"/>
      <c r="K68" s="713"/>
      <c r="L68" s="713"/>
      <c r="M68" s="723"/>
      <c r="P68" s="723"/>
    </row>
    <row r="69" spans="1:16" s="458" customFormat="1" ht="13.15" customHeight="1">
      <c r="A69" s="733"/>
      <c r="B69" s="733" t="s">
        <v>1238</v>
      </c>
      <c r="C69" s="470" t="s">
        <v>2889</v>
      </c>
      <c r="D69" s="487"/>
      <c r="E69" s="487"/>
      <c r="G69" s="489" t="s">
        <v>1378</v>
      </c>
      <c r="H69" s="1558">
        <v>1</v>
      </c>
      <c r="K69" s="775" t="s">
        <v>812</v>
      </c>
      <c r="L69" s="775"/>
      <c r="P69" s="490">
        <f>IF('Part VI-Revenues &amp; Expenses'!$M$63=0,0,$H69/'Part VI-Revenues &amp; Expenses'!$M$63)</f>
        <v>2.7027027027027029E-2</v>
      </c>
    </row>
    <row r="70" spans="1:16" s="458" customFormat="1" ht="3" customHeight="1">
      <c r="A70" s="733"/>
      <c r="B70" s="733"/>
      <c r="D70" s="714"/>
      <c r="E70" s="714"/>
      <c r="F70" s="714"/>
      <c r="G70" s="714"/>
      <c r="I70" s="723"/>
      <c r="K70" s="713"/>
      <c r="L70" s="713"/>
      <c r="M70" s="723"/>
      <c r="P70" s="723"/>
    </row>
    <row r="71" spans="1:16" s="458" customFormat="1" ht="13.15" customHeight="1">
      <c r="A71" s="733"/>
      <c r="B71" s="733" t="s">
        <v>3210</v>
      </c>
      <c r="C71" s="470" t="s">
        <v>1977</v>
      </c>
      <c r="D71" s="487"/>
      <c r="E71" s="487"/>
      <c r="G71" s="489" t="s">
        <v>1978</v>
      </c>
      <c r="H71" s="1558"/>
      <c r="K71" s="775" t="s">
        <v>812</v>
      </c>
      <c r="L71" s="775"/>
      <c r="P71" s="490">
        <f>IF('Part VI-Revenues &amp; Expenses'!$M$63=0,0,$H71/'Part VI-Revenues &amp; Expenses'!$M$63)</f>
        <v>0</v>
      </c>
    </row>
    <row r="72" spans="1:16" s="458" customFormat="1" ht="9" customHeight="1">
      <c r="A72" s="733"/>
      <c r="B72" s="733"/>
      <c r="D72" s="714"/>
      <c r="E72" s="714"/>
      <c r="F72" s="714"/>
      <c r="G72" s="714"/>
      <c r="I72" s="723"/>
      <c r="J72" s="723"/>
      <c r="K72" s="723"/>
      <c r="L72" s="723"/>
      <c r="M72" s="723"/>
      <c r="N72" s="721"/>
      <c r="P72" s="469"/>
    </row>
    <row r="73" spans="1:16" s="458" customFormat="1" ht="13.15" customHeight="1">
      <c r="A73" s="491" t="s">
        <v>1347</v>
      </c>
      <c r="B73" s="733"/>
      <c r="C73" s="717" t="s">
        <v>3590</v>
      </c>
      <c r="D73" s="714"/>
      <c r="E73" s="714"/>
      <c r="F73" s="714"/>
      <c r="G73" s="714"/>
      <c r="H73" s="714"/>
      <c r="I73" s="723"/>
      <c r="M73" s="723"/>
      <c r="N73" s="721"/>
      <c r="P73" s="469"/>
    </row>
    <row r="74" spans="1:16" s="458" customFormat="1" ht="3" customHeight="1">
      <c r="A74" s="733"/>
      <c r="B74" s="733"/>
      <c r="C74" s="717"/>
      <c r="D74" s="714"/>
      <c r="E74" s="714"/>
      <c r="F74" s="714"/>
      <c r="L74" s="723"/>
      <c r="M74" s="723"/>
      <c r="N74" s="721"/>
      <c r="P74" s="469"/>
    </row>
    <row r="75" spans="1:16" s="458" customFormat="1" ht="13.15" customHeight="1">
      <c r="A75" s="733"/>
      <c r="B75" s="733" t="s">
        <v>3058</v>
      </c>
      <c r="C75" s="395" t="s">
        <v>3589</v>
      </c>
      <c r="D75" s="714"/>
      <c r="E75" s="714"/>
      <c r="F75" s="714"/>
      <c r="H75" s="1561" t="s">
        <v>1460</v>
      </c>
      <c r="I75" s="1562"/>
      <c r="J75" s="1563"/>
      <c r="M75" s="723"/>
      <c r="N75" s="721"/>
      <c r="P75" s="469"/>
    </row>
    <row r="76" spans="1:16" s="458" customFormat="1" ht="3" customHeight="1">
      <c r="A76" s="733"/>
      <c r="B76" s="733"/>
      <c r="D76" s="714"/>
      <c r="E76" s="714"/>
      <c r="F76" s="714"/>
      <c r="G76" s="714"/>
      <c r="I76" s="723"/>
      <c r="J76" s="723"/>
      <c r="K76" s="723"/>
      <c r="L76" s="723"/>
      <c r="M76" s="723"/>
      <c r="N76" s="721"/>
      <c r="P76" s="469"/>
    </row>
    <row r="77" spans="1:16" s="458" customFormat="1" ht="13.15" customHeight="1">
      <c r="B77" s="733" t="s">
        <v>3061</v>
      </c>
      <c r="C77" s="461" t="s">
        <v>2285</v>
      </c>
      <c r="K77" s="464" t="s">
        <v>1459</v>
      </c>
      <c r="N77" s="492"/>
      <c r="P77" s="1445"/>
    </row>
    <row r="78" spans="1:16" s="458" customFormat="1" ht="9" customHeight="1">
      <c r="A78" s="733"/>
      <c r="B78" s="733"/>
      <c r="C78" s="461"/>
      <c r="D78" s="714"/>
      <c r="E78" s="714"/>
      <c r="F78" s="714"/>
      <c r="G78" s="714"/>
      <c r="I78" s="723"/>
      <c r="J78" s="723"/>
      <c r="K78" s="723"/>
      <c r="L78" s="723"/>
      <c r="M78" s="723"/>
      <c r="N78" s="721"/>
      <c r="P78" s="469"/>
    </row>
    <row r="79" spans="1:16" s="458" customFormat="1" ht="13.15" customHeight="1">
      <c r="A79" s="491" t="s">
        <v>385</v>
      </c>
      <c r="B79" s="733"/>
      <c r="C79" s="717" t="s">
        <v>3131</v>
      </c>
      <c r="D79" s="714"/>
      <c r="E79" s="714"/>
      <c r="F79" s="714"/>
      <c r="G79" s="714"/>
      <c r="H79" s="714"/>
      <c r="I79" s="723"/>
      <c r="M79" s="723"/>
      <c r="N79" s="721"/>
      <c r="P79" s="469"/>
    </row>
    <row r="80" spans="1:16" s="458" customFormat="1" ht="3" customHeight="1">
      <c r="A80" s="733"/>
      <c r="B80" s="733"/>
      <c r="D80" s="714"/>
      <c r="E80" s="714"/>
      <c r="F80" s="714"/>
      <c r="G80" s="714"/>
      <c r="I80" s="723"/>
      <c r="J80" s="723"/>
      <c r="K80" s="723"/>
      <c r="L80" s="723"/>
      <c r="M80" s="723"/>
      <c r="N80" s="721"/>
      <c r="P80" s="469"/>
    </row>
    <row r="81" spans="1:16" s="458" customFormat="1" ht="13.15" customHeight="1">
      <c r="B81" s="733"/>
      <c r="C81" s="461"/>
      <c r="E81" s="1445" t="s">
        <v>3924</v>
      </c>
      <c r="F81" s="487" t="s">
        <v>3912</v>
      </c>
      <c r="H81" s="1445" t="s">
        <v>3924</v>
      </c>
      <c r="I81" s="713" t="s">
        <v>3911</v>
      </c>
      <c r="K81" s="1445" t="s">
        <v>3923</v>
      </c>
      <c r="L81" s="458" t="s">
        <v>144</v>
      </c>
    </row>
    <row r="82" spans="1:16" s="458" customFormat="1" ht="13.15" customHeight="1">
      <c r="A82" s="733"/>
      <c r="B82" s="733"/>
      <c r="D82" s="480"/>
      <c r="E82" s="1445" t="s">
        <v>3923</v>
      </c>
      <c r="F82" s="713" t="s">
        <v>650</v>
      </c>
      <c r="H82" s="1445" t="s">
        <v>3923</v>
      </c>
      <c r="I82" s="714" t="s">
        <v>3231</v>
      </c>
      <c r="K82" s="1445" t="s">
        <v>3923</v>
      </c>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1834</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847</v>
      </c>
      <c r="D86" s="721"/>
      <c r="E86" s="1448"/>
      <c r="F86" s="1449"/>
      <c r="G86" s="1449"/>
      <c r="H86" s="1449"/>
      <c r="I86" s="1449"/>
      <c r="J86" s="1449"/>
      <c r="K86" s="1449"/>
      <c r="L86" s="1450"/>
      <c r="M86" s="800" t="s">
        <v>848</v>
      </c>
      <c r="N86" s="800"/>
      <c r="O86" s="1564"/>
      <c r="P86" s="1565"/>
    </row>
    <row r="87" spans="1:16" s="458" customFormat="1" ht="13.15" customHeight="1">
      <c r="C87" s="464" t="s">
        <v>1641</v>
      </c>
      <c r="D87" s="472"/>
      <c r="E87" s="1448"/>
      <c r="F87" s="1449"/>
      <c r="G87" s="1449"/>
      <c r="H87" s="1449"/>
      <c r="I87" s="1449"/>
      <c r="J87" s="1449"/>
      <c r="K87" s="1449"/>
      <c r="L87" s="1450"/>
      <c r="M87" s="800" t="s">
        <v>1390</v>
      </c>
      <c r="N87" s="800"/>
      <c r="O87" s="1486"/>
      <c r="P87" s="1488"/>
    </row>
    <row r="88" spans="1:16" s="458" customFormat="1" ht="13.15" customHeight="1">
      <c r="C88" s="464" t="s">
        <v>953</v>
      </c>
      <c r="E88" s="1448"/>
      <c r="F88" s="1190"/>
      <c r="G88" s="1191"/>
      <c r="H88" s="716" t="s">
        <v>2829</v>
      </c>
      <c r="I88" s="1445"/>
      <c r="J88" s="493" t="s">
        <v>3352</v>
      </c>
      <c r="K88" s="1482"/>
      <c r="L88" s="1191"/>
      <c r="M88" s="418"/>
      <c r="N88" s="418"/>
      <c r="O88" s="418"/>
      <c r="P88" s="418"/>
    </row>
    <row r="89" spans="1:16" s="458" customFormat="1" ht="13.15" customHeight="1">
      <c r="C89" s="458" t="s">
        <v>3300</v>
      </c>
      <c r="E89" s="1448"/>
      <c r="F89" s="1190"/>
      <c r="G89" s="1191"/>
      <c r="H89" s="723" t="s">
        <v>3055</v>
      </c>
      <c r="I89" s="1448"/>
      <c r="J89" s="1190"/>
      <c r="K89" s="1191"/>
      <c r="L89" s="735" t="s">
        <v>3059</v>
      </c>
      <c r="M89" s="1448"/>
      <c r="N89" s="1190"/>
      <c r="O89" s="1190"/>
      <c r="P89" s="1191"/>
    </row>
    <row r="90" spans="1:16" s="458" customFormat="1" ht="13.15" customHeight="1">
      <c r="C90" s="464" t="s">
        <v>3299</v>
      </c>
      <c r="E90" s="1479"/>
      <c r="F90" s="1480"/>
      <c r="G90" s="1481"/>
      <c r="H90" s="723" t="s">
        <v>2832</v>
      </c>
      <c r="I90" s="1485"/>
      <c r="J90" s="1191"/>
      <c r="K90" s="493" t="s">
        <v>2833</v>
      </c>
      <c r="L90" s="1485"/>
      <c r="M90" s="1191"/>
      <c r="N90" s="493" t="s">
        <v>3054</v>
      </c>
      <c r="O90" s="1485"/>
      <c r="P90" s="1191"/>
    </row>
    <row r="91" spans="1:16" s="458" customFormat="1" ht="3" customHeight="1">
      <c r="A91" s="733"/>
      <c r="B91" s="733"/>
      <c r="G91" s="480"/>
      <c r="H91" s="723"/>
      <c r="I91" s="723"/>
      <c r="M91" s="469"/>
    </row>
    <row r="92" spans="1:16" s="458" customFormat="1" ht="13.15" customHeight="1">
      <c r="A92" s="491" t="s">
        <v>463</v>
      </c>
      <c r="B92" s="733"/>
      <c r="C92" s="717" t="s">
        <v>2665</v>
      </c>
      <c r="D92" s="480"/>
      <c r="E92" s="480"/>
      <c r="F92" s="723"/>
      <c r="G92" s="723"/>
      <c r="H92" s="723"/>
      <c r="I92" s="723"/>
      <c r="J92" s="480"/>
      <c r="K92" s="723"/>
      <c r="L92" s="723"/>
      <c r="N92" s="721"/>
      <c r="O92" s="721"/>
      <c r="P92" s="469"/>
    </row>
    <row r="93" spans="1:16" s="458" customFormat="1" ht="3.6" customHeight="1">
      <c r="A93" s="491"/>
      <c r="B93" s="733"/>
      <c r="C93" s="717"/>
      <c r="D93" s="480"/>
      <c r="E93" s="480"/>
      <c r="F93" s="723"/>
      <c r="G93" s="723"/>
      <c r="H93" s="723"/>
      <c r="I93" s="723"/>
      <c r="J93" s="480"/>
      <c r="K93" s="723"/>
      <c r="L93" s="723"/>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3058</v>
      </c>
      <c r="C96" s="717" t="s">
        <v>2122</v>
      </c>
      <c r="D96" s="714"/>
      <c r="E96" s="714"/>
      <c r="F96" s="723"/>
      <c r="G96" s="723"/>
      <c r="H96" s="1483">
        <v>2</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3061</v>
      </c>
      <c r="C98" s="717" t="s">
        <v>525</v>
      </c>
      <c r="D98" s="714"/>
      <c r="E98" s="714"/>
      <c r="F98" s="723"/>
      <c r="G98" s="723"/>
      <c r="H98" s="1566">
        <v>1364751</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1238</v>
      </c>
      <c r="C100" s="717" t="s">
        <v>395</v>
      </c>
      <c r="D100" s="714"/>
      <c r="E100" s="714"/>
      <c r="F100" s="723"/>
      <c r="G100" s="723"/>
      <c r="H100" s="723"/>
      <c r="I100" s="723"/>
      <c r="J100" s="480"/>
      <c r="K100" s="723"/>
      <c r="L100" s="723"/>
      <c r="N100" s="721"/>
      <c r="O100" s="721"/>
    </row>
    <row r="101" spans="1:16" s="458" customFormat="1" ht="13.15" customHeight="1">
      <c r="B101" s="733"/>
      <c r="C101" s="714" t="s">
        <v>3233</v>
      </c>
      <c r="D101" s="714"/>
      <c r="F101" s="714" t="s">
        <v>1773</v>
      </c>
      <c r="G101" s="723"/>
      <c r="H101" s="723"/>
      <c r="I101" s="723"/>
      <c r="J101" s="714" t="s">
        <v>3233</v>
      </c>
      <c r="K101" s="714"/>
      <c r="M101" s="714" t="s">
        <v>1773</v>
      </c>
      <c r="N101" s="723"/>
      <c r="O101" s="723"/>
      <c r="P101" s="723"/>
    </row>
    <row r="102" spans="1:16" s="458" customFormat="1" ht="13.15" customHeight="1">
      <c r="A102" s="733"/>
      <c r="B102" s="733"/>
      <c r="C102" s="1567" t="s">
        <v>3934</v>
      </c>
      <c r="D102" s="1568"/>
      <c r="E102" s="1568"/>
      <c r="F102" s="1568" t="s">
        <v>3981</v>
      </c>
      <c r="G102" s="1568"/>
      <c r="H102" s="1568"/>
      <c r="I102" s="1569"/>
      <c r="J102" s="1567">
        <v>8</v>
      </c>
      <c r="K102" s="1568"/>
      <c r="L102" s="1568"/>
      <c r="M102" s="1568"/>
      <c r="N102" s="1568"/>
      <c r="O102" s="1568"/>
      <c r="P102" s="1569"/>
    </row>
    <row r="103" spans="1:16" s="458" customFormat="1" ht="13.15" customHeight="1">
      <c r="A103" s="733"/>
      <c r="B103" s="733"/>
      <c r="C103" s="1570" t="s">
        <v>3919</v>
      </c>
      <c r="D103" s="1571"/>
      <c r="E103" s="1571"/>
      <c r="F103" s="1571" t="s">
        <v>3981</v>
      </c>
      <c r="G103" s="1571"/>
      <c r="H103" s="1571"/>
      <c r="I103" s="1572"/>
      <c r="J103" s="1570">
        <v>9</v>
      </c>
      <c r="K103" s="1571"/>
      <c r="L103" s="1571"/>
      <c r="M103" s="1571"/>
      <c r="N103" s="1571"/>
      <c r="O103" s="1571"/>
      <c r="P103" s="1572"/>
    </row>
    <row r="104" spans="1:16" s="458" customFormat="1" ht="13.15" customHeight="1">
      <c r="A104" s="733"/>
      <c r="B104" s="733"/>
      <c r="C104" s="1570" t="s">
        <v>3948</v>
      </c>
      <c r="D104" s="1571"/>
      <c r="E104" s="1571"/>
      <c r="F104" s="1571" t="s">
        <v>3981</v>
      </c>
      <c r="G104" s="1571"/>
      <c r="H104" s="1571"/>
      <c r="I104" s="1572"/>
      <c r="J104" s="1570">
        <v>10</v>
      </c>
      <c r="K104" s="1571"/>
      <c r="L104" s="1571"/>
      <c r="M104" s="1571"/>
      <c r="N104" s="1571"/>
      <c r="O104" s="1571"/>
      <c r="P104" s="1572"/>
    </row>
    <row r="105" spans="1:16" s="458" customFormat="1" ht="13.15" customHeight="1">
      <c r="A105" s="733"/>
      <c r="B105" s="733"/>
      <c r="C105" s="1570">
        <v>4</v>
      </c>
      <c r="D105" s="1571"/>
      <c r="E105" s="1571"/>
      <c r="F105" s="1571"/>
      <c r="G105" s="1571"/>
      <c r="H105" s="1571"/>
      <c r="I105" s="1572"/>
      <c r="J105" s="1570">
        <v>11</v>
      </c>
      <c r="K105" s="1571"/>
      <c r="L105" s="1571"/>
      <c r="M105" s="1571"/>
      <c r="N105" s="1571"/>
      <c r="O105" s="1571"/>
      <c r="P105" s="1572"/>
    </row>
    <row r="106" spans="1:16" s="458" customFormat="1" ht="13.15" customHeight="1">
      <c r="A106" s="733"/>
      <c r="B106" s="733"/>
      <c r="C106" s="1570">
        <v>5</v>
      </c>
      <c r="D106" s="1571"/>
      <c r="E106" s="1571"/>
      <c r="F106" s="1571"/>
      <c r="G106" s="1571"/>
      <c r="H106" s="1571"/>
      <c r="I106" s="1572"/>
      <c r="J106" s="1570">
        <v>12</v>
      </c>
      <c r="K106" s="1571"/>
      <c r="L106" s="1571"/>
      <c r="M106" s="1571"/>
      <c r="N106" s="1571"/>
      <c r="O106" s="1571"/>
      <c r="P106" s="1572"/>
    </row>
    <row r="107" spans="1:16" s="458" customFormat="1" ht="13.15" customHeight="1">
      <c r="A107" s="733"/>
      <c r="B107" s="733"/>
      <c r="C107" s="1570">
        <v>6</v>
      </c>
      <c r="D107" s="1571"/>
      <c r="E107" s="1571"/>
      <c r="F107" s="1571"/>
      <c r="G107" s="1571"/>
      <c r="H107" s="1571"/>
      <c r="I107" s="1572"/>
      <c r="J107" s="1570">
        <v>13</v>
      </c>
      <c r="K107" s="1571"/>
      <c r="L107" s="1571"/>
      <c r="M107" s="1571"/>
      <c r="N107" s="1571"/>
      <c r="O107" s="1571"/>
      <c r="P107" s="1572"/>
    </row>
    <row r="108" spans="1:16" s="458" customFormat="1" ht="13.15" customHeight="1">
      <c r="A108" s="733"/>
      <c r="B108" s="733"/>
      <c r="C108" s="1573">
        <v>7</v>
      </c>
      <c r="D108" s="1574"/>
      <c r="E108" s="1574"/>
      <c r="F108" s="1574"/>
      <c r="G108" s="1574"/>
      <c r="H108" s="1574"/>
      <c r="I108" s="1575"/>
      <c r="J108" s="1573">
        <v>14</v>
      </c>
      <c r="K108" s="1574"/>
      <c r="L108" s="1574"/>
      <c r="M108" s="1574"/>
      <c r="N108" s="1574"/>
      <c r="O108" s="1574"/>
      <c r="P108" s="1575"/>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3210</v>
      </c>
      <c r="C110" s="801" t="s">
        <v>2898</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4" t="s">
        <v>3233</v>
      </c>
      <c r="D112" s="714"/>
      <c r="F112" s="714" t="s">
        <v>1773</v>
      </c>
      <c r="G112" s="723"/>
      <c r="H112" s="723"/>
      <c r="I112" s="723"/>
      <c r="J112" s="714" t="s">
        <v>3233</v>
      </c>
      <c r="K112" s="714"/>
      <c r="M112" s="714" t="s">
        <v>1773</v>
      </c>
      <c r="N112" s="723"/>
      <c r="O112" s="723"/>
      <c r="P112" s="723"/>
    </row>
    <row r="113" spans="1:16" s="458" customFormat="1" ht="13.15" customHeight="1">
      <c r="A113" s="733"/>
      <c r="B113" s="733"/>
      <c r="C113" s="1567">
        <v>1</v>
      </c>
      <c r="D113" s="1568"/>
      <c r="E113" s="1568"/>
      <c r="F113" s="1568"/>
      <c r="G113" s="1568"/>
      <c r="H113" s="1568"/>
      <c r="I113" s="1569"/>
      <c r="J113" s="1567">
        <v>8</v>
      </c>
      <c r="K113" s="1568"/>
      <c r="L113" s="1568"/>
      <c r="M113" s="1568"/>
      <c r="N113" s="1568"/>
      <c r="O113" s="1568"/>
      <c r="P113" s="1569"/>
    </row>
    <row r="114" spans="1:16" s="458" customFormat="1" ht="13.15" customHeight="1">
      <c r="A114" s="733"/>
      <c r="B114" s="733"/>
      <c r="C114" s="1570">
        <v>2</v>
      </c>
      <c r="D114" s="1571"/>
      <c r="E114" s="1571"/>
      <c r="F114" s="1571"/>
      <c r="G114" s="1571"/>
      <c r="H114" s="1571"/>
      <c r="I114" s="1572"/>
      <c r="J114" s="1570">
        <v>9</v>
      </c>
      <c r="K114" s="1571"/>
      <c r="L114" s="1571"/>
      <c r="M114" s="1571"/>
      <c r="N114" s="1571"/>
      <c r="O114" s="1571"/>
      <c r="P114" s="1572"/>
    </row>
    <row r="115" spans="1:16" s="458" customFormat="1" ht="13.15" customHeight="1">
      <c r="A115" s="733"/>
      <c r="B115" s="733"/>
      <c r="C115" s="1570">
        <v>3</v>
      </c>
      <c r="D115" s="1571"/>
      <c r="E115" s="1571"/>
      <c r="F115" s="1571"/>
      <c r="G115" s="1571"/>
      <c r="H115" s="1571"/>
      <c r="I115" s="1572"/>
      <c r="J115" s="1570">
        <v>10</v>
      </c>
      <c r="K115" s="1571"/>
      <c r="L115" s="1571"/>
      <c r="M115" s="1571"/>
      <c r="N115" s="1571"/>
      <c r="O115" s="1571"/>
      <c r="P115" s="1572"/>
    </row>
    <row r="116" spans="1:16" s="458" customFormat="1" ht="13.15" customHeight="1">
      <c r="A116" s="733"/>
      <c r="B116" s="733"/>
      <c r="C116" s="1570">
        <v>4</v>
      </c>
      <c r="D116" s="1571"/>
      <c r="E116" s="1571"/>
      <c r="F116" s="1571"/>
      <c r="G116" s="1571"/>
      <c r="H116" s="1571"/>
      <c r="I116" s="1572"/>
      <c r="J116" s="1570">
        <v>11</v>
      </c>
      <c r="K116" s="1571"/>
      <c r="L116" s="1571"/>
      <c r="M116" s="1571"/>
      <c r="N116" s="1571"/>
      <c r="O116" s="1571"/>
      <c r="P116" s="1572"/>
    </row>
    <row r="117" spans="1:16" s="458" customFormat="1" ht="13.15" customHeight="1">
      <c r="A117" s="733"/>
      <c r="B117" s="733"/>
      <c r="C117" s="1570">
        <v>5</v>
      </c>
      <c r="D117" s="1571"/>
      <c r="E117" s="1571"/>
      <c r="F117" s="1571"/>
      <c r="G117" s="1571"/>
      <c r="H117" s="1571"/>
      <c r="I117" s="1572"/>
      <c r="J117" s="1570">
        <v>12</v>
      </c>
      <c r="K117" s="1571"/>
      <c r="L117" s="1571"/>
      <c r="M117" s="1571"/>
      <c r="N117" s="1571"/>
      <c r="O117" s="1571"/>
      <c r="P117" s="1572"/>
    </row>
    <row r="118" spans="1:16" s="458" customFormat="1" ht="13.15" customHeight="1">
      <c r="A118" s="733"/>
      <c r="B118" s="733"/>
      <c r="C118" s="1570">
        <v>6</v>
      </c>
      <c r="D118" s="1571"/>
      <c r="E118" s="1571"/>
      <c r="F118" s="1571"/>
      <c r="G118" s="1571"/>
      <c r="H118" s="1571"/>
      <c r="I118" s="1572"/>
      <c r="J118" s="1570">
        <v>13</v>
      </c>
      <c r="K118" s="1571"/>
      <c r="L118" s="1571"/>
      <c r="M118" s="1571"/>
      <c r="N118" s="1571"/>
      <c r="O118" s="1571"/>
      <c r="P118" s="1572"/>
    </row>
    <row r="119" spans="1:16" s="458" customFormat="1" ht="13.15" customHeight="1">
      <c r="A119" s="733"/>
      <c r="B119" s="733"/>
      <c r="C119" s="1573">
        <v>7</v>
      </c>
      <c r="D119" s="1574"/>
      <c r="E119" s="1574"/>
      <c r="F119" s="1574"/>
      <c r="G119" s="1574"/>
      <c r="H119" s="1574"/>
      <c r="I119" s="1575"/>
      <c r="J119" s="1573">
        <v>14</v>
      </c>
      <c r="K119" s="1574"/>
      <c r="L119" s="1574"/>
      <c r="M119" s="1574"/>
      <c r="N119" s="1574"/>
      <c r="O119" s="1574"/>
      <c r="P119" s="1575"/>
    </row>
    <row r="120" spans="1:16" s="458" customFormat="1" ht="6.6" customHeight="1">
      <c r="A120" s="733"/>
      <c r="B120" s="733"/>
      <c r="C120" s="714"/>
      <c r="D120" s="714"/>
      <c r="E120" s="714"/>
      <c r="F120" s="723"/>
      <c r="G120" s="723"/>
      <c r="H120" s="723"/>
      <c r="I120" s="723"/>
      <c r="J120" s="480"/>
      <c r="K120" s="723"/>
      <c r="L120" s="723"/>
      <c r="N120" s="721"/>
      <c r="O120" s="721"/>
      <c r="P120" s="469"/>
    </row>
    <row r="121" spans="1:16" s="458" customFormat="1" ht="13.15" customHeight="1">
      <c r="A121" s="491" t="s">
        <v>464</v>
      </c>
      <c r="B121" s="733"/>
      <c r="C121" s="488" t="s">
        <v>3663</v>
      </c>
      <c r="D121" s="488"/>
      <c r="E121" s="488"/>
      <c r="F121" s="488"/>
      <c r="H121" s="1445"/>
      <c r="M121" s="723"/>
      <c r="N121" s="721"/>
      <c r="O121" s="721"/>
      <c r="P121" s="469"/>
    </row>
    <row r="122" spans="1:16" s="458" customFormat="1" ht="3" customHeight="1">
      <c r="A122" s="491"/>
      <c r="B122" s="733"/>
      <c r="C122" s="717"/>
      <c r="D122" s="717"/>
      <c r="E122" s="717"/>
      <c r="F122" s="717"/>
      <c r="G122" s="723"/>
      <c r="M122" s="723"/>
      <c r="N122" s="721"/>
      <c r="O122" s="721"/>
    </row>
    <row r="123" spans="1:16" s="458" customFormat="1" ht="13.15" customHeight="1">
      <c r="A123" s="733"/>
      <c r="B123" s="733" t="s">
        <v>3058</v>
      </c>
      <c r="C123" s="465" t="s">
        <v>2731</v>
      </c>
      <c r="H123" s="1445"/>
      <c r="M123" s="723"/>
      <c r="N123" s="721"/>
      <c r="O123" s="721"/>
      <c r="P123" s="469"/>
    </row>
    <row r="124" spans="1:16" s="458" customFormat="1" ht="13.15" customHeight="1">
      <c r="A124" s="733"/>
      <c r="B124" s="733"/>
      <c r="C124" s="714" t="s">
        <v>3665</v>
      </c>
      <c r="D124" s="714"/>
      <c r="E124" s="714"/>
      <c r="F124" s="723"/>
      <c r="H124" s="1576"/>
      <c r="N124" s="721"/>
      <c r="O124" s="721"/>
      <c r="P124" s="469"/>
    </row>
    <row r="125" spans="1:16" s="458" customFormat="1" ht="13.15" customHeight="1">
      <c r="A125" s="733"/>
      <c r="B125" s="733"/>
      <c r="C125" s="496" t="s">
        <v>2730</v>
      </c>
      <c r="D125" s="464"/>
      <c r="H125" s="1448"/>
      <c r="I125" s="1450"/>
      <c r="P125" s="469"/>
    </row>
    <row r="126" spans="1:16" s="458" customFormat="1" ht="13.15" customHeight="1">
      <c r="A126" s="733"/>
      <c r="B126" s="733"/>
      <c r="C126" s="714" t="s">
        <v>3666</v>
      </c>
      <c r="D126" s="714"/>
      <c r="E126" s="714"/>
      <c r="F126" s="723"/>
      <c r="H126" s="1576"/>
      <c r="K126" s="418" t="s">
        <v>3373</v>
      </c>
      <c r="O126" s="1448" t="s">
        <v>714</v>
      </c>
      <c r="P126" s="1450"/>
    </row>
    <row r="127" spans="1:16" s="458" customFormat="1" ht="13.15" customHeight="1">
      <c r="A127" s="733"/>
      <c r="B127" s="733"/>
      <c r="C127" s="714" t="s">
        <v>3664</v>
      </c>
      <c r="F127" s="723"/>
      <c r="H127" s="1483"/>
      <c r="K127" s="418" t="s">
        <v>3374</v>
      </c>
      <c r="O127" s="1448" t="s">
        <v>714</v>
      </c>
      <c r="P127" s="1450"/>
    </row>
    <row r="128" spans="1:16" s="458" customFormat="1" ht="13.15" customHeight="1">
      <c r="A128" s="733"/>
      <c r="B128" s="733"/>
      <c r="C128" s="714" t="s">
        <v>3271</v>
      </c>
      <c r="D128" s="714"/>
      <c r="E128" s="714"/>
      <c r="F128" s="723"/>
      <c r="H128" s="1564"/>
      <c r="I128" s="1565"/>
      <c r="N128" s="721"/>
      <c r="O128" s="721"/>
      <c r="P128" s="469"/>
    </row>
    <row r="129" spans="1:16" s="458" customFormat="1" ht="3" customHeight="1">
      <c r="A129" s="733"/>
      <c r="B129" s="733"/>
      <c r="C129" s="714"/>
      <c r="D129" s="714"/>
      <c r="E129" s="714"/>
      <c r="F129" s="723"/>
      <c r="N129" s="721"/>
      <c r="O129" s="721"/>
      <c r="P129" s="469"/>
    </row>
    <row r="130" spans="1:16" s="458" customFormat="1" ht="13.15" customHeight="1">
      <c r="A130" s="733"/>
      <c r="B130" s="733" t="s">
        <v>3061</v>
      </c>
      <c r="C130" s="717" t="s">
        <v>3768</v>
      </c>
      <c r="D130" s="714"/>
      <c r="E130" s="714"/>
      <c r="F130" s="723"/>
      <c r="H130" s="1483"/>
      <c r="N130" s="721"/>
      <c r="O130" s="721"/>
      <c r="P130" s="469"/>
    </row>
    <row r="131" spans="1:16" s="458" customFormat="1" ht="3" customHeight="1">
      <c r="A131" s="733"/>
      <c r="B131" s="733"/>
      <c r="C131" s="714"/>
      <c r="D131" s="714"/>
      <c r="E131" s="714"/>
      <c r="F131" s="723"/>
      <c r="G131" s="723"/>
      <c r="M131" s="723"/>
      <c r="N131" s="721"/>
      <c r="O131" s="721"/>
      <c r="P131" s="469"/>
    </row>
    <row r="132" spans="1:16" s="458" customFormat="1" ht="13.15" customHeight="1">
      <c r="A132" s="733"/>
      <c r="B132" s="733" t="s">
        <v>1238</v>
      </c>
      <c r="C132" s="717" t="s">
        <v>981</v>
      </c>
      <c r="D132" s="714"/>
      <c r="E132" s="714"/>
      <c r="F132" s="723"/>
      <c r="G132" s="723"/>
      <c r="N132" s="721"/>
      <c r="O132" s="721"/>
      <c r="P132" s="469"/>
    </row>
    <row r="133" spans="1:16" s="458" customFormat="1" ht="13.15" customHeight="1">
      <c r="A133" s="733"/>
      <c r="B133" s="733"/>
      <c r="C133" s="714" t="s">
        <v>1085</v>
      </c>
      <c r="D133" s="714"/>
      <c r="E133" s="714"/>
      <c r="F133" s="723"/>
      <c r="G133" s="723"/>
      <c r="H133" s="1483"/>
      <c r="K133" s="714" t="s">
        <v>2286</v>
      </c>
      <c r="L133" s="714"/>
      <c r="M133" s="723"/>
      <c r="N133" s="723"/>
      <c r="O133" s="1483"/>
      <c r="P133" s="469"/>
    </row>
    <row r="134" spans="1:16" s="458" customFormat="1" ht="13.15" customHeight="1">
      <c r="A134" s="733"/>
      <c r="B134" s="733"/>
      <c r="C134" s="714" t="s">
        <v>1086</v>
      </c>
      <c r="D134" s="714"/>
      <c r="E134" s="714"/>
      <c r="F134" s="723"/>
      <c r="G134" s="723"/>
      <c r="H134" s="1483"/>
      <c r="J134" s="714"/>
      <c r="K134" s="714"/>
      <c r="L134" s="714"/>
      <c r="M134" s="723"/>
      <c r="N134" s="723"/>
      <c r="O134" s="723"/>
      <c r="P134" s="469"/>
    </row>
    <row r="135" spans="1:16" s="458" customFormat="1" ht="6" customHeight="1">
      <c r="A135" s="733"/>
      <c r="B135" s="733"/>
      <c r="C135" s="714"/>
      <c r="D135" s="714"/>
      <c r="E135" s="714"/>
      <c r="F135" s="723"/>
      <c r="G135" s="723"/>
      <c r="H135" s="723"/>
      <c r="I135" s="723"/>
      <c r="J135" s="480"/>
      <c r="K135" s="723"/>
      <c r="L135" s="723"/>
      <c r="N135" s="721"/>
      <c r="O135" s="721"/>
      <c r="P135" s="469"/>
    </row>
    <row r="136" spans="1:16" s="458" customFormat="1" ht="13.15" customHeight="1">
      <c r="A136" s="491" t="s">
        <v>465</v>
      </c>
      <c r="B136" s="733"/>
      <c r="C136" s="488" t="s">
        <v>1835</v>
      </c>
      <c r="D136" s="488"/>
      <c r="E136" s="488"/>
      <c r="F136" s="488"/>
      <c r="G136" s="723"/>
      <c r="H136" s="723"/>
      <c r="I136" s="723"/>
      <c r="J136" s="480"/>
      <c r="K136" s="723"/>
      <c r="L136" s="723"/>
      <c r="N136" s="721"/>
      <c r="O136" s="721"/>
      <c r="P136" s="469"/>
    </row>
    <row r="137" spans="1:16" s="458" customFormat="1" ht="1.9" customHeight="1">
      <c r="A137" s="491"/>
      <c r="B137" s="733"/>
      <c r="C137" s="717"/>
      <c r="D137" s="717"/>
      <c r="E137" s="717"/>
      <c r="F137" s="717"/>
      <c r="G137" s="723"/>
      <c r="H137" s="723"/>
      <c r="I137" s="723"/>
      <c r="J137" s="480"/>
      <c r="K137" s="723"/>
      <c r="L137" s="723"/>
      <c r="N137" s="721"/>
      <c r="O137" s="721"/>
    </row>
    <row r="138" spans="1:16" s="458" customFormat="1" ht="13.15" customHeight="1">
      <c r="A138" s="733"/>
      <c r="B138" s="733" t="s">
        <v>3058</v>
      </c>
      <c r="C138" s="479" t="s">
        <v>2863</v>
      </c>
      <c r="F138" s="723"/>
      <c r="G138" s="723"/>
      <c r="H138" s="723"/>
      <c r="I138" s="723"/>
      <c r="J138" s="480"/>
      <c r="K138" s="723"/>
      <c r="L138" s="723"/>
      <c r="N138" s="721"/>
      <c r="O138" s="721"/>
      <c r="P138" s="469"/>
    </row>
    <row r="139" spans="1:16" s="458" customFormat="1" ht="12.6" customHeight="1">
      <c r="A139" s="733"/>
      <c r="B139" s="733"/>
      <c r="C139" s="487" t="s">
        <v>2278</v>
      </c>
      <c r="D139" s="480"/>
      <c r="E139" s="480"/>
      <c r="F139" s="723"/>
      <c r="G139" s="723"/>
      <c r="H139" s="723"/>
      <c r="I139" s="723"/>
      <c r="K139" s="1483"/>
      <c r="N139" s="721"/>
      <c r="O139" s="721"/>
      <c r="P139" s="469"/>
    </row>
    <row r="140" spans="1:16" s="458" customFormat="1" ht="12.6" customHeight="1">
      <c r="A140" s="733"/>
      <c r="B140" s="733"/>
      <c r="C140" s="458" t="s">
        <v>949</v>
      </c>
      <c r="K140" s="1558"/>
      <c r="L140" s="464" t="s">
        <v>2825</v>
      </c>
      <c r="P140" s="497">
        <f>IF('Part VI-Revenues &amp; Expenses'!$M$61=0,0,$K140/'Part VI-Revenues &amp; Expenses'!$M$61)</f>
        <v>0</v>
      </c>
    </row>
    <row r="141" spans="1:16" s="458" customFormat="1" ht="12.6" customHeight="1">
      <c r="A141" s="733"/>
      <c r="B141" s="733"/>
      <c r="C141" s="458" t="s">
        <v>3272</v>
      </c>
      <c r="K141" s="1558"/>
      <c r="L141" s="464" t="s">
        <v>2825</v>
      </c>
      <c r="P141" s="497">
        <f>IF('Part VI-Revenues &amp; Expenses'!$M$61=0,0,$K141/'Part VI-Revenues &amp; Expenses'!$M$61)</f>
        <v>0</v>
      </c>
    </row>
    <row r="142" spans="1:16" s="458" customFormat="1" ht="12.6" customHeight="1">
      <c r="A142" s="733"/>
      <c r="B142" s="733"/>
      <c r="C142" s="458" t="s">
        <v>2826</v>
      </c>
      <c r="E142" s="1448"/>
      <c r="F142" s="1449"/>
      <c r="G142" s="1449"/>
      <c r="H142" s="1449"/>
      <c r="I142" s="1449"/>
      <c r="J142" s="1449"/>
      <c r="K142" s="1450"/>
      <c r="L142" s="498" t="s">
        <v>2827</v>
      </c>
      <c r="M142" s="1448"/>
      <c r="N142" s="1449"/>
      <c r="O142" s="1449"/>
      <c r="P142" s="1450"/>
    </row>
    <row r="143" spans="1:16" s="458" customFormat="1" ht="12.6" customHeight="1">
      <c r="A143" s="733"/>
      <c r="B143" s="733"/>
      <c r="C143" s="464" t="s">
        <v>2828</v>
      </c>
      <c r="D143" s="472"/>
      <c r="E143" s="1448"/>
      <c r="F143" s="1449"/>
      <c r="G143" s="1449"/>
      <c r="H143" s="1449"/>
      <c r="I143" s="1449"/>
      <c r="J143" s="1449"/>
      <c r="K143" s="1577"/>
      <c r="L143" s="713" t="s">
        <v>2830</v>
      </c>
      <c r="M143" s="1486"/>
      <c r="N143" s="1487"/>
      <c r="O143" s="1487"/>
      <c r="P143" s="1488"/>
    </row>
    <row r="144" spans="1:16" s="458" customFormat="1" ht="12.6" customHeight="1">
      <c r="A144" s="733"/>
      <c r="B144" s="733"/>
      <c r="C144" s="464" t="s">
        <v>953</v>
      </c>
      <c r="E144" s="1448"/>
      <c r="F144" s="1449"/>
      <c r="G144" s="1449"/>
      <c r="H144" s="1450"/>
      <c r="I144" s="493" t="s">
        <v>3352</v>
      </c>
      <c r="J144" s="1482"/>
      <c r="K144" s="1535"/>
      <c r="L144" s="498" t="s">
        <v>2833</v>
      </c>
      <c r="M144" s="1479"/>
      <c r="N144" s="1480"/>
      <c r="O144" s="1481"/>
    </row>
    <row r="145" spans="1:16" s="458" customFormat="1" ht="12.6" customHeight="1">
      <c r="A145" s="733"/>
      <c r="B145" s="733"/>
      <c r="C145" s="464" t="s">
        <v>2831</v>
      </c>
      <c r="E145" s="1479"/>
      <c r="F145" s="1480"/>
      <c r="G145" s="1481"/>
      <c r="H145" s="499" t="s">
        <v>2832</v>
      </c>
      <c r="I145" s="1479"/>
      <c r="J145" s="1480"/>
      <c r="K145" s="1481"/>
      <c r="L145" s="500" t="s">
        <v>3054</v>
      </c>
      <c r="M145" s="1479"/>
      <c r="N145" s="1480"/>
      <c r="O145" s="1481"/>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3061</v>
      </c>
      <c r="C147" s="717" t="s">
        <v>2372</v>
      </c>
      <c r="D147" s="717"/>
      <c r="E147" s="717"/>
      <c r="F147" s="717"/>
      <c r="G147" s="717"/>
      <c r="I147" s="1483" t="s">
        <v>3924</v>
      </c>
      <c r="J147" s="786" t="s">
        <v>1253</v>
      </c>
      <c r="K147" s="787"/>
      <c r="L147" s="1483">
        <v>2033</v>
      </c>
      <c r="M147" s="783" t="s">
        <v>3469</v>
      </c>
      <c r="N147" s="784"/>
      <c r="O147" s="785"/>
      <c r="P147" s="1576">
        <v>5</v>
      </c>
    </row>
    <row r="148" spans="1:16" s="458" customFormat="1" ht="1.9" customHeight="1">
      <c r="A148" s="733"/>
      <c r="B148" s="733"/>
      <c r="C148" s="717"/>
      <c r="D148" s="717"/>
      <c r="E148" s="461"/>
      <c r="F148" s="717"/>
      <c r="G148" s="717"/>
      <c r="J148" s="468"/>
      <c r="K148" s="502"/>
      <c r="M148" s="721"/>
      <c r="O148" s="723"/>
      <c r="P148" s="469"/>
    </row>
    <row r="149" spans="1:16" s="458" customFormat="1" ht="12.6" customHeight="1">
      <c r="A149" s="733"/>
      <c r="B149" s="733" t="s">
        <v>1238</v>
      </c>
      <c r="C149" s="717" t="s">
        <v>2785</v>
      </c>
      <c r="D149" s="717"/>
      <c r="E149" s="717"/>
      <c r="F149" s="717"/>
      <c r="G149" s="717"/>
      <c r="I149" s="1483" t="s">
        <v>3923</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3210</v>
      </c>
      <c r="C151" s="777" t="s">
        <v>3053</v>
      </c>
      <c r="D151" s="777"/>
      <c r="E151" s="777"/>
      <c r="F151" s="777"/>
      <c r="G151" s="717"/>
      <c r="I151" s="1483" t="s">
        <v>3923</v>
      </c>
    </row>
    <row r="152" spans="1:16" s="458" customFormat="1" ht="12.6" customHeight="1">
      <c r="B152" s="733"/>
      <c r="C152" s="776" t="s">
        <v>2209</v>
      </c>
      <c r="D152" s="776"/>
      <c r="E152" s="717"/>
      <c r="F152" s="717"/>
      <c r="G152" s="717"/>
      <c r="I152" s="1578"/>
    </row>
    <row r="153" spans="1:16" s="458" customFormat="1" ht="12.6" customHeight="1">
      <c r="A153" s="733"/>
      <c r="B153" s="733"/>
      <c r="C153" s="775" t="s">
        <v>1379</v>
      </c>
      <c r="D153" s="775"/>
      <c r="E153" s="461"/>
      <c r="F153" s="717"/>
      <c r="G153" s="717"/>
      <c r="I153" s="1578"/>
      <c r="K153" s="468"/>
      <c r="P153" s="469"/>
    </row>
    <row r="154" spans="1:16" s="458" customFormat="1" ht="12.6" customHeight="1">
      <c r="B154" s="733"/>
      <c r="C154" s="775" t="s">
        <v>2821</v>
      </c>
      <c r="D154" s="775"/>
      <c r="E154" s="461"/>
      <c r="F154" s="717"/>
      <c r="G154" s="717"/>
      <c r="I154" s="503" t="str">
        <f>IF(I152="","",I153/I152)</f>
        <v/>
      </c>
      <c r="K154" s="468"/>
      <c r="M154" s="721"/>
      <c r="P154" s="469"/>
    </row>
    <row r="155" spans="1:16" s="458" customFormat="1" ht="1.9" customHeight="1">
      <c r="A155" s="733"/>
      <c r="B155" s="733"/>
      <c r="C155" s="717"/>
      <c r="D155" s="717"/>
      <c r="E155" s="461"/>
      <c r="F155" s="717"/>
      <c r="G155" s="717"/>
      <c r="H155" s="502"/>
      <c r="J155" s="468"/>
      <c r="K155" s="480"/>
      <c r="M155" s="721"/>
      <c r="O155" s="723"/>
      <c r="P155" s="469"/>
    </row>
    <row r="156" spans="1:16" s="458" customFormat="1" ht="13.15" customHeight="1">
      <c r="A156" s="733"/>
      <c r="B156" s="733" t="s">
        <v>2762</v>
      </c>
      <c r="C156" s="395" t="s">
        <v>2373</v>
      </c>
      <c r="D156" s="714"/>
      <c r="E156" s="714"/>
      <c r="F156" s="714"/>
      <c r="G156" s="714"/>
      <c r="H156" s="723"/>
      <c r="J156" s="468"/>
      <c r="K156" s="480"/>
      <c r="M156" s="721"/>
      <c r="O156" s="723"/>
      <c r="P156" s="469"/>
    </row>
    <row r="157" spans="1:16" s="458" customFormat="1" ht="12.6" customHeight="1">
      <c r="A157" s="733"/>
      <c r="B157" s="733"/>
      <c r="C157" s="721" t="s">
        <v>3326</v>
      </c>
      <c r="D157" s="470"/>
      <c r="E157" s="721"/>
      <c r="F157" s="721"/>
      <c r="I157" s="1483" t="s">
        <v>3923</v>
      </c>
      <c r="L157" s="721" t="s">
        <v>3325</v>
      </c>
      <c r="P157" s="1483" t="s">
        <v>3923</v>
      </c>
    </row>
    <row r="158" spans="1:16" s="458" customFormat="1" ht="12.6" customHeight="1">
      <c r="A158" s="733"/>
      <c r="B158" s="733"/>
      <c r="C158" s="721" t="s">
        <v>3328</v>
      </c>
      <c r="I158" s="1483" t="s">
        <v>3923</v>
      </c>
      <c r="L158" s="721" t="s">
        <v>2375</v>
      </c>
      <c r="P158" s="1483" t="s">
        <v>3923</v>
      </c>
    </row>
    <row r="159" spans="1:16" s="458" customFormat="1" ht="12.6" customHeight="1">
      <c r="A159" s="733"/>
      <c r="C159" s="721" t="s">
        <v>1979</v>
      </c>
      <c r="D159" s="505"/>
      <c r="I159" s="1483" t="s">
        <v>3923</v>
      </c>
      <c r="L159" s="721" t="s">
        <v>2544</v>
      </c>
      <c r="P159" s="1483" t="s">
        <v>3923</v>
      </c>
    </row>
    <row r="160" spans="1:16" s="458" customFormat="1" ht="12.6" customHeight="1">
      <c r="A160" s="733"/>
      <c r="B160" s="733"/>
      <c r="C160" s="721" t="s">
        <v>2374</v>
      </c>
      <c r="D160" s="470"/>
      <c r="E160" s="721"/>
      <c r="F160" s="721"/>
      <c r="I160" s="1483" t="s">
        <v>3923</v>
      </c>
      <c r="K160" s="470"/>
      <c r="L160" s="721" t="s">
        <v>2289</v>
      </c>
      <c r="M160" s="721"/>
      <c r="P160" s="1483" t="s">
        <v>3923</v>
      </c>
    </row>
    <row r="161" spans="1:16" s="458" customFormat="1" ht="12.6" customHeight="1">
      <c r="A161" s="733"/>
      <c r="B161" s="733"/>
      <c r="C161" s="721" t="s">
        <v>2376</v>
      </c>
      <c r="D161" s="470"/>
      <c r="E161" s="721"/>
      <c r="F161" s="721"/>
      <c r="I161" s="1483" t="s">
        <v>3923</v>
      </c>
      <c r="K161" s="470"/>
      <c r="L161" s="721"/>
      <c r="M161" s="721"/>
    </row>
    <row r="162" spans="1:16" s="458" customFormat="1" ht="12.6" customHeight="1">
      <c r="A162" s="733"/>
      <c r="B162" s="461"/>
      <c r="C162" s="721" t="s">
        <v>2843</v>
      </c>
      <c r="D162" s="470"/>
      <c r="I162" s="1483" t="s">
        <v>3923</v>
      </c>
      <c r="J162" s="504" t="s">
        <v>3372</v>
      </c>
      <c r="O162" s="1579"/>
      <c r="P162" s="1580"/>
    </row>
    <row r="163" spans="1:16" s="458" customFormat="1" ht="12.6" customHeight="1">
      <c r="A163" s="733"/>
      <c r="B163" s="733"/>
      <c r="C163" s="721" t="s">
        <v>3408</v>
      </c>
      <c r="E163" s="1559"/>
      <c r="F163" s="1581"/>
      <c r="G163" s="1581"/>
      <c r="H163" s="1560"/>
      <c r="I163" s="1483"/>
    </row>
    <row r="164" spans="1:16" s="458" customFormat="1" ht="1.9" customHeight="1">
      <c r="A164" s="733"/>
      <c r="B164" s="733"/>
      <c r="P164" s="468"/>
    </row>
    <row r="165" spans="1:16" s="458" customFormat="1" ht="13.15" customHeight="1">
      <c r="B165" s="733" t="s">
        <v>2763</v>
      </c>
      <c r="C165" s="465" t="s">
        <v>1228</v>
      </c>
    </row>
    <row r="166" spans="1:16" s="458" customFormat="1" ht="12.6" customHeight="1">
      <c r="A166" s="733"/>
      <c r="B166" s="733"/>
      <c r="C166" s="464" t="s">
        <v>975</v>
      </c>
      <c r="D166" s="714"/>
      <c r="E166" s="714"/>
      <c r="F166" s="723"/>
      <c r="G166" s="723"/>
      <c r="I166" s="1564"/>
      <c r="J166" s="1565"/>
      <c r="N166" s="721"/>
      <c r="O166" s="721"/>
      <c r="P166" s="469"/>
    </row>
    <row r="167" spans="1:16" s="458" customFormat="1" ht="12.6" customHeight="1">
      <c r="A167" s="733"/>
      <c r="B167" s="733"/>
      <c r="C167" s="464" t="s">
        <v>367</v>
      </c>
      <c r="D167" s="714"/>
      <c r="E167" s="714"/>
      <c r="F167" s="723"/>
      <c r="G167" s="723"/>
      <c r="I167" s="1564"/>
      <c r="J167" s="1565"/>
      <c r="N167" s="721"/>
      <c r="O167" s="721"/>
      <c r="P167" s="469"/>
    </row>
    <row r="168" spans="1:16" s="458" customFormat="1" ht="12.6" customHeight="1">
      <c r="A168" s="733"/>
      <c r="B168" s="733"/>
      <c r="C168" s="464" t="s">
        <v>3434</v>
      </c>
      <c r="D168" s="714"/>
      <c r="E168" s="714"/>
      <c r="F168" s="723"/>
      <c r="G168" s="723"/>
      <c r="I168" s="1564"/>
      <c r="J168" s="1565"/>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3379</v>
      </c>
      <c r="L170" s="491" t="s">
        <v>89</v>
      </c>
    </row>
    <row r="171" spans="1:16" ht="38.450000000000003" customHeight="1">
      <c r="A171" s="1295" t="s">
        <v>4035</v>
      </c>
      <c r="B171" s="1354"/>
      <c r="C171" s="1354"/>
      <c r="D171" s="1354"/>
      <c r="E171" s="1354"/>
      <c r="F171" s="1354"/>
      <c r="G171" s="1354"/>
      <c r="H171" s="1354"/>
      <c r="I171" s="1354"/>
      <c r="J171" s="1355"/>
      <c r="K171" s="1298"/>
      <c r="L171" s="1356"/>
      <c r="M171" s="1356"/>
      <c r="N171" s="1356"/>
      <c r="O171" s="1356"/>
      <c r="P171" s="1357"/>
    </row>
    <row r="172" spans="1:16" ht="38.450000000000003" customHeight="1">
      <c r="A172" s="1299"/>
      <c r="B172" s="1358"/>
      <c r="C172" s="1358"/>
      <c r="D172" s="1358"/>
      <c r="E172" s="1358"/>
      <c r="F172" s="1358"/>
      <c r="G172" s="1358"/>
      <c r="H172" s="1358"/>
      <c r="I172" s="1358"/>
      <c r="J172" s="1359"/>
      <c r="K172" s="1302"/>
      <c r="L172" s="1360"/>
      <c r="M172" s="1360"/>
      <c r="N172" s="1360"/>
      <c r="O172" s="1360"/>
      <c r="P172" s="1361"/>
    </row>
    <row r="173" spans="1:16" ht="38.450000000000003" customHeight="1">
      <c r="A173" s="1303"/>
      <c r="B173" s="1362"/>
      <c r="C173" s="1362"/>
      <c r="D173" s="1362"/>
      <c r="E173" s="1362"/>
      <c r="F173" s="1362"/>
      <c r="G173" s="1362"/>
      <c r="H173" s="1362"/>
      <c r="I173" s="1362"/>
      <c r="J173" s="1363"/>
      <c r="K173" s="1306"/>
      <c r="L173" s="1364"/>
      <c r="M173" s="1364"/>
      <c r="N173" s="1364"/>
      <c r="O173" s="1364"/>
      <c r="P173" s="1365"/>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2829</v>
      </c>
      <c r="C182" s="623" t="s">
        <v>1868</v>
      </c>
      <c r="D182" s="623" t="s">
        <v>1869</v>
      </c>
      <c r="E182" s="623" t="s">
        <v>1870</v>
      </c>
      <c r="F182" s="623" t="s">
        <v>1792</v>
      </c>
      <c r="G182" s="623" t="s">
        <v>538</v>
      </c>
      <c r="H182" s="624" t="s">
        <v>1800</v>
      </c>
      <c r="I182" s="625"/>
      <c r="J182" s="623" t="s">
        <v>3635</v>
      </c>
      <c r="K182" s="623"/>
      <c r="L182" s="626"/>
      <c r="M182" s="627"/>
      <c r="N182" s="627" t="s">
        <v>953</v>
      </c>
      <c r="O182" s="628" t="s">
        <v>954</v>
      </c>
      <c r="P182" s="627" t="s">
        <v>3241</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3636</v>
      </c>
      <c r="O183" s="636" t="s">
        <v>3025</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3760</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3174</v>
      </c>
      <c r="K186" s="635"/>
      <c r="L186" s="626"/>
      <c r="M186" s="627"/>
      <c r="N186" s="636" t="s">
        <v>677</v>
      </c>
      <c r="O186" s="636" t="s">
        <v>3816</v>
      </c>
      <c r="P186" s="507" t="s">
        <v>2381</v>
      </c>
      <c r="Q186" s="611"/>
      <c r="S186" s="611"/>
      <c r="T186" s="636" t="s">
        <v>2369</v>
      </c>
      <c r="U186" s="636" t="s">
        <v>3815</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3176</v>
      </c>
      <c r="K187" s="635"/>
      <c r="L187" s="626"/>
      <c r="M187" s="627"/>
      <c r="N187" s="636" t="s">
        <v>3175</v>
      </c>
      <c r="O187" s="636" t="s">
        <v>427</v>
      </c>
      <c r="P187" s="507" t="s">
        <v>2382</v>
      </c>
      <c r="Q187" s="611"/>
      <c r="S187" s="611"/>
      <c r="T187" s="636" t="s">
        <v>2851</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2864</v>
      </c>
      <c r="H188" s="632" t="s">
        <v>536</v>
      </c>
      <c r="I188" s="633"/>
      <c r="J188" s="634" t="s">
        <v>3178</v>
      </c>
      <c r="K188" s="635"/>
      <c r="L188" s="626"/>
      <c r="M188" s="627"/>
      <c r="N188" s="636" t="s">
        <v>3177</v>
      </c>
      <c r="O188" s="636" t="s">
        <v>241</v>
      </c>
      <c r="P188" s="507" t="s">
        <v>2383</v>
      </c>
      <c r="Q188" s="611"/>
      <c r="S188" s="611"/>
      <c r="T188" s="636" t="s">
        <v>3220</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3885</v>
      </c>
      <c r="H189" s="632" t="s">
        <v>537</v>
      </c>
      <c r="I189" s="638"/>
      <c r="J189" s="634" t="s">
        <v>3180</v>
      </c>
      <c r="K189" s="635"/>
      <c r="L189" s="626"/>
      <c r="M189" s="627"/>
      <c r="N189" s="636" t="s">
        <v>3179</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3885</v>
      </c>
      <c r="H190" s="632" t="s">
        <v>537</v>
      </c>
      <c r="I190" s="638"/>
      <c r="J190" s="634" t="s">
        <v>3182</v>
      </c>
      <c r="K190" s="635"/>
      <c r="L190" s="626"/>
      <c r="M190" s="627"/>
      <c r="N190" s="636" t="s">
        <v>3181</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3886</v>
      </c>
      <c r="H191" s="632" t="s">
        <v>536</v>
      </c>
      <c r="I191" s="633"/>
      <c r="J191" s="634" t="s">
        <v>3037</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3887</v>
      </c>
      <c r="H192" s="632" t="s">
        <v>536</v>
      </c>
      <c r="I192" s="633"/>
      <c r="J192" s="634" t="s">
        <v>237</v>
      </c>
      <c r="K192" s="639"/>
      <c r="L192" s="507"/>
      <c r="M192" s="627"/>
      <c r="N192" s="636" t="s">
        <v>3038</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3888</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3889</v>
      </c>
      <c r="H194" s="632" t="s">
        <v>536</v>
      </c>
      <c r="I194" s="638"/>
      <c r="J194" s="634" t="s">
        <v>657</v>
      </c>
      <c r="K194" s="635"/>
      <c r="L194" s="626"/>
      <c r="M194" s="627"/>
      <c r="N194" s="636" t="s">
        <v>240</v>
      </c>
      <c r="O194" s="636" t="s">
        <v>3632</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3890</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3891</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3909</v>
      </c>
      <c r="H198" s="632" t="s">
        <v>536</v>
      </c>
      <c r="I198" s="638"/>
      <c r="J198" s="634" t="s">
        <v>3391</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3910</v>
      </c>
      <c r="H199" s="632" t="s">
        <v>537</v>
      </c>
      <c r="I199" s="638"/>
      <c r="J199" s="634" t="s">
        <v>3393</v>
      </c>
      <c r="K199" s="635"/>
      <c r="L199" s="626"/>
      <c r="M199" s="627"/>
      <c r="N199" s="636" t="s">
        <v>3392</v>
      </c>
      <c r="O199" s="636" t="s">
        <v>3761</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2899</v>
      </c>
      <c r="O200" s="636" t="s">
        <v>3283</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3283</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3842</v>
      </c>
      <c r="K202" s="635"/>
      <c r="L202" s="626"/>
      <c r="M202" s="627"/>
      <c r="N202" s="636" t="s">
        <v>3843</v>
      </c>
      <c r="O202" s="636" t="s">
        <v>3820</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3844</v>
      </c>
      <c r="K203" s="635"/>
      <c r="L203" s="626"/>
      <c r="M203" s="627"/>
      <c r="N203" s="636" t="s">
        <v>3845</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3885</v>
      </c>
      <c r="H204" s="632" t="s">
        <v>537</v>
      </c>
      <c r="I204" s="638"/>
      <c r="J204" s="634" t="s">
        <v>3846</v>
      </c>
      <c r="K204" s="635"/>
      <c r="L204" s="626"/>
      <c r="M204" s="627"/>
      <c r="N204" s="636" t="s">
        <v>3847</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3848</v>
      </c>
      <c r="K205" s="635"/>
      <c r="L205" s="626"/>
      <c r="M205" s="627"/>
      <c r="N205" s="636" t="s">
        <v>3849</v>
      </c>
      <c r="O205" s="636" t="s">
        <v>3758</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3850</v>
      </c>
      <c r="K206" s="635"/>
      <c r="L206" s="626"/>
      <c r="M206" s="627"/>
      <c r="N206" s="636" t="s">
        <v>3851</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3852</v>
      </c>
      <c r="K207" s="635"/>
      <c r="L207" s="626"/>
      <c r="M207" s="627"/>
      <c r="N207" s="636" t="s">
        <v>3854</v>
      </c>
      <c r="O207" s="636" t="s">
        <v>3902</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3853</v>
      </c>
      <c r="K208" s="635"/>
      <c r="L208" s="626"/>
      <c r="M208" s="627"/>
      <c r="N208" s="636" t="s">
        <v>3856</v>
      </c>
      <c r="O208" s="636" t="s">
        <v>2986</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3855</v>
      </c>
      <c r="K209" s="635"/>
      <c r="L209" s="626"/>
      <c r="M209" s="627"/>
      <c r="N209" s="636" t="s">
        <v>222</v>
      </c>
      <c r="O209" s="636" t="s">
        <v>221</v>
      </c>
      <c r="P209" s="1582"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3885</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3133</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3755</v>
      </c>
      <c r="D212" s="507" t="s">
        <v>1872</v>
      </c>
      <c r="E212" s="630" t="s">
        <v>3756</v>
      </c>
      <c r="F212" s="630"/>
      <c r="G212" s="631" t="s">
        <v>957</v>
      </c>
      <c r="H212" s="632" t="s">
        <v>536</v>
      </c>
      <c r="I212" s="633"/>
      <c r="J212" s="634" t="s">
        <v>1357</v>
      </c>
      <c r="K212" s="639"/>
      <c r="L212" s="626"/>
      <c r="M212" s="627"/>
      <c r="N212" s="636" t="s">
        <v>3165</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3757</v>
      </c>
      <c r="D213" s="507" t="s">
        <v>2036</v>
      </c>
      <c r="E213" s="637" t="s">
        <v>1339</v>
      </c>
      <c r="F213" s="637"/>
      <c r="G213" s="631" t="s">
        <v>3885</v>
      </c>
      <c r="H213" s="632" t="s">
        <v>537</v>
      </c>
      <c r="I213" s="638"/>
      <c r="J213" s="634" t="s">
        <v>1359</v>
      </c>
      <c r="K213" s="639"/>
      <c r="L213" s="626"/>
      <c r="M213" s="627"/>
      <c r="N213" s="636" t="s">
        <v>2031</v>
      </c>
      <c r="O213" s="636" t="s">
        <v>1740</v>
      </c>
      <c r="P213" s="1582" t="s">
        <v>1412</v>
      </c>
      <c r="Q213" s="611"/>
      <c r="S213" s="611"/>
      <c r="T213" s="611"/>
      <c r="U213" s="611"/>
      <c r="V213" s="611"/>
      <c r="W213" s="611"/>
      <c r="X213" s="611"/>
      <c r="Y213" s="611"/>
      <c r="Z213" s="611"/>
      <c r="AA213" s="611"/>
    </row>
    <row r="214" spans="1:27" ht="12" customHeight="1">
      <c r="A214" s="611"/>
      <c r="B214" s="507" t="s">
        <v>2049</v>
      </c>
      <c r="C214" s="507" t="s">
        <v>3758</v>
      </c>
      <c r="D214" s="507" t="s">
        <v>1872</v>
      </c>
      <c r="E214" s="630" t="s">
        <v>3759</v>
      </c>
      <c r="F214" s="630"/>
      <c r="G214" s="631" t="s">
        <v>958</v>
      </c>
      <c r="H214" s="632" t="s">
        <v>536</v>
      </c>
      <c r="I214" s="633"/>
      <c r="J214" s="634" t="s">
        <v>3166</v>
      </c>
      <c r="K214" s="639"/>
      <c r="L214" s="626"/>
      <c r="M214" s="627"/>
      <c r="N214" s="636" t="s">
        <v>3168</v>
      </c>
      <c r="O214" s="636" t="s">
        <v>3760</v>
      </c>
      <c r="P214" s="507" t="s">
        <v>2407</v>
      </c>
      <c r="Q214" s="631"/>
      <c r="S214" s="611"/>
      <c r="T214" s="611"/>
      <c r="U214" s="611"/>
      <c r="V214" s="611"/>
      <c r="W214" s="611"/>
      <c r="X214" s="611"/>
      <c r="Y214" s="611"/>
      <c r="Z214" s="611"/>
      <c r="AA214" s="611"/>
    </row>
    <row r="215" spans="1:27" ht="12" customHeight="1">
      <c r="A215" s="611"/>
      <c r="B215" s="507" t="s">
        <v>2050</v>
      </c>
      <c r="C215" s="507" t="s">
        <v>3760</v>
      </c>
      <c r="D215" s="507" t="s">
        <v>2012</v>
      </c>
      <c r="E215" s="637" t="s">
        <v>1339</v>
      </c>
      <c r="F215" s="637"/>
      <c r="G215" s="631" t="s">
        <v>3885</v>
      </c>
      <c r="H215" s="632" t="s">
        <v>537</v>
      </c>
      <c r="I215" s="638"/>
      <c r="J215" s="634" t="s">
        <v>3167</v>
      </c>
      <c r="K215" s="639"/>
      <c r="L215" s="626"/>
      <c r="M215" s="627"/>
      <c r="N215" s="636" t="s">
        <v>3075</v>
      </c>
      <c r="O215" s="636" t="s">
        <v>3279</v>
      </c>
      <c r="P215" s="507" t="s">
        <v>2408</v>
      </c>
      <c r="Q215" s="631"/>
      <c r="S215" s="611"/>
      <c r="T215" s="611"/>
      <c r="U215" s="611"/>
      <c r="V215" s="611"/>
      <c r="W215" s="611"/>
      <c r="X215" s="611"/>
      <c r="Y215" s="611"/>
      <c r="Z215" s="611"/>
      <c r="AA215" s="611"/>
    </row>
    <row r="216" spans="1:27" ht="12" customHeight="1">
      <c r="A216" s="611"/>
      <c r="B216" s="507" t="s">
        <v>2051</v>
      </c>
      <c r="C216" s="507" t="s">
        <v>3761</v>
      </c>
      <c r="D216" s="507" t="s">
        <v>1872</v>
      </c>
      <c r="E216" s="630" t="s">
        <v>3762</v>
      </c>
      <c r="F216" s="630"/>
      <c r="G216" s="631" t="s">
        <v>959</v>
      </c>
      <c r="H216" s="632" t="s">
        <v>536</v>
      </c>
      <c r="I216" s="633"/>
      <c r="J216" s="634" t="s">
        <v>3169</v>
      </c>
      <c r="K216" s="639"/>
      <c r="L216" s="626"/>
      <c r="M216" s="627"/>
      <c r="N216" s="636" t="s">
        <v>3170</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3763</v>
      </c>
      <c r="D217" s="507" t="s">
        <v>1872</v>
      </c>
      <c r="E217" s="630" t="s">
        <v>3814</v>
      </c>
      <c r="F217" s="630"/>
      <c r="G217" s="631" t="s">
        <v>960</v>
      </c>
      <c r="H217" s="632" t="s">
        <v>536</v>
      </c>
      <c r="I217" s="633"/>
      <c r="J217" s="634" t="s">
        <v>3201</v>
      </c>
      <c r="K217" s="639"/>
      <c r="L217" s="626"/>
      <c r="M217" s="627"/>
      <c r="N217" s="636" t="s">
        <v>3202</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3815</v>
      </c>
      <c r="D218" s="507" t="s">
        <v>2036</v>
      </c>
      <c r="E218" s="637" t="s">
        <v>1340</v>
      </c>
      <c r="F218" s="637"/>
      <c r="G218" s="631" t="s">
        <v>3910</v>
      </c>
      <c r="H218" s="632" t="s">
        <v>537</v>
      </c>
      <c r="I218" s="638"/>
      <c r="J218" s="634" t="s">
        <v>3203</v>
      </c>
      <c r="K218" s="639"/>
      <c r="L218" s="626"/>
      <c r="M218" s="627"/>
      <c r="N218" s="636" t="s">
        <v>3204</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3816</v>
      </c>
      <c r="D219" s="507" t="s">
        <v>1872</v>
      </c>
      <c r="E219" s="630" t="s">
        <v>3817</v>
      </c>
      <c r="F219" s="630"/>
      <c r="G219" s="631" t="s">
        <v>961</v>
      </c>
      <c r="H219" s="632" t="s">
        <v>536</v>
      </c>
      <c r="I219" s="633"/>
      <c r="J219" s="634" t="s">
        <v>3205</v>
      </c>
      <c r="K219" s="639"/>
      <c r="L219" s="626"/>
      <c r="M219" s="627"/>
      <c r="N219" s="636" t="s">
        <v>3206</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3818</v>
      </c>
      <c r="D220" s="507" t="s">
        <v>2036</v>
      </c>
      <c r="E220" s="637" t="s">
        <v>1339</v>
      </c>
      <c r="F220" s="637"/>
      <c r="G220" s="631" t="s">
        <v>3885</v>
      </c>
      <c r="H220" s="632" t="s">
        <v>537</v>
      </c>
      <c r="I220" s="638"/>
      <c r="J220" s="634" t="s">
        <v>3207</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3819</v>
      </c>
      <c r="D221" s="507" t="s">
        <v>2036</v>
      </c>
      <c r="E221" s="637" t="s">
        <v>2021</v>
      </c>
      <c r="F221" s="637"/>
      <c r="G221" s="631" t="s">
        <v>3888</v>
      </c>
      <c r="H221" s="632" t="s">
        <v>537</v>
      </c>
      <c r="I221" s="638"/>
      <c r="J221" s="634" t="s">
        <v>3836</v>
      </c>
      <c r="K221" s="639"/>
      <c r="L221" s="626"/>
      <c r="M221" s="627"/>
      <c r="N221" s="636" t="s">
        <v>3837</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3820</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3080</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3885</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3361</v>
      </c>
      <c r="K225" s="639"/>
      <c r="L225" s="626"/>
      <c r="M225" s="627"/>
      <c r="N225" s="636" t="s">
        <v>3362</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3885</v>
      </c>
      <c r="H226" s="632" t="s">
        <v>537</v>
      </c>
      <c r="I226" s="638"/>
      <c r="J226" s="634" t="s">
        <v>3363</v>
      </c>
      <c r="K226" s="639"/>
      <c r="L226" s="626"/>
      <c r="M226" s="627"/>
      <c r="N226" s="636" t="s">
        <v>3364</v>
      </c>
      <c r="O226" s="636" t="s">
        <v>3371</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3033</v>
      </c>
      <c r="H227" s="632" t="s">
        <v>536</v>
      </c>
      <c r="I227" s="633"/>
      <c r="J227" s="634" t="s">
        <v>3365</v>
      </c>
      <c r="K227" s="639"/>
      <c r="L227" s="626"/>
      <c r="M227" s="627"/>
      <c r="N227" s="507" t="s">
        <v>3864</v>
      </c>
      <c r="O227" s="507" t="s">
        <v>964</v>
      </c>
      <c r="P227" s="1583" t="s">
        <v>3240</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3034</v>
      </c>
      <c r="H228" s="632" t="s">
        <v>536</v>
      </c>
      <c r="I228" s="633"/>
      <c r="J228" s="634" t="s">
        <v>3399</v>
      </c>
      <c r="K228" s="639"/>
      <c r="L228" s="626"/>
      <c r="M228" s="627"/>
      <c r="N228" s="636" t="s">
        <v>3366</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3763</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3885</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3035</v>
      </c>
      <c r="H231" s="632" t="s">
        <v>536</v>
      </c>
      <c r="I231" s="633"/>
      <c r="J231" s="634" t="s">
        <v>3261</v>
      </c>
      <c r="K231" s="639"/>
      <c r="L231" s="626"/>
      <c r="M231" s="627"/>
      <c r="N231" s="636" t="s">
        <v>2805</v>
      </c>
      <c r="O231" s="636" t="s">
        <v>3086</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3891</v>
      </c>
      <c r="H232" s="632" t="s">
        <v>537</v>
      </c>
      <c r="I232" s="633"/>
      <c r="J232" s="634" t="s">
        <v>3262</v>
      </c>
      <c r="K232" s="639"/>
      <c r="L232" s="626"/>
      <c r="M232" s="627"/>
      <c r="N232" s="636" t="s">
        <v>1413</v>
      </c>
      <c r="O232" s="636" t="s">
        <v>3899</v>
      </c>
      <c r="P232" s="1582"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3689</v>
      </c>
      <c r="K233" s="635"/>
      <c r="L233" s="626"/>
      <c r="M233" s="627"/>
      <c r="N233" s="636" t="s">
        <v>3263</v>
      </c>
      <c r="O233" s="636" t="s">
        <v>3901</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3691</v>
      </c>
      <c r="K234" s="635"/>
      <c r="L234" s="626"/>
      <c r="M234" s="627"/>
      <c r="N234" s="636" t="s">
        <v>3690</v>
      </c>
      <c r="O234" s="636" t="s">
        <v>1725</v>
      </c>
      <c r="P234" s="507" t="s">
        <v>2425</v>
      </c>
      <c r="Q234" s="631"/>
      <c r="S234" s="611"/>
      <c r="T234" s="611"/>
      <c r="U234" s="611"/>
      <c r="V234" s="611"/>
      <c r="W234" s="611"/>
      <c r="X234" s="611"/>
      <c r="Y234" s="611"/>
      <c r="Z234" s="611"/>
      <c r="AA234" s="611"/>
    </row>
    <row r="235" spans="1:27" ht="12" customHeight="1">
      <c r="A235" s="611"/>
      <c r="B235" s="640"/>
      <c r="C235" s="507" t="s">
        <v>3369</v>
      </c>
      <c r="D235" s="507" t="s">
        <v>1872</v>
      </c>
      <c r="E235" s="630" t="s">
        <v>3370</v>
      </c>
      <c r="F235" s="630"/>
      <c r="G235" s="631" t="s">
        <v>2038</v>
      </c>
      <c r="H235" s="632" t="s">
        <v>536</v>
      </c>
      <c r="I235" s="633"/>
      <c r="J235" s="634" t="s">
        <v>3693</v>
      </c>
      <c r="K235" s="635"/>
      <c r="L235" s="626"/>
      <c r="M235" s="627"/>
      <c r="N235" s="507" t="s">
        <v>3865</v>
      </c>
      <c r="O235" s="507" t="s">
        <v>414</v>
      </c>
      <c r="P235" s="1583" t="s">
        <v>3240</v>
      </c>
      <c r="Q235" s="631"/>
      <c r="S235" s="611"/>
      <c r="T235" s="611"/>
      <c r="U235" s="611"/>
      <c r="V235" s="611"/>
      <c r="W235" s="611"/>
      <c r="X235" s="611"/>
      <c r="Y235" s="611"/>
      <c r="Z235" s="611"/>
      <c r="AA235" s="611"/>
    </row>
    <row r="236" spans="1:27" ht="12" customHeight="1">
      <c r="A236" s="611"/>
      <c r="B236" s="640"/>
      <c r="C236" s="507" t="s">
        <v>3371</v>
      </c>
      <c r="D236" s="507" t="s">
        <v>1872</v>
      </c>
      <c r="E236" s="630" t="s">
        <v>998</v>
      </c>
      <c r="F236" s="630"/>
      <c r="G236" s="631" t="s">
        <v>2039</v>
      </c>
      <c r="H236" s="632" t="s">
        <v>536</v>
      </c>
      <c r="I236" s="633"/>
      <c r="J236" s="634" t="s">
        <v>3695</v>
      </c>
      <c r="K236" s="635"/>
      <c r="L236" s="626"/>
      <c r="M236" s="627"/>
      <c r="N236" s="636" t="s">
        <v>3692</v>
      </c>
      <c r="O236" s="636" t="s">
        <v>2989</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3696</v>
      </c>
      <c r="K237" s="635"/>
      <c r="L237" s="626"/>
      <c r="M237" s="627"/>
      <c r="N237" s="636" t="s">
        <v>3694</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3885</v>
      </c>
      <c r="H238" s="632" t="s">
        <v>537</v>
      </c>
      <c r="I238" s="638"/>
      <c r="J238" s="634" t="s">
        <v>3353</v>
      </c>
      <c r="K238" s="635"/>
      <c r="L238" s="626"/>
      <c r="M238" s="627"/>
      <c r="N238" s="636" t="s">
        <v>3697</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3398</v>
      </c>
      <c r="F239" s="637"/>
      <c r="G239" s="631" t="s">
        <v>2041</v>
      </c>
      <c r="H239" s="632" t="s">
        <v>537</v>
      </c>
      <c r="I239" s="638"/>
      <c r="J239" s="634" t="s">
        <v>1065</v>
      </c>
      <c r="K239" s="635"/>
      <c r="L239" s="626"/>
      <c r="M239" s="627"/>
      <c r="N239" s="636" t="s">
        <v>3354</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3885</v>
      </c>
      <c r="H240" s="632" t="s">
        <v>537</v>
      </c>
      <c r="I240" s="638"/>
      <c r="J240" s="634" t="s">
        <v>1067</v>
      </c>
      <c r="K240" s="635"/>
      <c r="L240" s="626"/>
      <c r="M240" s="627"/>
      <c r="N240" s="636" t="s">
        <v>1066</v>
      </c>
      <c r="O240" s="636" t="s">
        <v>3755</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3885</v>
      </c>
      <c r="H242" s="632" t="s">
        <v>537</v>
      </c>
      <c r="I242" s="638"/>
      <c r="J242" s="634" t="s">
        <v>1071</v>
      </c>
      <c r="K242" s="635"/>
      <c r="L242" s="626"/>
      <c r="M242" s="627"/>
      <c r="N242" s="636" t="s">
        <v>1070</v>
      </c>
      <c r="O242" s="636" t="s">
        <v>3901</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3344</v>
      </c>
      <c r="K243" s="635"/>
      <c r="L243" s="626"/>
      <c r="M243" s="627"/>
      <c r="N243" s="507" t="s">
        <v>3866</v>
      </c>
      <c r="O243" s="507" t="s">
        <v>3757</v>
      </c>
      <c r="P243" s="1583" t="s">
        <v>3240</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3345</v>
      </c>
      <c r="K244" s="635"/>
      <c r="L244" s="626"/>
      <c r="M244" s="627"/>
      <c r="N244" s="636" t="s">
        <v>3346</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3890</v>
      </c>
      <c r="H245" s="632" t="s">
        <v>537</v>
      </c>
      <c r="I245" s="633"/>
      <c r="J245" s="634" t="s">
        <v>3347</v>
      </c>
      <c r="K245" s="635"/>
      <c r="L245" s="626"/>
      <c r="M245" s="627"/>
      <c r="N245" s="636" t="s">
        <v>3348</v>
      </c>
      <c r="O245" s="636" t="s">
        <v>3895</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3400</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3401</v>
      </c>
      <c r="K248" s="635"/>
      <c r="L248" s="626"/>
      <c r="M248" s="627"/>
      <c r="N248" s="636" t="s">
        <v>3476</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3885</v>
      </c>
      <c r="H249" s="632" t="s">
        <v>537</v>
      </c>
      <c r="I249" s="638"/>
      <c r="J249" s="634" t="s">
        <v>3439</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3903</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3578</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3577</v>
      </c>
      <c r="K253" s="635"/>
      <c r="L253" s="626"/>
      <c r="M253" s="627"/>
      <c r="N253" s="636" t="s">
        <v>3626</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3625</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3627</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3885</v>
      </c>
      <c r="H256" s="632" t="s">
        <v>537</v>
      </c>
      <c r="I256" s="638"/>
      <c r="J256" s="634" t="s">
        <v>3628</v>
      </c>
      <c r="K256" s="635"/>
      <c r="L256" s="626"/>
      <c r="M256" s="627"/>
      <c r="N256" s="636" t="s">
        <v>3566</v>
      </c>
      <c r="O256" s="636" t="s">
        <v>3761</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3885</v>
      </c>
      <c r="H257" s="632" t="s">
        <v>537</v>
      </c>
      <c r="I257" s="638"/>
      <c r="J257" s="634" t="s">
        <v>3565</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3895</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3885</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3291</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3888</v>
      </c>
      <c r="H266" s="632" t="s">
        <v>537</v>
      </c>
      <c r="I266" s="638"/>
      <c r="J266" s="634" t="s">
        <v>3427</v>
      </c>
      <c r="K266" s="635"/>
      <c r="L266" s="626"/>
      <c r="M266" s="627"/>
      <c r="N266" s="636" t="s">
        <v>3428</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3429</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3891</v>
      </c>
      <c r="H268" s="632" t="s">
        <v>537</v>
      </c>
      <c r="I268" s="633"/>
      <c r="J268" s="634" t="s">
        <v>3430</v>
      </c>
      <c r="K268" s="635"/>
      <c r="L268" s="626"/>
      <c r="M268" s="627"/>
      <c r="N268" s="636" t="s">
        <v>3432</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3431</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3809</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3891</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3133</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3816</v>
      </c>
      <c r="P278" s="507" t="s">
        <v>2467</v>
      </c>
      <c r="Q278" s="631"/>
      <c r="S278" s="611"/>
      <c r="T278" s="611"/>
      <c r="U278" s="611"/>
      <c r="V278" s="611"/>
      <c r="W278" s="611"/>
      <c r="X278" s="611"/>
      <c r="Y278" s="611"/>
      <c r="Z278" s="611"/>
      <c r="AA278" s="611"/>
    </row>
    <row r="279" spans="1:27" ht="12" customHeight="1">
      <c r="A279" s="611"/>
      <c r="B279" s="640"/>
      <c r="C279" s="507" t="s">
        <v>2936</v>
      </c>
      <c r="D279" s="507" t="s">
        <v>2036</v>
      </c>
      <c r="E279" s="637" t="s">
        <v>1340</v>
      </c>
      <c r="F279" s="637"/>
      <c r="G279" s="631" t="s">
        <v>3910</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2937</v>
      </c>
      <c r="D280" s="507" t="s">
        <v>1872</v>
      </c>
      <c r="E280" s="630" t="s">
        <v>13</v>
      </c>
      <c r="F280" s="630"/>
      <c r="G280" s="631" t="s">
        <v>3890</v>
      </c>
      <c r="H280" s="632" t="s">
        <v>537</v>
      </c>
      <c r="I280" s="633"/>
      <c r="J280" s="634" t="s">
        <v>302</v>
      </c>
      <c r="K280" s="635"/>
      <c r="L280" s="626"/>
      <c r="M280" s="627"/>
      <c r="N280" s="636" t="s">
        <v>3154</v>
      </c>
      <c r="O280" s="636" t="s">
        <v>415</v>
      </c>
      <c r="P280" s="507" t="s">
        <v>2469</v>
      </c>
      <c r="Q280" s="631"/>
      <c r="S280" s="611"/>
      <c r="T280" s="611"/>
      <c r="U280" s="611"/>
      <c r="V280" s="611"/>
      <c r="W280" s="611"/>
      <c r="X280" s="611"/>
      <c r="Y280" s="611"/>
      <c r="Z280" s="611"/>
      <c r="AA280" s="611"/>
    </row>
    <row r="281" spans="1:27" ht="12" customHeight="1">
      <c r="A281" s="611"/>
      <c r="B281" s="640"/>
      <c r="C281" s="507" t="s">
        <v>2938</v>
      </c>
      <c r="D281" s="507" t="s">
        <v>2036</v>
      </c>
      <c r="E281" s="637" t="s">
        <v>1344</v>
      </c>
      <c r="F281" s="637"/>
      <c r="G281" s="631" t="s">
        <v>1051</v>
      </c>
      <c r="H281" s="632" t="s">
        <v>537</v>
      </c>
      <c r="I281" s="638"/>
      <c r="J281" s="634" t="s">
        <v>304</v>
      </c>
      <c r="K281" s="635"/>
      <c r="L281" s="626"/>
      <c r="M281" s="627"/>
      <c r="N281" s="636" t="s">
        <v>3156</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3158</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3153</v>
      </c>
      <c r="K283" s="635"/>
      <c r="L283" s="626"/>
      <c r="M283" s="627"/>
      <c r="N283" s="636" t="s">
        <v>3160</v>
      </c>
      <c r="O283" s="636" t="s">
        <v>3897</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3132</v>
      </c>
      <c r="F284" s="637"/>
      <c r="G284" s="631" t="s">
        <v>1054</v>
      </c>
      <c r="H284" s="632" t="s">
        <v>537</v>
      </c>
      <c r="I284" s="638"/>
      <c r="J284" s="634" t="s">
        <v>3155</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3157</v>
      </c>
      <c r="K285" s="635"/>
      <c r="L285" s="626"/>
      <c r="M285" s="627"/>
      <c r="N285" s="507" t="s">
        <v>3868</v>
      </c>
      <c r="O285" s="507" t="s">
        <v>3085</v>
      </c>
      <c r="P285" s="1583" t="s">
        <v>3240</v>
      </c>
      <c r="Q285" s="631"/>
      <c r="S285" s="611"/>
      <c r="T285" s="611"/>
      <c r="U285" s="611"/>
      <c r="V285" s="611"/>
      <c r="W285" s="611"/>
      <c r="X285" s="611"/>
      <c r="Y285" s="611"/>
      <c r="Z285" s="611"/>
      <c r="AA285" s="611"/>
    </row>
    <row r="286" spans="1:27" ht="12" customHeight="1">
      <c r="A286" s="611"/>
      <c r="B286" s="640"/>
      <c r="C286" s="507" t="s">
        <v>3895</v>
      </c>
      <c r="D286" s="507" t="s">
        <v>2036</v>
      </c>
      <c r="E286" s="637" t="s">
        <v>3896</v>
      </c>
      <c r="F286" s="637"/>
      <c r="G286" s="631" t="s">
        <v>1056</v>
      </c>
      <c r="H286" s="632" t="s">
        <v>536</v>
      </c>
      <c r="I286" s="638"/>
      <c r="J286" s="634" t="s">
        <v>3159</v>
      </c>
      <c r="K286" s="635"/>
      <c r="L286" s="626"/>
      <c r="M286" s="627"/>
      <c r="N286" s="636" t="s">
        <v>3162</v>
      </c>
      <c r="O286" s="636" t="s">
        <v>257</v>
      </c>
      <c r="P286" s="507" t="s">
        <v>2474</v>
      </c>
      <c r="Q286" s="631"/>
      <c r="S286" s="611"/>
      <c r="T286" s="611"/>
      <c r="U286" s="611"/>
      <c r="V286" s="611"/>
      <c r="W286" s="611"/>
      <c r="X286" s="611"/>
      <c r="Y286" s="611"/>
      <c r="Z286" s="611"/>
      <c r="AA286" s="611"/>
    </row>
    <row r="287" spans="1:27" ht="12" customHeight="1">
      <c r="A287" s="611"/>
      <c r="B287" s="640"/>
      <c r="C287" s="507" t="s">
        <v>3897</v>
      </c>
      <c r="D287" s="507" t="s">
        <v>2012</v>
      </c>
      <c r="E287" s="630" t="s">
        <v>3898</v>
      </c>
      <c r="F287" s="630"/>
      <c r="G287" s="631" t="s">
        <v>3026</v>
      </c>
      <c r="H287" s="632" t="s">
        <v>537</v>
      </c>
      <c r="I287" s="633"/>
      <c r="J287" s="634" t="s">
        <v>3161</v>
      </c>
      <c r="K287" s="635"/>
      <c r="L287" s="626"/>
      <c r="M287" s="627"/>
      <c r="N287" s="636" t="s">
        <v>3164</v>
      </c>
      <c r="O287" s="636" t="s">
        <v>257</v>
      </c>
      <c r="P287" s="507" t="s">
        <v>2475</v>
      </c>
      <c r="Q287" s="631"/>
      <c r="S287" s="611"/>
      <c r="T287" s="611"/>
      <c r="U287" s="611"/>
      <c r="V287" s="611"/>
      <c r="W287" s="611"/>
      <c r="X287" s="611"/>
      <c r="Y287" s="611"/>
      <c r="Z287" s="611"/>
      <c r="AA287" s="611"/>
    </row>
    <row r="288" spans="1:27" ht="12" customHeight="1">
      <c r="A288" s="611"/>
      <c r="B288" s="640"/>
      <c r="C288" s="507" t="s">
        <v>3899</v>
      </c>
      <c r="D288" s="507" t="s">
        <v>2036</v>
      </c>
      <c r="E288" s="637" t="s">
        <v>217</v>
      </c>
      <c r="F288" s="637"/>
      <c r="G288" s="631" t="s">
        <v>2699</v>
      </c>
      <c r="H288" s="632" t="s">
        <v>537</v>
      </c>
      <c r="I288" s="638"/>
      <c r="J288" s="634" t="s">
        <v>3163</v>
      </c>
      <c r="K288" s="635"/>
      <c r="L288" s="626"/>
      <c r="M288" s="627"/>
      <c r="N288" s="636" t="s">
        <v>1021</v>
      </c>
      <c r="O288" s="636" t="s">
        <v>3085</v>
      </c>
      <c r="P288" s="507" t="s">
        <v>2476</v>
      </c>
      <c r="Q288" s="631"/>
      <c r="S288" s="611"/>
      <c r="T288" s="611"/>
      <c r="U288" s="611"/>
      <c r="V288" s="611"/>
      <c r="W288" s="611"/>
      <c r="X288" s="611"/>
      <c r="Y288" s="611"/>
      <c r="Z288" s="611"/>
      <c r="AA288" s="611"/>
    </row>
    <row r="289" spans="1:27" ht="12" customHeight="1">
      <c r="A289" s="611"/>
      <c r="B289" s="640"/>
      <c r="C289" s="507" t="s">
        <v>3900</v>
      </c>
      <c r="D289" s="507" t="s">
        <v>2036</v>
      </c>
      <c r="E289" s="637" t="s">
        <v>1339</v>
      </c>
      <c r="F289" s="637"/>
      <c r="G289" s="631" t="s">
        <v>3885</v>
      </c>
      <c r="H289" s="632" t="s">
        <v>537</v>
      </c>
      <c r="I289" s="638"/>
      <c r="J289" s="634" t="s">
        <v>1020</v>
      </c>
      <c r="K289" s="635"/>
      <c r="L289" s="626"/>
      <c r="M289" s="627"/>
      <c r="N289" s="636" t="s">
        <v>3475</v>
      </c>
      <c r="O289" s="636" t="s">
        <v>137</v>
      </c>
      <c r="P289" s="507" t="s">
        <v>2477</v>
      </c>
      <c r="Q289" s="631"/>
      <c r="S289" s="611"/>
      <c r="T289" s="611"/>
      <c r="U289" s="611"/>
      <c r="V289" s="611"/>
      <c r="W289" s="611"/>
      <c r="X289" s="611"/>
      <c r="Y289" s="611"/>
      <c r="Z289" s="611"/>
      <c r="AA289" s="611"/>
    </row>
    <row r="290" spans="1:27" ht="12" customHeight="1">
      <c r="A290" s="611"/>
      <c r="B290" s="640"/>
      <c r="C290" s="507" t="s">
        <v>3901</v>
      </c>
      <c r="D290" s="507" t="s">
        <v>2036</v>
      </c>
      <c r="E290" s="630" t="s">
        <v>3133</v>
      </c>
      <c r="F290" s="630"/>
      <c r="G290" s="631" t="s">
        <v>956</v>
      </c>
      <c r="H290" s="632" t="s">
        <v>537</v>
      </c>
      <c r="I290" s="633"/>
      <c r="J290" s="634" t="s">
        <v>3473</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3902</v>
      </c>
      <c r="D291" s="507" t="s">
        <v>2036</v>
      </c>
      <c r="E291" s="630" t="s">
        <v>3133</v>
      </c>
      <c r="F291" s="630"/>
      <c r="G291" s="631" t="s">
        <v>956</v>
      </c>
      <c r="H291" s="632" t="s">
        <v>537</v>
      </c>
      <c r="I291" s="633"/>
      <c r="J291" s="634" t="s">
        <v>3474</v>
      </c>
      <c r="K291" s="635"/>
      <c r="L291" s="626"/>
      <c r="M291" s="627"/>
      <c r="N291" s="636" t="s">
        <v>1927</v>
      </c>
      <c r="O291" s="636" t="s">
        <v>3371</v>
      </c>
      <c r="P291" s="507" t="s">
        <v>2479</v>
      </c>
      <c r="Q291" s="631"/>
      <c r="S291" s="611"/>
      <c r="T291" s="611"/>
      <c r="U291" s="611"/>
      <c r="V291" s="611"/>
      <c r="W291" s="611"/>
      <c r="X291" s="611"/>
      <c r="Y291" s="611"/>
      <c r="Z291" s="611"/>
      <c r="AA291" s="611"/>
    </row>
    <row r="292" spans="1:27" ht="12" customHeight="1">
      <c r="A292" s="611"/>
      <c r="B292" s="640"/>
      <c r="C292" s="507" t="s">
        <v>3903</v>
      </c>
      <c r="D292" s="507" t="s">
        <v>2012</v>
      </c>
      <c r="E292" s="637" t="s">
        <v>1339</v>
      </c>
      <c r="F292" s="637"/>
      <c r="G292" s="631" t="s">
        <v>3885</v>
      </c>
      <c r="H292" s="632" t="s">
        <v>537</v>
      </c>
      <c r="I292" s="638"/>
      <c r="J292" s="634" t="s">
        <v>1924</v>
      </c>
      <c r="K292" s="635"/>
      <c r="L292" s="626"/>
      <c r="M292" s="627"/>
      <c r="N292" s="636" t="s">
        <v>3757</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3027</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3885</v>
      </c>
      <c r="H294" s="632" t="s">
        <v>537</v>
      </c>
      <c r="I294" s="638"/>
      <c r="J294" s="634" t="s">
        <v>1928</v>
      </c>
      <c r="K294" s="635"/>
      <c r="L294" s="626"/>
      <c r="M294" s="627"/>
      <c r="N294" s="636" t="s">
        <v>3771</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3028</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3885</v>
      </c>
      <c r="H296" s="632" t="s">
        <v>537</v>
      </c>
      <c r="I296" s="638"/>
      <c r="J296" s="634" t="s">
        <v>1931</v>
      </c>
      <c r="K296" s="635"/>
      <c r="L296" s="626"/>
      <c r="M296" s="627"/>
      <c r="N296" s="636" t="s">
        <v>95</v>
      </c>
      <c r="O296" s="636" t="s">
        <v>3289</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3029</v>
      </c>
      <c r="H297" s="632" t="s">
        <v>536</v>
      </c>
      <c r="I297" s="633"/>
      <c r="J297" s="634" t="s">
        <v>3772</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3030</v>
      </c>
      <c r="H298" s="632" t="s">
        <v>536</v>
      </c>
      <c r="I298" s="638"/>
      <c r="J298" s="634" t="s">
        <v>92</v>
      </c>
      <c r="K298" s="635"/>
      <c r="L298" s="626"/>
      <c r="M298" s="627"/>
      <c r="N298" s="636" t="s">
        <v>1889</v>
      </c>
      <c r="O298" s="636" t="s">
        <v>3024</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3031</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2813</v>
      </c>
      <c r="H300" s="632" t="s">
        <v>536</v>
      </c>
      <c r="I300" s="633"/>
      <c r="J300" s="634" t="s">
        <v>94</v>
      </c>
      <c r="K300" s="635"/>
      <c r="L300" s="626"/>
      <c r="M300" s="627"/>
      <c r="N300" s="636" t="s">
        <v>1893</v>
      </c>
      <c r="O300" s="636" t="s">
        <v>1738</v>
      </c>
      <c r="P300" s="1582"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2814</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2815</v>
      </c>
      <c r="H302" s="632" t="s">
        <v>536</v>
      </c>
      <c r="I302" s="633"/>
      <c r="J302" s="634" t="s">
        <v>1888</v>
      </c>
      <c r="K302" s="635"/>
      <c r="L302" s="626"/>
      <c r="M302" s="627"/>
      <c r="N302" s="636" t="s">
        <v>1897</v>
      </c>
      <c r="O302" s="636" t="s">
        <v>3289</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3910</v>
      </c>
      <c r="H303" s="632" t="s">
        <v>537</v>
      </c>
      <c r="I303" s="638"/>
      <c r="J303" s="634" t="s">
        <v>1890</v>
      </c>
      <c r="K303" s="635"/>
      <c r="L303" s="626"/>
      <c r="M303" s="627"/>
      <c r="N303" s="636" t="s">
        <v>3763</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3885</v>
      </c>
      <c r="H304" s="632" t="s">
        <v>537</v>
      </c>
      <c r="I304" s="638"/>
      <c r="J304" s="634" t="s">
        <v>1892</v>
      </c>
      <c r="K304" s="635"/>
      <c r="L304" s="626"/>
      <c r="M304" s="627"/>
      <c r="N304" s="636" t="s">
        <v>217</v>
      </c>
      <c r="O304" s="636" t="s">
        <v>3899</v>
      </c>
      <c r="P304" s="1582"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3273</v>
      </c>
      <c r="F305" s="630"/>
      <c r="G305" s="631" t="s">
        <v>2816</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3274</v>
      </c>
      <c r="D306" s="507" t="s">
        <v>1872</v>
      </c>
      <c r="E306" s="630" t="s">
        <v>3275</v>
      </c>
      <c r="F306" s="630"/>
      <c r="G306" s="631" t="s">
        <v>2817</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3276</v>
      </c>
      <c r="D308" s="507" t="s">
        <v>1872</v>
      </c>
      <c r="E308" s="637" t="s">
        <v>3277</v>
      </c>
      <c r="F308" s="637"/>
      <c r="G308" s="631" t="s">
        <v>670</v>
      </c>
      <c r="H308" s="632" t="s">
        <v>536</v>
      </c>
      <c r="I308" s="638"/>
      <c r="J308" s="634" t="s">
        <v>1484</v>
      </c>
      <c r="K308" s="635"/>
      <c r="L308" s="626"/>
      <c r="M308" s="627"/>
      <c r="N308" s="507" t="s">
        <v>3869</v>
      </c>
      <c r="O308" s="507" t="s">
        <v>3757</v>
      </c>
      <c r="P308" s="1583" t="s">
        <v>3240</v>
      </c>
      <c r="Q308" s="611"/>
      <c r="S308" s="611"/>
      <c r="T308" s="611"/>
      <c r="U308" s="611"/>
      <c r="V308" s="611"/>
      <c r="W308" s="611"/>
      <c r="X308" s="611"/>
      <c r="Y308" s="611"/>
      <c r="Z308" s="611"/>
      <c r="AA308" s="611"/>
    </row>
    <row r="309" spans="1:27" ht="12" customHeight="1">
      <c r="A309" s="611"/>
      <c r="B309" s="640"/>
      <c r="C309" s="507" t="s">
        <v>3278</v>
      </c>
      <c r="D309" s="507" t="s">
        <v>2036</v>
      </c>
      <c r="E309" s="637" t="s">
        <v>1339</v>
      </c>
      <c r="F309" s="637"/>
      <c r="G309" s="631" t="s">
        <v>3885</v>
      </c>
      <c r="H309" s="632" t="s">
        <v>537</v>
      </c>
      <c r="I309" s="638"/>
      <c r="J309" s="634" t="s">
        <v>1485</v>
      </c>
      <c r="K309" s="635"/>
      <c r="L309" s="626"/>
      <c r="M309" s="627"/>
      <c r="N309" s="636" t="s">
        <v>3239</v>
      </c>
      <c r="O309" s="636" t="s">
        <v>1741</v>
      </c>
      <c r="P309" s="507" t="s">
        <v>2494</v>
      </c>
      <c r="Q309" s="631"/>
      <c r="S309" s="611"/>
      <c r="T309" s="611"/>
      <c r="U309" s="611"/>
      <c r="V309" s="611"/>
      <c r="W309" s="611"/>
      <c r="X309" s="611"/>
      <c r="Y309" s="611"/>
      <c r="Z309" s="611"/>
      <c r="AA309" s="611"/>
    </row>
    <row r="310" spans="1:27" ht="12" customHeight="1">
      <c r="A310" s="611"/>
      <c r="B310" s="640"/>
      <c r="C310" s="507" t="s">
        <v>3279</v>
      </c>
      <c r="D310" s="507" t="s">
        <v>2012</v>
      </c>
      <c r="E310" s="637" t="s">
        <v>3280</v>
      </c>
      <c r="F310" s="637"/>
      <c r="G310" s="631" t="s">
        <v>284</v>
      </c>
      <c r="H310" s="632" t="s">
        <v>536</v>
      </c>
      <c r="I310" s="633"/>
      <c r="J310" s="634" t="s">
        <v>1487</v>
      </c>
      <c r="K310" s="635"/>
      <c r="L310" s="626"/>
      <c r="M310" s="627"/>
      <c r="N310" s="636" t="s">
        <v>3150</v>
      </c>
      <c r="O310" s="636" t="s">
        <v>2662</v>
      </c>
      <c r="P310" s="507" t="s">
        <v>2495</v>
      </c>
      <c r="Q310" s="631"/>
      <c r="S310" s="611"/>
      <c r="T310" s="611"/>
      <c r="U310" s="611"/>
      <c r="V310" s="611"/>
      <c r="W310" s="611"/>
      <c r="X310" s="611"/>
      <c r="Y310" s="611"/>
      <c r="Z310" s="611"/>
      <c r="AA310" s="611"/>
    </row>
    <row r="311" spans="1:27" ht="12" customHeight="1">
      <c r="A311" s="611"/>
      <c r="B311" s="640"/>
      <c r="C311" s="507" t="s">
        <v>3281</v>
      </c>
      <c r="D311" s="507" t="s">
        <v>1872</v>
      </c>
      <c r="E311" s="630" t="s">
        <v>3282</v>
      </c>
      <c r="F311" s="630"/>
      <c r="G311" s="631" t="s">
        <v>2134</v>
      </c>
      <c r="H311" s="632" t="s">
        <v>536</v>
      </c>
      <c r="I311" s="633"/>
      <c r="J311" s="634" t="s">
        <v>1489</v>
      </c>
      <c r="K311" s="635"/>
      <c r="L311" s="626"/>
      <c r="M311" s="627"/>
      <c r="N311" s="636" t="s">
        <v>3152</v>
      </c>
      <c r="O311" s="636" t="s">
        <v>3820</v>
      </c>
      <c r="P311" s="507" t="s">
        <v>2496</v>
      </c>
      <c r="Q311" s="631"/>
      <c r="S311" s="611"/>
      <c r="T311" s="611"/>
      <c r="U311" s="611"/>
      <c r="V311" s="611"/>
      <c r="W311" s="611"/>
      <c r="X311" s="611"/>
      <c r="Y311" s="611"/>
      <c r="Z311" s="611"/>
      <c r="AA311" s="611"/>
    </row>
    <row r="312" spans="1:27" ht="12" customHeight="1">
      <c r="A312" s="611"/>
      <c r="B312" s="640"/>
      <c r="C312" s="507" t="s">
        <v>3283</v>
      </c>
      <c r="D312" s="507" t="s">
        <v>1872</v>
      </c>
      <c r="E312" s="630" t="s">
        <v>3284</v>
      </c>
      <c r="F312" s="630"/>
      <c r="G312" s="631" t="s">
        <v>2135</v>
      </c>
      <c r="H312" s="632" t="s">
        <v>536</v>
      </c>
      <c r="I312" s="633"/>
      <c r="J312" s="634" t="s">
        <v>3237</v>
      </c>
      <c r="K312" s="635"/>
      <c r="L312" s="626"/>
      <c r="M312" s="627"/>
      <c r="N312" s="636" t="s">
        <v>1414</v>
      </c>
      <c r="O312" s="636" t="s">
        <v>413</v>
      </c>
      <c r="P312" s="1582" t="s">
        <v>1412</v>
      </c>
      <c r="Q312" s="611"/>
      <c r="S312" s="611"/>
      <c r="T312" s="611"/>
      <c r="U312" s="611"/>
      <c r="V312" s="611"/>
      <c r="W312" s="611"/>
      <c r="X312" s="611"/>
      <c r="Y312" s="611"/>
      <c r="Z312" s="611"/>
      <c r="AA312" s="611"/>
    </row>
    <row r="313" spans="1:27" ht="12" customHeight="1">
      <c r="A313" s="611"/>
      <c r="B313" s="640"/>
      <c r="C313" s="507" t="s">
        <v>3285</v>
      </c>
      <c r="D313" s="507" t="s">
        <v>2036</v>
      </c>
      <c r="E313" s="630" t="s">
        <v>3286</v>
      </c>
      <c r="F313" s="630"/>
      <c r="G313" s="631" t="s">
        <v>2136</v>
      </c>
      <c r="H313" s="632" t="s">
        <v>536</v>
      </c>
      <c r="I313" s="633"/>
      <c r="J313" s="634" t="s">
        <v>3238</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3287</v>
      </c>
      <c r="D314" s="507" t="s">
        <v>2036</v>
      </c>
      <c r="E314" s="630" t="s">
        <v>3288</v>
      </c>
      <c r="F314" s="630"/>
      <c r="G314" s="631" t="s">
        <v>3091</v>
      </c>
      <c r="H314" s="632" t="s">
        <v>536</v>
      </c>
      <c r="I314" s="633"/>
      <c r="J314" s="634" t="s">
        <v>3149</v>
      </c>
      <c r="K314" s="635"/>
      <c r="L314" s="626"/>
      <c r="M314" s="627"/>
      <c r="N314" s="507" t="s">
        <v>3870</v>
      </c>
      <c r="O314" s="507" t="s">
        <v>2028</v>
      </c>
      <c r="P314" s="1583" t="s">
        <v>3240</v>
      </c>
      <c r="Q314" s="631"/>
      <c r="S314" s="611"/>
      <c r="T314" s="611"/>
      <c r="U314" s="611"/>
      <c r="V314" s="611"/>
      <c r="W314" s="611"/>
      <c r="X314" s="611"/>
      <c r="Y314" s="611"/>
      <c r="Z314" s="611"/>
      <c r="AA314" s="611"/>
    </row>
    <row r="315" spans="1:27" ht="12" customHeight="1">
      <c r="A315" s="611"/>
      <c r="B315" s="640"/>
      <c r="C315" s="507" t="s">
        <v>3289</v>
      </c>
      <c r="D315" s="507" t="s">
        <v>1872</v>
      </c>
      <c r="E315" s="630" t="s">
        <v>3290</v>
      </c>
      <c r="F315" s="630"/>
      <c r="G315" s="631" t="s">
        <v>3092</v>
      </c>
      <c r="H315" s="632" t="s">
        <v>536</v>
      </c>
      <c r="I315" s="633"/>
      <c r="J315" s="634" t="s">
        <v>3151</v>
      </c>
      <c r="K315" s="635"/>
      <c r="L315" s="626"/>
      <c r="M315" s="627"/>
      <c r="N315" s="636" t="s">
        <v>934</v>
      </c>
      <c r="O315" s="636" t="s">
        <v>3900</v>
      </c>
      <c r="P315" s="507" t="s">
        <v>2498</v>
      </c>
      <c r="Q315" s="611"/>
      <c r="S315" s="611"/>
      <c r="T315" s="611"/>
      <c r="U315" s="611"/>
      <c r="V315" s="611"/>
      <c r="W315" s="611"/>
      <c r="X315" s="611"/>
      <c r="Y315" s="611"/>
      <c r="Z315" s="611"/>
      <c r="AA315" s="611"/>
    </row>
    <row r="316" spans="1:27" ht="12" customHeight="1">
      <c r="A316" s="611"/>
      <c r="B316" s="640"/>
      <c r="C316" s="507" t="s">
        <v>3291</v>
      </c>
      <c r="D316" s="507" t="s">
        <v>2036</v>
      </c>
      <c r="E316" s="630" t="s">
        <v>1461</v>
      </c>
      <c r="F316" s="630"/>
      <c r="G316" s="631" t="s">
        <v>3093</v>
      </c>
      <c r="H316" s="632" t="s">
        <v>536</v>
      </c>
      <c r="I316" s="633"/>
      <c r="J316" s="634" t="s">
        <v>930</v>
      </c>
      <c r="K316" s="635"/>
      <c r="L316" s="626"/>
      <c r="M316" s="627"/>
      <c r="N316" s="636" t="s">
        <v>3819</v>
      </c>
      <c r="O316" s="636" t="s">
        <v>3902</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3094</v>
      </c>
      <c r="H317" s="632" t="s">
        <v>536</v>
      </c>
      <c r="I317" s="638"/>
      <c r="J317" s="634" t="s">
        <v>931</v>
      </c>
      <c r="K317" s="635"/>
      <c r="L317" s="626"/>
      <c r="M317" s="627"/>
      <c r="N317" s="636" t="s">
        <v>938</v>
      </c>
      <c r="O317" s="636" t="s">
        <v>3287</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3095</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2977</v>
      </c>
      <c r="F320" s="637"/>
      <c r="G320" s="631" t="s">
        <v>1810</v>
      </c>
      <c r="H320" s="632" t="s">
        <v>536</v>
      </c>
      <c r="I320" s="638"/>
      <c r="J320" s="634" t="s">
        <v>936</v>
      </c>
      <c r="K320" s="635"/>
      <c r="L320" s="626"/>
      <c r="M320" s="627"/>
      <c r="N320" s="636" t="s">
        <v>843</v>
      </c>
      <c r="O320" s="636" t="s">
        <v>216</v>
      </c>
      <c r="P320" s="1582" t="s">
        <v>1412</v>
      </c>
      <c r="Q320" s="631"/>
      <c r="S320" s="611"/>
      <c r="T320" s="611"/>
      <c r="U320" s="611"/>
      <c r="V320" s="611"/>
      <c r="W320" s="611"/>
      <c r="X320" s="611"/>
      <c r="Y320" s="611"/>
      <c r="Z320" s="611"/>
      <c r="AA320" s="611"/>
    </row>
    <row r="321" spans="1:27" ht="12" customHeight="1">
      <c r="A321" s="611"/>
      <c r="B321" s="640"/>
      <c r="C321" s="507" t="s">
        <v>2978</v>
      </c>
      <c r="D321" s="507" t="s">
        <v>1872</v>
      </c>
      <c r="E321" s="637" t="s">
        <v>2979</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2980</v>
      </c>
      <c r="D322" s="507" t="s">
        <v>2012</v>
      </c>
      <c r="E322" s="637" t="s">
        <v>2981</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2982</v>
      </c>
      <c r="D323" s="507" t="s">
        <v>1872</v>
      </c>
      <c r="E323" s="637" t="s">
        <v>2983</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2984</v>
      </c>
      <c r="D324" s="507" t="s">
        <v>2036</v>
      </c>
      <c r="E324" s="630" t="s">
        <v>2985</v>
      </c>
      <c r="F324" s="630"/>
      <c r="G324" s="631" t="s">
        <v>1814</v>
      </c>
      <c r="H324" s="632" t="s">
        <v>536</v>
      </c>
      <c r="I324" s="638"/>
      <c r="J324" s="634" t="s">
        <v>842</v>
      </c>
      <c r="K324" s="635"/>
      <c r="L324" s="626"/>
      <c r="M324" s="627"/>
      <c r="N324" s="636" t="s">
        <v>3040</v>
      </c>
      <c r="O324" s="636" t="s">
        <v>3371</v>
      </c>
      <c r="P324" s="507" t="s">
        <v>2506</v>
      </c>
      <c r="Q324" s="631"/>
      <c r="S324" s="611"/>
      <c r="T324" s="611"/>
      <c r="U324" s="611"/>
      <c r="V324" s="611"/>
      <c r="W324" s="611"/>
      <c r="X324" s="611"/>
      <c r="Y324" s="611"/>
      <c r="Z324" s="611"/>
      <c r="AA324" s="611"/>
    </row>
    <row r="325" spans="1:27" ht="12" customHeight="1">
      <c r="A325" s="611"/>
      <c r="B325" s="640"/>
      <c r="C325" s="507" t="s">
        <v>2986</v>
      </c>
      <c r="D325" s="507" t="s">
        <v>1872</v>
      </c>
      <c r="E325" s="637" t="s">
        <v>2987</v>
      </c>
      <c r="F325" s="637"/>
      <c r="G325" s="631" t="s">
        <v>1815</v>
      </c>
      <c r="H325" s="632" t="s">
        <v>536</v>
      </c>
      <c r="I325" s="638"/>
      <c r="J325" s="634" t="s">
        <v>1799</v>
      </c>
      <c r="K325" s="635"/>
      <c r="L325" s="626"/>
      <c r="M325" s="627"/>
      <c r="N325" s="636" t="s">
        <v>3042</v>
      </c>
      <c r="O325" s="636" t="s">
        <v>3903</v>
      </c>
      <c r="P325" s="507" t="s">
        <v>2507</v>
      </c>
      <c r="Q325" s="631"/>
      <c r="S325" s="611"/>
      <c r="T325" s="611"/>
      <c r="U325" s="611"/>
      <c r="V325" s="611"/>
      <c r="W325" s="611"/>
      <c r="X325" s="611"/>
      <c r="Y325" s="611"/>
      <c r="Z325" s="611"/>
      <c r="AA325" s="611"/>
    </row>
    <row r="326" spans="1:27" ht="12" customHeight="1">
      <c r="A326" s="611"/>
      <c r="B326" s="640"/>
      <c r="C326" s="507" t="s">
        <v>2988</v>
      </c>
      <c r="D326" s="507" t="s">
        <v>2036</v>
      </c>
      <c r="E326" s="637" t="s">
        <v>2021</v>
      </c>
      <c r="F326" s="637"/>
      <c r="G326" s="631" t="s">
        <v>3888</v>
      </c>
      <c r="H326" s="632" t="s">
        <v>537</v>
      </c>
      <c r="I326" s="638"/>
      <c r="J326" s="634" t="s">
        <v>1236</v>
      </c>
      <c r="K326" s="635"/>
      <c r="L326" s="626"/>
      <c r="M326" s="627"/>
      <c r="N326" s="636" t="s">
        <v>431</v>
      </c>
      <c r="O326" s="636" t="s">
        <v>3024</v>
      </c>
      <c r="P326" s="507" t="s">
        <v>2508</v>
      </c>
      <c r="Q326" s="631"/>
      <c r="S326" s="611"/>
      <c r="T326" s="611"/>
      <c r="U326" s="611"/>
      <c r="V326" s="611"/>
      <c r="W326" s="611"/>
      <c r="X326" s="611"/>
      <c r="Y326" s="611"/>
      <c r="Z326" s="611"/>
      <c r="AA326" s="611"/>
    </row>
    <row r="327" spans="1:27" ht="12" customHeight="1">
      <c r="A327" s="611"/>
      <c r="B327" s="640"/>
      <c r="C327" s="507" t="s">
        <v>2989</v>
      </c>
      <c r="D327" s="507" t="s">
        <v>2012</v>
      </c>
      <c r="E327" s="637" t="s">
        <v>2990</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3083</v>
      </c>
      <c r="D328" s="507" t="s">
        <v>2036</v>
      </c>
      <c r="E328" s="630" t="s">
        <v>3084</v>
      </c>
      <c r="F328" s="630"/>
      <c r="G328" s="631" t="s">
        <v>1817</v>
      </c>
      <c r="H328" s="632" t="s">
        <v>536</v>
      </c>
      <c r="I328" s="638"/>
      <c r="J328" s="634" t="s">
        <v>3039</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3085</v>
      </c>
      <c r="D329" s="507" t="s">
        <v>2012</v>
      </c>
      <c r="E329" s="637" t="s">
        <v>2271</v>
      </c>
      <c r="F329" s="637"/>
      <c r="G329" s="631" t="s">
        <v>2697</v>
      </c>
      <c r="H329" s="632" t="s">
        <v>537</v>
      </c>
      <c r="I329" s="638"/>
      <c r="J329" s="634" t="s">
        <v>3041</v>
      </c>
      <c r="K329" s="635"/>
      <c r="L329" s="626"/>
      <c r="M329" s="627"/>
      <c r="N329" s="636" t="s">
        <v>437</v>
      </c>
      <c r="O329" s="636" t="s">
        <v>3632</v>
      </c>
      <c r="P329" s="507" t="s">
        <v>2511</v>
      </c>
      <c r="Q329" s="631"/>
      <c r="S329" s="611"/>
      <c r="T329" s="611"/>
      <c r="U329" s="611"/>
      <c r="V329" s="611"/>
      <c r="W329" s="611"/>
      <c r="X329" s="611"/>
      <c r="Y329" s="611"/>
      <c r="Z329" s="611"/>
      <c r="AA329" s="611"/>
    </row>
    <row r="330" spans="1:27" ht="12" customHeight="1">
      <c r="A330" s="611"/>
      <c r="B330" s="640"/>
      <c r="C330" s="507" t="s">
        <v>3086</v>
      </c>
      <c r="D330" s="507" t="s">
        <v>2036</v>
      </c>
      <c r="E330" s="637" t="s">
        <v>1339</v>
      </c>
      <c r="F330" s="637"/>
      <c r="G330" s="631" t="s">
        <v>3885</v>
      </c>
      <c r="H330" s="632" t="s">
        <v>537</v>
      </c>
      <c r="I330" s="638"/>
      <c r="J330" s="634" t="s">
        <v>430</v>
      </c>
      <c r="K330" s="635"/>
      <c r="L330" s="626"/>
      <c r="M330" s="627"/>
      <c r="N330" s="636" t="s">
        <v>439</v>
      </c>
      <c r="O330" s="636" t="s">
        <v>2937</v>
      </c>
      <c r="P330" s="507" t="s">
        <v>2512</v>
      </c>
      <c r="Q330" s="631"/>
      <c r="S330" s="611"/>
      <c r="T330" s="611"/>
      <c r="U330" s="611"/>
      <c r="V330" s="611"/>
      <c r="W330" s="611"/>
      <c r="X330" s="611"/>
      <c r="Y330" s="611"/>
      <c r="Z330" s="611"/>
      <c r="AA330" s="611"/>
    </row>
    <row r="331" spans="1:27" ht="12" customHeight="1">
      <c r="A331" s="611"/>
      <c r="B331" s="640"/>
      <c r="C331" s="507" t="s">
        <v>3087</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3011</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3257</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3283</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3561</v>
      </c>
      <c r="H336" s="632" t="s">
        <v>536</v>
      </c>
      <c r="I336" s="638"/>
      <c r="J336" s="634" t="s">
        <v>3010</v>
      </c>
      <c r="K336" s="635"/>
      <c r="L336" s="626"/>
      <c r="M336" s="627"/>
      <c r="N336" s="636" t="s">
        <v>211</v>
      </c>
      <c r="O336" s="636" t="s">
        <v>2936</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3562</v>
      </c>
      <c r="H337" s="632" t="s">
        <v>536</v>
      </c>
      <c r="I337" s="633"/>
      <c r="J337" s="634" t="s">
        <v>3012</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3024</v>
      </c>
      <c r="D338" s="507" t="s">
        <v>2012</v>
      </c>
      <c r="E338" s="630" t="s">
        <v>431</v>
      </c>
      <c r="F338" s="630"/>
      <c r="G338" s="631" t="s">
        <v>3563</v>
      </c>
      <c r="H338" s="632" t="s">
        <v>537</v>
      </c>
      <c r="I338" s="638"/>
      <c r="J338" s="634" t="s">
        <v>3256</v>
      </c>
      <c r="K338" s="635"/>
      <c r="L338" s="626"/>
      <c r="M338" s="627"/>
      <c r="N338" s="507" t="s">
        <v>3871</v>
      </c>
      <c r="O338" s="507" t="s">
        <v>3087</v>
      </c>
      <c r="P338" s="1583" t="s">
        <v>3240</v>
      </c>
      <c r="Q338" s="631"/>
      <c r="S338" s="611"/>
      <c r="T338" s="611"/>
      <c r="U338" s="611"/>
      <c r="V338" s="611"/>
      <c r="W338" s="611"/>
      <c r="X338" s="611"/>
      <c r="Y338" s="611"/>
      <c r="Z338" s="611"/>
      <c r="AA338" s="611"/>
    </row>
    <row r="339" spans="1:27" ht="12" customHeight="1">
      <c r="A339" s="611"/>
      <c r="B339" s="640"/>
      <c r="C339" s="507" t="s">
        <v>3025</v>
      </c>
      <c r="D339" s="507" t="s">
        <v>1872</v>
      </c>
      <c r="E339" s="637" t="s">
        <v>3629</v>
      </c>
      <c r="F339" s="637"/>
      <c r="G339" s="631" t="s">
        <v>3564</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3630</v>
      </c>
      <c r="D340" s="507" t="s">
        <v>2036</v>
      </c>
      <c r="E340" s="637" t="s">
        <v>3631</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3632</v>
      </c>
      <c r="D341" s="507" t="s">
        <v>2036</v>
      </c>
      <c r="E341" s="637" t="s">
        <v>3633</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3634</v>
      </c>
      <c r="D342" s="507" t="s">
        <v>1872</v>
      </c>
      <c r="E342" s="637" t="s">
        <v>2811</v>
      </c>
      <c r="F342" s="637"/>
      <c r="G342" s="631" t="s">
        <v>1804</v>
      </c>
      <c r="H342" s="632" t="s">
        <v>537</v>
      </c>
      <c r="I342" s="611"/>
      <c r="J342" s="634" t="s">
        <v>1372</v>
      </c>
      <c r="K342" s="635"/>
      <c r="L342" s="626"/>
      <c r="M342" s="627"/>
      <c r="N342" s="636" t="s">
        <v>3669</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3671</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3872</v>
      </c>
      <c r="O344" s="507" t="s">
        <v>1010</v>
      </c>
      <c r="P344" s="1583"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1464</v>
      </c>
      <c r="O349" s="636" t="s">
        <v>3761</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964</v>
      </c>
      <c r="P351" s="1583"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3874</v>
      </c>
      <c r="O359" s="507" t="s">
        <v>3278</v>
      </c>
      <c r="P359" s="1583"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3875</v>
      </c>
      <c r="O360" s="507" t="s">
        <v>3818</v>
      </c>
      <c r="P360" s="1583"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3799</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83"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83"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83"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83"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3758</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3410</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3618</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3757</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83"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3763</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3369</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3733</v>
      </c>
      <c r="O400" s="636" t="s">
        <v>2938</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3285</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82"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3289</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3086</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3632</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3818</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2938</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83"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3278</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3815</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2980</v>
      </c>
      <c r="P420" s="1583"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3371</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3083</v>
      </c>
      <c r="P426" s="1583"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3818</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3815</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3426</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2980</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1676</v>
      </c>
      <c r="O439" s="507" t="s">
        <v>1727</v>
      </c>
      <c r="P439" s="1583"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3274</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3903</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2631</v>
      </c>
      <c r="O444" s="636" t="s">
        <v>2984</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3758</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3448</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1677</v>
      </c>
      <c r="O453" s="507" t="s">
        <v>2270</v>
      </c>
      <c r="P453" s="1583"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1678</v>
      </c>
      <c r="O455" s="507" t="s">
        <v>3757</v>
      </c>
      <c r="P455" s="1583"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83"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2988</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3378</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3086</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83"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3071</v>
      </c>
      <c r="O477" s="636" t="s">
        <v>3085</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2984</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968</v>
      </c>
      <c r="O479" s="636" t="s">
        <v>3757</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83"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1682</v>
      </c>
      <c r="O483" s="507" t="s">
        <v>1741</v>
      </c>
      <c r="P483" s="1583"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3816</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3283</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3483</v>
      </c>
      <c r="O490" s="636" t="s">
        <v>3902</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3485</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1683</v>
      </c>
      <c r="O493" s="507" t="s">
        <v>3083</v>
      </c>
      <c r="P493" s="1583"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3085</v>
      </c>
      <c r="P495" s="1582"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82"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3086</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2938</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3085</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3757</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3281</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2938</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3770</v>
      </c>
      <c r="O510" s="636" t="s">
        <v>2978</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3760</v>
      </c>
      <c r="P511" s="1583"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3895</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3289</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2938</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3900</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3760</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3279</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3815</v>
      </c>
      <c r="P520" s="1583"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3902</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3632</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3468</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82"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3172</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3086</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83"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1686</v>
      </c>
      <c r="O546" s="507" t="s">
        <v>232</v>
      </c>
      <c r="P546" s="1583"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3757</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3906</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3189</v>
      </c>
      <c r="O552" s="636" t="s">
        <v>3763</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1867</v>
      </c>
      <c r="P558" s="1583"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82"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2339</v>
      </c>
      <c r="O567" s="636" t="s">
        <v>3761</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83"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83"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83"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2859</v>
      </c>
      <c r="O574" s="636" t="s">
        <v>3901</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2628</v>
      </c>
      <c r="O585" s="636" t="s">
        <v>3274</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1419</v>
      </c>
      <c r="O586" s="636" t="s">
        <v>3281</v>
      </c>
      <c r="P586" s="1582"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3402</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3404</v>
      </c>
      <c r="O588" s="636" t="s">
        <v>3278</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3900</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83"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3215</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2164</v>
      </c>
      <c r="O601" s="636" t="s">
        <v>415</v>
      </c>
      <c r="P601" s="627" t="s">
        <v>1164</v>
      </c>
      <c r="Q601" s="611"/>
      <c r="R601" s="507" t="s">
        <v>3864</v>
      </c>
      <c r="S601" s="507" t="s">
        <v>964</v>
      </c>
      <c r="T601" s="1583"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83" t="s">
        <v>3240</v>
      </c>
      <c r="Q602" s="611"/>
      <c r="R602" s="507" t="s">
        <v>3865</v>
      </c>
      <c r="S602" s="507" t="s">
        <v>414</v>
      </c>
      <c r="T602" s="1583"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3866</v>
      </c>
      <c r="S603" s="507" t="s">
        <v>3757</v>
      </c>
      <c r="T603" s="1583"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3867</v>
      </c>
      <c r="S604" s="507"/>
      <c r="T604" s="1583"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3146</v>
      </c>
      <c r="O605" s="636" t="s">
        <v>1549</v>
      </c>
      <c r="P605" s="627" t="s">
        <v>1167</v>
      </c>
      <c r="Q605" s="611"/>
      <c r="R605" s="507" t="s">
        <v>3868</v>
      </c>
      <c r="S605" s="507" t="s">
        <v>3085</v>
      </c>
      <c r="T605" s="1583"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1168</v>
      </c>
      <c r="Q606" s="611"/>
      <c r="R606" s="507" t="s">
        <v>3869</v>
      </c>
      <c r="S606" s="507" t="s">
        <v>3757</v>
      </c>
      <c r="T606" s="1583"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1169</v>
      </c>
      <c r="Q607" s="611"/>
      <c r="R607" s="507" t="s">
        <v>3870</v>
      </c>
      <c r="S607" s="507" t="s">
        <v>2028</v>
      </c>
      <c r="T607" s="1583"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3283</v>
      </c>
      <c r="P608" s="627" t="s">
        <v>1170</v>
      </c>
      <c r="Q608" s="611"/>
      <c r="R608" s="507" t="s">
        <v>3871</v>
      </c>
      <c r="S608" s="507" t="s">
        <v>3087</v>
      </c>
      <c r="T608" s="1583"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3872</v>
      </c>
      <c r="S609" s="507" t="s">
        <v>1010</v>
      </c>
      <c r="T609" s="1583"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3873</v>
      </c>
      <c r="S610" s="507" t="s">
        <v>964</v>
      </c>
      <c r="T610" s="1583"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3874</v>
      </c>
      <c r="S611" s="507" t="s">
        <v>3278</v>
      </c>
      <c r="T611" s="1583"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3875</v>
      </c>
      <c r="S612" s="507" t="s">
        <v>3818</v>
      </c>
      <c r="T612" s="1583"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3900</v>
      </c>
      <c r="P613" s="627" t="s">
        <v>1175</v>
      </c>
      <c r="Q613" s="611"/>
      <c r="R613" s="507" t="s">
        <v>3371</v>
      </c>
      <c r="S613" s="507" t="s">
        <v>3815</v>
      </c>
      <c r="T613" s="1583"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3634</v>
      </c>
      <c r="P614" s="627" t="s">
        <v>1176</v>
      </c>
      <c r="Q614" s="611"/>
      <c r="R614" s="507" t="s">
        <v>3876</v>
      </c>
      <c r="S614" s="507" t="s">
        <v>3278</v>
      </c>
      <c r="T614" s="1583"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3760</v>
      </c>
      <c r="P615" s="627" t="s">
        <v>1177</v>
      </c>
      <c r="Q615" s="611"/>
      <c r="R615" s="507" t="s">
        <v>3877</v>
      </c>
      <c r="S615" s="507" t="s">
        <v>3760</v>
      </c>
      <c r="T615" s="1583"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2851</v>
      </c>
      <c r="O616" s="636" t="s">
        <v>124</v>
      </c>
      <c r="P616" s="1582" t="s">
        <v>1412</v>
      </c>
      <c r="Q616" s="611"/>
      <c r="R616" s="507" t="s">
        <v>3878</v>
      </c>
      <c r="S616" s="507" t="s">
        <v>3085</v>
      </c>
      <c r="T616" s="1583"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1730</v>
      </c>
      <c r="O617" s="636" t="s">
        <v>1220</v>
      </c>
      <c r="P617" s="627" t="s">
        <v>1178</v>
      </c>
      <c r="Q617" s="611"/>
      <c r="R617" s="507" t="s">
        <v>1672</v>
      </c>
      <c r="S617" s="507" t="s">
        <v>2181</v>
      </c>
      <c r="T617" s="1583"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1692</v>
      </c>
      <c r="O618" s="507" t="s">
        <v>1551</v>
      </c>
      <c r="P618" s="1583" t="s">
        <v>3240</v>
      </c>
      <c r="Q618" s="611"/>
      <c r="R618" s="507" t="s">
        <v>1498</v>
      </c>
      <c r="S618" s="507" t="s">
        <v>1734</v>
      </c>
      <c r="T618" s="1583"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1734</v>
      </c>
      <c r="O619" s="636" t="s">
        <v>2025</v>
      </c>
      <c r="P619" s="627" t="s">
        <v>1179</v>
      </c>
      <c r="Q619" s="611"/>
      <c r="R619" s="507" t="s">
        <v>1673</v>
      </c>
      <c r="S619" s="507" t="s">
        <v>964</v>
      </c>
      <c r="T619" s="1583"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2980</v>
      </c>
      <c r="T620" s="1583"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83" t="s">
        <v>3240</v>
      </c>
      <c r="Q621" s="611"/>
      <c r="R621" s="507" t="s">
        <v>1675</v>
      </c>
      <c r="S621" s="507" t="s">
        <v>3083</v>
      </c>
      <c r="T621" s="1583"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83"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1181</v>
      </c>
      <c r="Q623" s="1584"/>
      <c r="R623" s="507" t="s">
        <v>1677</v>
      </c>
      <c r="S623" s="507" t="s">
        <v>2270</v>
      </c>
      <c r="T623" s="1583"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1182</v>
      </c>
      <c r="Q624" s="611"/>
      <c r="R624" s="507" t="s">
        <v>1678</v>
      </c>
      <c r="S624" s="507" t="s">
        <v>3757</v>
      </c>
      <c r="T624" s="1583"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83" t="s">
        <v>3240</v>
      </c>
      <c r="Q625" s="611"/>
      <c r="R625" s="507" t="s">
        <v>1679</v>
      </c>
      <c r="S625" s="507" t="s">
        <v>215</v>
      </c>
      <c r="T625" s="1583"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1695</v>
      </c>
      <c r="O626" s="507" t="s">
        <v>411</v>
      </c>
      <c r="P626" s="1583" t="s">
        <v>3240</v>
      </c>
      <c r="Q626" s="611"/>
      <c r="R626" s="507" t="s">
        <v>1680</v>
      </c>
      <c r="S626" s="507" t="s">
        <v>2035</v>
      </c>
      <c r="T626" s="1583"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2028</v>
      </c>
      <c r="P627" s="627" t="s">
        <v>1183</v>
      </c>
      <c r="Q627" s="611"/>
      <c r="R627" s="507" t="s">
        <v>1681</v>
      </c>
      <c r="S627" s="507" t="s">
        <v>2270</v>
      </c>
      <c r="T627" s="1583"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1184</v>
      </c>
      <c r="Q628" s="611"/>
      <c r="R628" s="507" t="s">
        <v>1682</v>
      </c>
      <c r="S628" s="507" t="s">
        <v>1741</v>
      </c>
      <c r="T628" s="1583"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1185</v>
      </c>
      <c r="Q629" s="611"/>
      <c r="R629" s="507" t="s">
        <v>1683</v>
      </c>
      <c r="S629" s="507" t="s">
        <v>3083</v>
      </c>
      <c r="T629" s="1583"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2178</v>
      </c>
      <c r="P630" s="627" t="s">
        <v>1186</v>
      </c>
      <c r="Q630" s="611"/>
      <c r="R630" s="636" t="s">
        <v>1416</v>
      </c>
      <c r="S630" s="636" t="s">
        <v>1464</v>
      </c>
      <c r="T630" s="1583"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1011</v>
      </c>
      <c r="P631" s="627" t="s">
        <v>1187</v>
      </c>
      <c r="Q631" s="611"/>
      <c r="R631" s="507" t="s">
        <v>1684</v>
      </c>
      <c r="S631" s="507" t="s">
        <v>3760</v>
      </c>
      <c r="T631" s="1583"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1188</v>
      </c>
      <c r="Q632" s="611"/>
      <c r="R632" s="507" t="s">
        <v>2369</v>
      </c>
      <c r="S632" s="507" t="s">
        <v>3815</v>
      </c>
      <c r="T632" s="1583"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3291</v>
      </c>
      <c r="P633" s="627" t="s">
        <v>1189</v>
      </c>
      <c r="Q633" s="611"/>
      <c r="R633" s="507" t="s">
        <v>1685</v>
      </c>
      <c r="S633" s="507"/>
      <c r="T633" s="1583"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83"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83"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3281</v>
      </c>
      <c r="P636" s="627" t="s">
        <v>1192</v>
      </c>
      <c r="Q636" s="611"/>
      <c r="R636" s="507" t="s">
        <v>3416</v>
      </c>
      <c r="S636" s="507" t="s">
        <v>1867</v>
      </c>
      <c r="T636" s="1583"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83"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83"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83"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83"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3757</v>
      </c>
      <c r="P641" s="627" t="s">
        <v>1197</v>
      </c>
      <c r="Q641" s="611"/>
      <c r="R641" s="507" t="s">
        <v>1691</v>
      </c>
      <c r="S641" s="507" t="s">
        <v>2664</v>
      </c>
      <c r="T641" s="1583"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3763</v>
      </c>
      <c r="P642" s="627" t="s">
        <v>1198</v>
      </c>
      <c r="Q642" s="611"/>
      <c r="R642" s="507" t="s">
        <v>1692</v>
      </c>
      <c r="S642" s="507" t="s">
        <v>1551</v>
      </c>
      <c r="T642" s="1583"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3819</v>
      </c>
      <c r="P643" s="627" t="s">
        <v>1199</v>
      </c>
      <c r="Q643" s="611"/>
      <c r="R643" s="507" t="s">
        <v>1693</v>
      </c>
      <c r="S643" s="507" t="s">
        <v>137</v>
      </c>
      <c r="T643" s="1583"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83" t="s">
        <v>3240</v>
      </c>
      <c r="Q644" s="611"/>
      <c r="R644" s="507" t="s">
        <v>1694</v>
      </c>
      <c r="S644" s="507" t="s">
        <v>964</v>
      </c>
      <c r="T644" s="1583"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3025</v>
      </c>
      <c r="P645" s="627" t="s">
        <v>1200</v>
      </c>
      <c r="Q645" s="611"/>
      <c r="R645" s="507" t="s">
        <v>1695</v>
      </c>
      <c r="S645" s="507" t="s">
        <v>411</v>
      </c>
      <c r="T645" s="1583"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83"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3396</v>
      </c>
      <c r="O647" s="636" t="s">
        <v>3274</v>
      </c>
      <c r="P647" s="627" t="s">
        <v>1202</v>
      </c>
      <c r="Q647" s="611"/>
      <c r="R647" s="507" t="s">
        <v>1420</v>
      </c>
      <c r="S647" s="507" t="s">
        <v>2014</v>
      </c>
      <c r="T647" s="1583"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1002</v>
      </c>
      <c r="P648" s="627" t="s">
        <v>1203</v>
      </c>
      <c r="Q648" s="611"/>
      <c r="R648" s="507" t="s">
        <v>1697</v>
      </c>
      <c r="S648" s="507" t="s">
        <v>1010</v>
      </c>
      <c r="T648" s="1583"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2799</v>
      </c>
      <c r="O649" s="636" t="s">
        <v>1222</v>
      </c>
      <c r="P649" s="627" t="s">
        <v>1204</v>
      </c>
      <c r="Q649" s="611"/>
      <c r="R649" s="507" t="s">
        <v>1698</v>
      </c>
      <c r="S649" s="507" t="s">
        <v>2270</v>
      </c>
      <c r="T649" s="1583"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3806</v>
      </c>
      <c r="O650" s="636" t="s">
        <v>3085</v>
      </c>
      <c r="P650" s="627" t="s">
        <v>1205</v>
      </c>
      <c r="Q650" s="611"/>
      <c r="R650" s="507" t="s">
        <v>1699</v>
      </c>
      <c r="S650" s="507" t="s">
        <v>964</v>
      </c>
      <c r="T650" s="1583"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1867</v>
      </c>
      <c r="P651" s="627" t="s">
        <v>1206</v>
      </c>
      <c r="Q651" s="611"/>
      <c r="R651" s="507" t="s">
        <v>1700</v>
      </c>
      <c r="S651" s="507" t="s">
        <v>1002</v>
      </c>
      <c r="T651" s="1583"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2515</v>
      </c>
      <c r="O652" s="636" t="s">
        <v>1004</v>
      </c>
      <c r="P652" s="627" t="s">
        <v>747</v>
      </c>
      <c r="Q652" s="611"/>
      <c r="R652" s="507" t="s">
        <v>1701</v>
      </c>
      <c r="S652" s="507" t="s">
        <v>215</v>
      </c>
      <c r="T652" s="1583"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82" t="s">
        <v>1412</v>
      </c>
      <c r="Q653" s="611"/>
      <c r="R653" s="507" t="s">
        <v>1702</v>
      </c>
      <c r="S653" s="507" t="s">
        <v>2980</v>
      </c>
      <c r="T653" s="1583"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83" t="s">
        <v>3240</v>
      </c>
      <c r="Q654" s="611"/>
      <c r="R654" s="507" t="s">
        <v>1703</v>
      </c>
      <c r="S654" s="507" t="s">
        <v>3083</v>
      </c>
      <c r="T654" s="1583"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3895</v>
      </c>
      <c r="P655" s="627" t="s">
        <v>748</v>
      </c>
      <c r="Q655" s="611"/>
      <c r="R655" s="507" t="s">
        <v>1704</v>
      </c>
      <c r="S655" s="507" t="s">
        <v>964</v>
      </c>
      <c r="T655" s="1583"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83"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83" t="s">
        <v>3240</v>
      </c>
      <c r="Q657" s="611"/>
      <c r="R657" s="507" t="s">
        <v>1706</v>
      </c>
      <c r="S657" s="507" t="s">
        <v>3760</v>
      </c>
      <c r="T657" s="1583"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3659</v>
      </c>
      <c r="O658" s="636" t="s">
        <v>120</v>
      </c>
      <c r="P658" s="627" t="s">
        <v>749</v>
      </c>
      <c r="Q658" s="611"/>
      <c r="R658" s="507" t="s">
        <v>1707</v>
      </c>
      <c r="S658" s="507" t="s">
        <v>215</v>
      </c>
      <c r="T658" s="1583"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83"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2003</v>
      </c>
      <c r="O660" s="636" t="s">
        <v>2978</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3813</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1699</v>
      </c>
      <c r="O665" s="507" t="s">
        <v>964</v>
      </c>
      <c r="P665" s="1583"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3818</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83"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3287</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3818</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3068</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83"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2945</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742</v>
      </c>
      <c r="O681" s="636" t="s">
        <v>3086</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3825</v>
      </c>
      <c r="O683" s="636" t="s">
        <v>3816</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1697</v>
      </c>
      <c r="O687" s="507" t="s">
        <v>1010</v>
      </c>
      <c r="P687" s="1583"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3196</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1532</v>
      </c>
      <c r="O691" s="636" t="s">
        <v>3369</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3780</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1399</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1702</v>
      </c>
      <c r="O699" s="507" t="s">
        <v>2980</v>
      </c>
      <c r="P699" s="1583"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1703</v>
      </c>
      <c r="O700" s="507" t="s">
        <v>3083</v>
      </c>
      <c r="P700" s="1583"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2123</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1747</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1584"/>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1421</v>
      </c>
      <c r="O716" s="636" t="s">
        <v>3083</v>
      </c>
      <c r="P716" s="1582"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3222</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0"/>
      <c r="K722" s="781"/>
      <c r="L722" s="781"/>
      <c r="M722" s="782"/>
      <c r="N722" s="636" t="s">
        <v>3480</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83"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3369</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83"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82"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3760</v>
      </c>
      <c r="P747" s="1583"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82"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83"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83"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C115:E115"/>
    <mergeCell ref="F115:I115"/>
    <mergeCell ref="M107:P107"/>
    <mergeCell ref="C107:E107"/>
    <mergeCell ref="F107:I107"/>
    <mergeCell ref="M106:P106"/>
    <mergeCell ref="C105:E105"/>
    <mergeCell ref="J106:L106"/>
    <mergeCell ref="J107:L107"/>
    <mergeCell ref="J108:L108"/>
    <mergeCell ref="C106:E106"/>
    <mergeCell ref="C108:E108"/>
    <mergeCell ref="J114:L114"/>
    <mergeCell ref="J113:L113"/>
    <mergeCell ref="M113:P113"/>
    <mergeCell ref="M114:P114"/>
    <mergeCell ref="C114:E114"/>
    <mergeCell ref="F114:I114"/>
    <mergeCell ref="F108:I108"/>
    <mergeCell ref="C110:P111"/>
    <mergeCell ref="M108:P108"/>
    <mergeCell ref="H65:I65"/>
    <mergeCell ref="I35:K35"/>
    <mergeCell ref="K65:L65"/>
    <mergeCell ref="I48:I49"/>
    <mergeCell ref="K88:L88"/>
    <mergeCell ref="L39:O39"/>
    <mergeCell ref="K71:L71"/>
    <mergeCell ref="K69:L69"/>
    <mergeCell ref="N65:P65"/>
    <mergeCell ref="L41:P41"/>
    <mergeCell ref="H75:J75"/>
    <mergeCell ref="O87:P87"/>
    <mergeCell ref="K67:L67"/>
    <mergeCell ref="E86:L86"/>
    <mergeCell ref="O86:P86"/>
    <mergeCell ref="M86:N86"/>
    <mergeCell ref="M87:N87"/>
    <mergeCell ref="E87:L8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F15:H15"/>
    <mergeCell ref="F9:H9"/>
    <mergeCell ref="F13:L13"/>
    <mergeCell ref="J9:P9"/>
    <mergeCell ref="F14:L14"/>
    <mergeCell ref="M3:P3"/>
    <mergeCell ref="O14:P14"/>
    <mergeCell ref="J6:K6"/>
    <mergeCell ref="J16:K16"/>
    <mergeCell ref="J7:K7"/>
    <mergeCell ref="N13:P13"/>
    <mergeCell ref="J116:L116"/>
    <mergeCell ref="J117:L117"/>
    <mergeCell ref="F117:I117"/>
    <mergeCell ref="J722:M722"/>
    <mergeCell ref="I168:J168"/>
    <mergeCell ref="I166:J166"/>
    <mergeCell ref="I167:J167"/>
    <mergeCell ref="K172:P172"/>
    <mergeCell ref="A172:J172"/>
    <mergeCell ref="K171:P171"/>
    <mergeCell ref="A173:J173"/>
    <mergeCell ref="K173:P173"/>
    <mergeCell ref="A171:J171"/>
    <mergeCell ref="M116:P116"/>
    <mergeCell ref="C116:E116"/>
    <mergeCell ref="F116:I116"/>
    <mergeCell ref="M147:O147"/>
    <mergeCell ref="J147:K147"/>
    <mergeCell ref="M145:O145"/>
    <mergeCell ref="E142:K142"/>
    <mergeCell ref="J119:L119"/>
    <mergeCell ref="E163:H163"/>
    <mergeCell ref="C154:D154"/>
    <mergeCell ref="E90:G90"/>
    <mergeCell ref="E89:G89"/>
    <mergeCell ref="I90:J90"/>
    <mergeCell ref="I89:K89"/>
    <mergeCell ref="L90:M90"/>
    <mergeCell ref="M89:P89"/>
    <mergeCell ref="O90:P90"/>
    <mergeCell ref="F105:I105"/>
    <mergeCell ref="C102:E102"/>
    <mergeCell ref="C103:E103"/>
    <mergeCell ref="C104:E104"/>
    <mergeCell ref="J105:L105"/>
    <mergeCell ref="M105:P105"/>
    <mergeCell ref="M104:P104"/>
    <mergeCell ref="F104:I104"/>
    <mergeCell ref="J104:L104"/>
    <mergeCell ref="F102:I102"/>
    <mergeCell ref="J103:L103"/>
    <mergeCell ref="O126:P126"/>
    <mergeCell ref="M144:O144"/>
    <mergeCell ref="C118:E118"/>
    <mergeCell ref="M115:P115"/>
    <mergeCell ref="F118:I118"/>
    <mergeCell ref="J118:L118"/>
    <mergeCell ref="H128:I128"/>
    <mergeCell ref="O127:P127"/>
    <mergeCell ref="C119:E119"/>
    <mergeCell ref="F119:I119"/>
    <mergeCell ref="M143:P143"/>
    <mergeCell ref="E143:K143"/>
    <mergeCell ref="O22:P22"/>
    <mergeCell ref="F29:G29"/>
    <mergeCell ref="M35:N35"/>
    <mergeCell ref="F33:J33"/>
    <mergeCell ref="J30:K30"/>
    <mergeCell ref="J29:K29"/>
    <mergeCell ref="H29:I29"/>
    <mergeCell ref="F30:G30"/>
    <mergeCell ref="F35:G35"/>
    <mergeCell ref="H30:I30"/>
    <mergeCell ref="F32:K32"/>
    <mergeCell ref="F34:J34"/>
    <mergeCell ref="L34:N34"/>
    <mergeCell ref="O23:P23"/>
    <mergeCell ref="M119:P119"/>
    <mergeCell ref="E88:G88"/>
    <mergeCell ref="C153:D153"/>
    <mergeCell ref="I145:K145"/>
    <mergeCell ref="C152:D152"/>
    <mergeCell ref="C151:F151"/>
    <mergeCell ref="M117:P117"/>
    <mergeCell ref="M118:P118"/>
    <mergeCell ref="E145:G145"/>
    <mergeCell ref="O162:P162"/>
    <mergeCell ref="O25:P25"/>
    <mergeCell ref="L33:N33"/>
    <mergeCell ref="J26:L26"/>
    <mergeCell ref="F106:I106"/>
    <mergeCell ref="J115:L115"/>
    <mergeCell ref="C113:E113"/>
    <mergeCell ref="F113:I113"/>
    <mergeCell ref="M103:P103"/>
    <mergeCell ref="F103:I103"/>
    <mergeCell ref="M102:P102"/>
    <mergeCell ref="J102:L102"/>
    <mergeCell ref="E144:H144"/>
    <mergeCell ref="J144:K144"/>
    <mergeCell ref="M142:P142"/>
    <mergeCell ref="H125:I125"/>
    <mergeCell ref="C117:E117"/>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F30" sqref="F30"/>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2011-038 Thomson Estates, Thomson, McDuffie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950</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8" t="s">
        <v>3982</v>
      </c>
      <c r="I5" s="1190"/>
      <c r="J5" s="1190"/>
      <c r="K5" s="1190"/>
      <c r="L5" s="1190"/>
      <c r="M5" s="1190"/>
      <c r="N5" s="1191"/>
      <c r="O5" s="713" t="s">
        <v>3065</v>
      </c>
      <c r="P5" s="713"/>
      <c r="Q5" s="1448" t="s">
        <v>3926</v>
      </c>
      <c r="R5" s="1190"/>
      <c r="S5" s="1191"/>
    </row>
    <row r="6" spans="1:19" s="458" customFormat="1" ht="12.6" customHeight="1">
      <c r="D6" s="508"/>
      <c r="E6" s="464" t="s">
        <v>1641</v>
      </c>
      <c r="F6" s="472"/>
      <c r="H6" s="1448" t="s">
        <v>3929</v>
      </c>
      <c r="I6" s="1190"/>
      <c r="J6" s="1190"/>
      <c r="K6" s="1190"/>
      <c r="L6" s="1190"/>
      <c r="M6" s="1190"/>
      <c r="N6" s="1191"/>
      <c r="O6" s="713" t="s">
        <v>2775</v>
      </c>
      <c r="Q6" s="1448" t="s">
        <v>3927</v>
      </c>
      <c r="R6" s="1190"/>
      <c r="S6" s="1191"/>
    </row>
    <row r="7" spans="1:19" s="458" customFormat="1" ht="12.6" customHeight="1">
      <c r="D7" s="508"/>
      <c r="E7" s="464" t="s">
        <v>953</v>
      </c>
      <c r="H7" s="1448" t="s">
        <v>1866</v>
      </c>
      <c r="I7" s="1190"/>
      <c r="J7" s="1191"/>
      <c r="K7" s="1478" t="s">
        <v>1254</v>
      </c>
      <c r="L7" s="1448"/>
      <c r="M7" s="1190"/>
      <c r="N7" s="1191"/>
      <c r="O7" s="713" t="s">
        <v>2833</v>
      </c>
      <c r="Q7" s="1479">
        <v>4043642937</v>
      </c>
      <c r="R7" s="1480"/>
      <c r="S7" s="1481"/>
    </row>
    <row r="8" spans="1:19" s="458" customFormat="1" ht="12.6" customHeight="1">
      <c r="D8" s="508"/>
      <c r="E8" s="464" t="s">
        <v>2829</v>
      </c>
      <c r="H8" s="1445" t="s">
        <v>1438</v>
      </c>
      <c r="I8" s="723" t="s">
        <v>1973</v>
      </c>
      <c r="J8" s="1482">
        <v>303052256</v>
      </c>
      <c r="K8" s="1191"/>
      <c r="L8" s="398" t="s">
        <v>1976</v>
      </c>
      <c r="N8" s="1483">
        <v>5</v>
      </c>
      <c r="O8" s="713" t="s">
        <v>3054</v>
      </c>
      <c r="Q8" s="1479">
        <v>7702625017</v>
      </c>
      <c r="R8" s="1480"/>
      <c r="S8" s="1481"/>
    </row>
    <row r="9" spans="1:19" s="458" customFormat="1" ht="12.6" customHeight="1">
      <c r="D9" s="508"/>
      <c r="E9" s="464" t="s">
        <v>3060</v>
      </c>
      <c r="H9" s="1479">
        <v>4043642900</v>
      </c>
      <c r="I9" s="1481"/>
      <c r="J9" s="1484"/>
      <c r="K9" s="723" t="s">
        <v>2832</v>
      </c>
      <c r="L9" s="1485">
        <v>4043642901</v>
      </c>
      <c r="M9" s="1191"/>
      <c r="N9" s="466" t="s">
        <v>3059</v>
      </c>
      <c r="O9" s="1486" t="s">
        <v>3930</v>
      </c>
      <c r="P9" s="1487"/>
      <c r="Q9" s="1487"/>
      <c r="R9" s="1487"/>
      <c r="S9" s="1488"/>
    </row>
    <row r="10" spans="1:19" s="458" customFormat="1" ht="13.15" customHeight="1">
      <c r="D10" s="508"/>
      <c r="E10" s="441" t="s">
        <v>997</v>
      </c>
      <c r="H10" s="501"/>
      <c r="L10" s="550" t="s">
        <v>1974</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1971</v>
      </c>
      <c r="O12" s="1489" t="s">
        <v>1972</v>
      </c>
      <c r="P12" s="1489"/>
      <c r="Q12" s="1489"/>
      <c r="R12" s="1489"/>
      <c r="S12" s="1489"/>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1975</v>
      </c>
      <c r="M14" s="482"/>
      <c r="O14" s="1490" t="s">
        <v>1970</v>
      </c>
      <c r="P14" s="1490"/>
      <c r="Q14" s="1490"/>
      <c r="R14" s="1490"/>
      <c r="S14" s="1490"/>
    </row>
    <row r="15" spans="1:19" s="458" customFormat="1" ht="4.1500000000000004" customHeight="1">
      <c r="D15" s="510"/>
      <c r="E15" s="511"/>
      <c r="H15" s="1491"/>
      <c r="I15" s="1491"/>
      <c r="J15" s="1491"/>
      <c r="K15" s="715"/>
      <c r="L15" s="1491"/>
      <c r="M15" s="1491"/>
      <c r="N15" s="715"/>
      <c r="O15" s="1492"/>
      <c r="P15" s="1492"/>
      <c r="Q15" s="723"/>
      <c r="R15" s="1492"/>
      <c r="S15" s="1492"/>
    </row>
    <row r="16" spans="1:19" s="458" customFormat="1" ht="12.6" customHeight="1">
      <c r="D16" s="461" t="s">
        <v>3211</v>
      </c>
      <c r="E16" s="458" t="s">
        <v>2909</v>
      </c>
      <c r="H16" s="1448" t="s">
        <v>3983</v>
      </c>
      <c r="I16" s="1190"/>
      <c r="J16" s="1190"/>
      <c r="K16" s="1190"/>
      <c r="L16" s="1190"/>
      <c r="M16" s="1190"/>
      <c r="N16" s="1191"/>
      <c r="O16" s="713" t="s">
        <v>3065</v>
      </c>
      <c r="P16" s="713"/>
      <c r="Q16" s="1448" t="s">
        <v>3926</v>
      </c>
      <c r="R16" s="1190"/>
      <c r="S16" s="1191"/>
    </row>
    <row r="17" spans="4:19" s="458" customFormat="1" ht="12.6" customHeight="1">
      <c r="D17" s="508"/>
      <c r="E17" s="464" t="s">
        <v>1641</v>
      </c>
      <c r="F17" s="472"/>
      <c r="H17" s="1448" t="s">
        <v>3931</v>
      </c>
      <c r="I17" s="1190"/>
      <c r="J17" s="1190"/>
      <c r="K17" s="1190"/>
      <c r="L17" s="1190"/>
      <c r="M17" s="1190"/>
      <c r="N17" s="1191"/>
      <c r="O17" s="713" t="s">
        <v>2775</v>
      </c>
      <c r="Q17" s="1448" t="s">
        <v>3928</v>
      </c>
      <c r="R17" s="1190"/>
      <c r="S17" s="1191"/>
    </row>
    <row r="18" spans="4:19" s="458" customFormat="1" ht="12.6" customHeight="1">
      <c r="D18" s="508"/>
      <c r="E18" s="464" t="s">
        <v>953</v>
      </c>
      <c r="H18" s="1448" t="s">
        <v>1866</v>
      </c>
      <c r="I18" s="1190"/>
      <c r="J18" s="1191"/>
      <c r="O18" s="713" t="s">
        <v>2833</v>
      </c>
      <c r="Q18" s="1479">
        <v>4043642937</v>
      </c>
      <c r="R18" s="1480"/>
      <c r="S18" s="1481"/>
    </row>
    <row r="19" spans="4:19" s="458" customFormat="1" ht="12.6" customHeight="1">
      <c r="D19" s="461"/>
      <c r="E19" s="464" t="s">
        <v>2829</v>
      </c>
      <c r="H19" s="1445" t="s">
        <v>1438</v>
      </c>
      <c r="I19" s="723" t="s">
        <v>1973</v>
      </c>
      <c r="J19" s="1482">
        <v>303052256</v>
      </c>
      <c r="K19" s="1191"/>
      <c r="L19" s="398" t="s">
        <v>1976</v>
      </c>
      <c r="N19" s="1483">
        <v>5</v>
      </c>
      <c r="O19" s="713" t="s">
        <v>3054</v>
      </c>
      <c r="Q19" s="1479">
        <v>7702625017</v>
      </c>
      <c r="R19" s="1480"/>
      <c r="S19" s="1481"/>
    </row>
    <row r="20" spans="4:19" s="458" customFormat="1" ht="12.6" customHeight="1">
      <c r="D20" s="508"/>
      <c r="E20" s="464" t="s">
        <v>3060</v>
      </c>
      <c r="H20" s="1479">
        <v>4043642900</v>
      </c>
      <c r="I20" s="1481"/>
      <c r="J20" s="1484"/>
      <c r="K20" s="723" t="s">
        <v>2832</v>
      </c>
      <c r="L20" s="1485">
        <v>4043642901</v>
      </c>
      <c r="M20" s="1191"/>
      <c r="N20" s="466" t="s">
        <v>3059</v>
      </c>
      <c r="O20" s="1486" t="s">
        <v>3930</v>
      </c>
      <c r="P20" s="1487"/>
      <c r="Q20" s="1487"/>
      <c r="R20" s="1487"/>
      <c r="S20" s="1488"/>
    </row>
    <row r="21" spans="4:19" ht="4.1500000000000004" customHeight="1">
      <c r="D21" s="491"/>
      <c r="H21" s="1493"/>
      <c r="I21" s="1493"/>
      <c r="J21" s="1493"/>
      <c r="K21" s="723"/>
      <c r="L21" s="1493"/>
      <c r="M21" s="1493"/>
      <c r="N21" s="715"/>
      <c r="O21" s="1492"/>
      <c r="P21" s="1492"/>
      <c r="Q21" s="723"/>
      <c r="R21" s="1492"/>
      <c r="S21" s="1492"/>
    </row>
    <row r="22" spans="4:19" s="458" customFormat="1" ht="12.6" customHeight="1">
      <c r="D22" s="461" t="s">
        <v>3212</v>
      </c>
      <c r="E22" s="458" t="s">
        <v>2910</v>
      </c>
      <c r="F22" s="721"/>
      <c r="H22" s="1448"/>
      <c r="I22" s="1190"/>
      <c r="J22" s="1190"/>
      <c r="K22" s="1190"/>
      <c r="L22" s="1190"/>
      <c r="M22" s="1190"/>
      <c r="N22" s="1191"/>
      <c r="O22" s="713" t="s">
        <v>3065</v>
      </c>
      <c r="P22" s="713"/>
      <c r="Q22" s="1448"/>
      <c r="R22" s="1190"/>
      <c r="S22" s="1191"/>
    </row>
    <row r="23" spans="4:19" s="458" customFormat="1" ht="12.6" customHeight="1">
      <c r="D23" s="508"/>
      <c r="E23" s="464" t="s">
        <v>1641</v>
      </c>
      <c r="F23" s="472"/>
      <c r="H23" s="1448"/>
      <c r="I23" s="1190"/>
      <c r="J23" s="1190"/>
      <c r="K23" s="1190"/>
      <c r="L23" s="1190"/>
      <c r="M23" s="1190"/>
      <c r="N23" s="1191"/>
      <c r="O23" s="713" t="s">
        <v>2775</v>
      </c>
      <c r="Q23" s="1448"/>
      <c r="R23" s="1190"/>
      <c r="S23" s="1191"/>
    </row>
    <row r="24" spans="4:19" s="458" customFormat="1" ht="12.6" customHeight="1">
      <c r="D24" s="508"/>
      <c r="E24" s="464" t="s">
        <v>953</v>
      </c>
      <c r="H24" s="1448"/>
      <c r="I24" s="1190"/>
      <c r="J24" s="1191"/>
      <c r="O24" s="713" t="s">
        <v>2833</v>
      </c>
      <c r="Q24" s="1479"/>
      <c r="R24" s="1480"/>
      <c r="S24" s="1481"/>
    </row>
    <row r="25" spans="4:19" s="458" customFormat="1" ht="12.6" customHeight="1">
      <c r="E25" s="464" t="s">
        <v>2829</v>
      </c>
      <c r="H25" s="1445"/>
      <c r="I25" s="493" t="s">
        <v>3352</v>
      </c>
      <c r="J25" s="1482"/>
      <c r="K25" s="1191"/>
      <c r="O25" s="713" t="s">
        <v>3054</v>
      </c>
      <c r="Q25" s="1479"/>
      <c r="R25" s="1480"/>
      <c r="S25" s="1481"/>
    </row>
    <row r="26" spans="4:19" s="458" customFormat="1" ht="12.6" customHeight="1">
      <c r="D26" s="508"/>
      <c r="E26" s="464" t="s">
        <v>3060</v>
      </c>
      <c r="H26" s="1479"/>
      <c r="I26" s="1481"/>
      <c r="J26" s="1484"/>
      <c r="K26" s="723" t="s">
        <v>2832</v>
      </c>
      <c r="L26" s="1485"/>
      <c r="M26" s="1191"/>
      <c r="N26" s="466" t="s">
        <v>3059</v>
      </c>
      <c r="O26" s="1486"/>
      <c r="P26" s="1487"/>
      <c r="Q26" s="1487"/>
      <c r="R26" s="1487"/>
      <c r="S26" s="1488"/>
    </row>
    <row r="27" spans="4:19" s="458" customFormat="1" ht="4.1500000000000004" customHeight="1">
      <c r="D27" s="508"/>
      <c r="E27" s="721"/>
      <c r="F27" s="721"/>
      <c r="G27" s="713"/>
      <c r="H27" s="1493"/>
      <c r="I27" s="1493"/>
      <c r="J27" s="1493"/>
      <c r="K27" s="723"/>
      <c r="L27" s="1493"/>
      <c r="M27" s="1493"/>
      <c r="N27" s="715"/>
      <c r="O27" s="1492"/>
      <c r="P27" s="1492"/>
      <c r="Q27" s="723"/>
      <c r="R27" s="1492"/>
      <c r="S27" s="1492"/>
    </row>
    <row r="28" spans="4:19" s="458" customFormat="1" ht="12.6" customHeight="1">
      <c r="D28" s="461" t="s">
        <v>2761</v>
      </c>
      <c r="E28" s="458" t="s">
        <v>2910</v>
      </c>
      <c r="F28" s="721"/>
      <c r="H28" s="1448"/>
      <c r="I28" s="1190"/>
      <c r="J28" s="1190"/>
      <c r="K28" s="1190"/>
      <c r="L28" s="1190"/>
      <c r="M28" s="1190"/>
      <c r="N28" s="1191"/>
      <c r="O28" s="713" t="s">
        <v>3065</v>
      </c>
      <c r="P28" s="713"/>
      <c r="Q28" s="1448"/>
      <c r="R28" s="1190"/>
      <c r="S28" s="1191"/>
    </row>
    <row r="29" spans="4:19" s="458" customFormat="1" ht="12.6" customHeight="1">
      <c r="D29" s="508"/>
      <c r="E29" s="464" t="s">
        <v>1641</v>
      </c>
      <c r="F29" s="472"/>
      <c r="H29" s="1448"/>
      <c r="I29" s="1190"/>
      <c r="J29" s="1190"/>
      <c r="K29" s="1190"/>
      <c r="L29" s="1190"/>
      <c r="M29" s="1190"/>
      <c r="N29" s="1191"/>
      <c r="O29" s="713" t="s">
        <v>2775</v>
      </c>
      <c r="Q29" s="1448"/>
      <c r="R29" s="1190"/>
      <c r="S29" s="1191"/>
    </row>
    <row r="30" spans="4:19" s="458" customFormat="1" ht="12.6" customHeight="1">
      <c r="D30" s="508"/>
      <c r="E30" s="464" t="s">
        <v>953</v>
      </c>
      <c r="H30" s="1448"/>
      <c r="I30" s="1190"/>
      <c r="J30" s="1191"/>
      <c r="O30" s="713" t="s">
        <v>2833</v>
      </c>
      <c r="Q30" s="1479"/>
      <c r="R30" s="1480"/>
      <c r="S30" s="1481"/>
    </row>
    <row r="31" spans="4:19" s="458" customFormat="1" ht="12.6" customHeight="1">
      <c r="E31" s="464" t="s">
        <v>2829</v>
      </c>
      <c r="H31" s="1445"/>
      <c r="I31" s="493" t="s">
        <v>3352</v>
      </c>
      <c r="J31" s="1482"/>
      <c r="K31" s="1191"/>
      <c r="O31" s="713" t="s">
        <v>3054</v>
      </c>
      <c r="Q31" s="1479"/>
      <c r="R31" s="1480"/>
      <c r="S31" s="1481"/>
    </row>
    <row r="32" spans="4:19" s="458" customFormat="1" ht="12.6" customHeight="1">
      <c r="D32" s="508"/>
      <c r="E32" s="464" t="s">
        <v>3060</v>
      </c>
      <c r="H32" s="1479"/>
      <c r="I32" s="1481"/>
      <c r="J32" s="1484"/>
      <c r="K32" s="723" t="s">
        <v>2832</v>
      </c>
      <c r="L32" s="1485"/>
      <c r="M32" s="1191"/>
      <c r="N32" s="466" t="s">
        <v>3059</v>
      </c>
      <c r="O32" s="1486"/>
      <c r="P32" s="1487"/>
      <c r="Q32" s="1487"/>
      <c r="R32" s="1487"/>
      <c r="S32" s="1488"/>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91"/>
      <c r="I35" s="1491"/>
      <c r="J35" s="1491"/>
      <c r="K35" s="715"/>
      <c r="L35" s="1491"/>
      <c r="M35" s="1491"/>
      <c r="N35" s="715"/>
      <c r="O35" s="1492"/>
      <c r="P35" s="1492"/>
      <c r="Q35" s="723"/>
      <c r="R35" s="1492"/>
      <c r="S35" s="1492"/>
    </row>
    <row r="36" spans="3:19" s="458" customFormat="1" ht="12.6" customHeight="1">
      <c r="D36" s="461" t="s">
        <v>3211</v>
      </c>
      <c r="E36" s="458" t="s">
        <v>1239</v>
      </c>
      <c r="H36" s="1448" t="s">
        <v>3932</v>
      </c>
      <c r="I36" s="1190"/>
      <c r="J36" s="1190"/>
      <c r="K36" s="1190"/>
      <c r="L36" s="1190"/>
      <c r="M36" s="1190"/>
      <c r="N36" s="1191"/>
      <c r="O36" s="713" t="s">
        <v>3065</v>
      </c>
      <c r="P36" s="713"/>
      <c r="Q36" s="1448" t="s">
        <v>3935</v>
      </c>
      <c r="R36" s="1190"/>
      <c r="S36" s="1191"/>
    </row>
    <row r="37" spans="3:19" s="458" customFormat="1" ht="12.6" customHeight="1">
      <c r="D37" s="508"/>
      <c r="E37" s="464" t="s">
        <v>1641</v>
      </c>
      <c r="F37" s="472"/>
      <c r="H37" s="1448" t="s">
        <v>3933</v>
      </c>
      <c r="I37" s="1190"/>
      <c r="J37" s="1190"/>
      <c r="K37" s="1190"/>
      <c r="L37" s="1190"/>
      <c r="M37" s="1190"/>
      <c r="N37" s="1191"/>
      <c r="O37" s="713" t="s">
        <v>2775</v>
      </c>
      <c r="Q37" s="1448" t="s">
        <v>3936</v>
      </c>
      <c r="R37" s="1190"/>
      <c r="S37" s="1191"/>
    </row>
    <row r="38" spans="3:19" s="458" customFormat="1" ht="12.6" customHeight="1">
      <c r="D38" s="508"/>
      <c r="E38" s="464" t="s">
        <v>953</v>
      </c>
      <c r="H38" s="1448" t="s">
        <v>3815</v>
      </c>
      <c r="I38" s="1190"/>
      <c r="J38" s="1191"/>
      <c r="O38" s="713" t="s">
        <v>2833</v>
      </c>
      <c r="Q38" s="1479"/>
      <c r="R38" s="1480"/>
      <c r="S38" s="1481"/>
    </row>
    <row r="39" spans="3:19" s="458" customFormat="1" ht="12.6" customHeight="1">
      <c r="E39" s="464" t="s">
        <v>2829</v>
      </c>
      <c r="H39" s="1445" t="s">
        <v>2043</v>
      </c>
      <c r="I39" s="493" t="s">
        <v>3352</v>
      </c>
      <c r="J39" s="1482">
        <v>652034905</v>
      </c>
      <c r="K39" s="1191"/>
      <c r="O39" s="713" t="s">
        <v>3054</v>
      </c>
      <c r="Q39" s="1479">
        <v>5734248811</v>
      </c>
      <c r="R39" s="1480"/>
      <c r="S39" s="1481"/>
    </row>
    <row r="40" spans="3:19" s="458" customFormat="1" ht="12.6" customHeight="1">
      <c r="D40" s="508"/>
      <c r="E40" s="464" t="s">
        <v>3060</v>
      </c>
      <c r="H40" s="1479">
        <v>5734432021</v>
      </c>
      <c r="I40" s="1481"/>
      <c r="J40" s="1484"/>
      <c r="K40" s="723" t="s">
        <v>2832</v>
      </c>
      <c r="L40" s="1485">
        <v>5738747116</v>
      </c>
      <c r="M40" s="1191"/>
      <c r="N40" s="466" t="s">
        <v>3059</v>
      </c>
      <c r="O40" s="1486" t="s">
        <v>3937</v>
      </c>
      <c r="P40" s="1487"/>
      <c r="Q40" s="1487"/>
      <c r="R40" s="1487"/>
      <c r="S40" s="1488"/>
    </row>
    <row r="41" spans="3:19" ht="4.1500000000000004" customHeight="1">
      <c r="H41" s="1493"/>
      <c r="I41" s="1493"/>
      <c r="J41" s="1493"/>
      <c r="K41" s="723"/>
      <c r="L41" s="1493"/>
      <c r="M41" s="1493"/>
      <c r="N41" s="715"/>
      <c r="O41" s="1492"/>
      <c r="P41" s="1492"/>
      <c r="Q41" s="723"/>
      <c r="R41" s="1492"/>
      <c r="S41" s="1492"/>
    </row>
    <row r="42" spans="3:19" s="458" customFormat="1" ht="12.6" customHeight="1">
      <c r="D42" s="461" t="s">
        <v>3212</v>
      </c>
      <c r="E42" s="458" t="s">
        <v>1240</v>
      </c>
      <c r="F42" s="461"/>
      <c r="H42" s="1448" t="s">
        <v>3932</v>
      </c>
      <c r="I42" s="1190"/>
      <c r="J42" s="1190"/>
      <c r="K42" s="1190"/>
      <c r="L42" s="1190"/>
      <c r="M42" s="1190"/>
      <c r="N42" s="1191"/>
      <c r="O42" s="713" t="s">
        <v>3065</v>
      </c>
      <c r="P42" s="713"/>
      <c r="Q42" s="1448" t="s">
        <v>3935</v>
      </c>
      <c r="R42" s="1190"/>
      <c r="S42" s="1191"/>
    </row>
    <row r="43" spans="3:19" s="458" customFormat="1" ht="12.6" customHeight="1">
      <c r="D43" s="508"/>
      <c r="E43" s="464" t="s">
        <v>1641</v>
      </c>
      <c r="F43" s="472"/>
      <c r="H43" s="1448" t="s">
        <v>3933</v>
      </c>
      <c r="I43" s="1190"/>
      <c r="J43" s="1190"/>
      <c r="K43" s="1190"/>
      <c r="L43" s="1190"/>
      <c r="M43" s="1190"/>
      <c r="N43" s="1191"/>
      <c r="O43" s="713" t="s">
        <v>2775</v>
      </c>
      <c r="Q43" s="1448" t="s">
        <v>3936</v>
      </c>
      <c r="R43" s="1190"/>
      <c r="S43" s="1191"/>
    </row>
    <row r="44" spans="3:19" s="458" customFormat="1" ht="12.6" customHeight="1">
      <c r="D44" s="508"/>
      <c r="E44" s="464" t="s">
        <v>953</v>
      </c>
      <c r="H44" s="1448" t="s">
        <v>3815</v>
      </c>
      <c r="I44" s="1190"/>
      <c r="J44" s="1191"/>
      <c r="O44" s="713" t="s">
        <v>2833</v>
      </c>
      <c r="Q44" s="1479"/>
      <c r="R44" s="1480"/>
      <c r="S44" s="1481"/>
    </row>
    <row r="45" spans="3:19" s="458" customFormat="1" ht="12.6" customHeight="1">
      <c r="D45" s="461"/>
      <c r="E45" s="464" t="s">
        <v>2829</v>
      </c>
      <c r="H45" s="1445" t="s">
        <v>2043</v>
      </c>
      <c r="I45" s="493" t="s">
        <v>3352</v>
      </c>
      <c r="J45" s="1482">
        <v>652034905</v>
      </c>
      <c r="K45" s="1191"/>
      <c r="O45" s="713" t="s">
        <v>3054</v>
      </c>
      <c r="Q45" s="1479">
        <v>5734248811</v>
      </c>
      <c r="R45" s="1480"/>
      <c r="S45" s="1481"/>
    </row>
    <row r="46" spans="3:19" s="458" customFormat="1" ht="12.6" customHeight="1">
      <c r="D46" s="508"/>
      <c r="E46" s="464" t="s">
        <v>3060</v>
      </c>
      <c r="H46" s="1479">
        <v>5734432021</v>
      </c>
      <c r="I46" s="1481"/>
      <c r="J46" s="1484"/>
      <c r="K46" s="723" t="s">
        <v>2832</v>
      </c>
      <c r="L46" s="1485">
        <v>5738747116</v>
      </c>
      <c r="M46" s="1191"/>
      <c r="N46" s="466" t="s">
        <v>3059</v>
      </c>
      <c r="O46" s="1486" t="s">
        <v>3937</v>
      </c>
      <c r="P46" s="1487"/>
      <c r="Q46" s="1487"/>
      <c r="R46" s="1487"/>
      <c r="S46" s="1488"/>
    </row>
    <row r="47" spans="3:19" s="458" customFormat="1" ht="4.1500000000000004" customHeight="1">
      <c r="D47" s="508"/>
      <c r="E47" s="464"/>
      <c r="F47" s="461"/>
      <c r="H47" s="501"/>
      <c r="I47" s="501"/>
      <c r="J47" s="1494"/>
      <c r="K47" s="723"/>
      <c r="L47" s="501"/>
      <c r="M47" s="501"/>
      <c r="N47" s="723"/>
      <c r="O47" s="501"/>
      <c r="P47" s="501"/>
      <c r="Q47" s="723"/>
      <c r="R47" s="501"/>
      <c r="S47" s="501"/>
    </row>
    <row r="48" spans="3:19" s="458" customFormat="1" ht="13.15" customHeight="1">
      <c r="C48" s="512" t="s">
        <v>3821</v>
      </c>
      <c r="D48" s="506" t="s">
        <v>994</v>
      </c>
      <c r="H48" s="721"/>
      <c r="I48" s="721"/>
      <c r="J48" s="721"/>
      <c r="K48" s="721"/>
      <c r="L48" s="721"/>
      <c r="M48" s="721"/>
    </row>
    <row r="49" spans="1:19" s="458" customFormat="1" ht="4.1500000000000004" customHeight="1">
      <c r="D49" s="512"/>
      <c r="E49" s="511"/>
      <c r="H49" s="1491"/>
      <c r="I49" s="1491"/>
      <c r="J49" s="1491"/>
      <c r="K49" s="715"/>
      <c r="L49" s="1491"/>
      <c r="M49" s="1491"/>
      <c r="N49" s="715"/>
      <c r="O49" s="1492"/>
      <c r="P49" s="1492"/>
      <c r="Q49" s="723"/>
      <c r="R49" s="1492"/>
      <c r="S49" s="1492"/>
    </row>
    <row r="50" spans="1:19" s="458" customFormat="1" ht="12.6" customHeight="1">
      <c r="E50" s="458" t="s">
        <v>103</v>
      </c>
      <c r="H50" s="1448" t="s">
        <v>3934</v>
      </c>
      <c r="I50" s="1190"/>
      <c r="J50" s="1190"/>
      <c r="K50" s="1190"/>
      <c r="L50" s="1190"/>
      <c r="M50" s="1190"/>
      <c r="N50" s="1191"/>
      <c r="O50" s="713" t="s">
        <v>3065</v>
      </c>
      <c r="P50" s="713"/>
      <c r="Q50" s="1448" t="s">
        <v>3926</v>
      </c>
      <c r="R50" s="1190"/>
      <c r="S50" s="1191"/>
    </row>
    <row r="51" spans="1:19" s="458" customFormat="1" ht="12.6" customHeight="1">
      <c r="D51" s="508"/>
      <c r="E51" s="464" t="s">
        <v>1641</v>
      </c>
      <c r="F51" s="472"/>
      <c r="H51" s="1448" t="s">
        <v>3929</v>
      </c>
      <c r="I51" s="1190"/>
      <c r="J51" s="1190"/>
      <c r="K51" s="1190"/>
      <c r="L51" s="1190"/>
      <c r="M51" s="1190"/>
      <c r="N51" s="1191"/>
      <c r="O51" s="713" t="s">
        <v>2775</v>
      </c>
      <c r="Q51" s="1448" t="s">
        <v>3928</v>
      </c>
      <c r="R51" s="1190"/>
      <c r="S51" s="1191"/>
    </row>
    <row r="52" spans="1:19" s="458" customFormat="1" ht="12.6" customHeight="1">
      <c r="D52" s="508"/>
      <c r="E52" s="464" t="s">
        <v>953</v>
      </c>
      <c r="H52" s="1448" t="s">
        <v>1866</v>
      </c>
      <c r="I52" s="1190"/>
      <c r="J52" s="1191"/>
      <c r="O52" s="713" t="s">
        <v>2833</v>
      </c>
      <c r="Q52" s="1479">
        <v>4043642937</v>
      </c>
      <c r="R52" s="1480"/>
      <c r="S52" s="1481"/>
    </row>
    <row r="53" spans="1:19" s="458" customFormat="1" ht="12.6" customHeight="1">
      <c r="E53" s="464" t="s">
        <v>2829</v>
      </c>
      <c r="H53" s="1445" t="s">
        <v>1438</v>
      </c>
      <c r="I53" s="493" t="s">
        <v>3352</v>
      </c>
      <c r="J53" s="1482">
        <v>303052240</v>
      </c>
      <c r="K53" s="1191"/>
      <c r="O53" s="713" t="s">
        <v>3054</v>
      </c>
      <c r="Q53" s="1479">
        <v>7702625017</v>
      </c>
      <c r="R53" s="1480"/>
      <c r="S53" s="1481"/>
    </row>
    <row r="54" spans="1:19" s="458" customFormat="1" ht="12.6" customHeight="1">
      <c r="D54" s="508"/>
      <c r="E54" s="464" t="s">
        <v>3060</v>
      </c>
      <c r="H54" s="1479">
        <v>4043642900</v>
      </c>
      <c r="I54" s="1481"/>
      <c r="J54" s="1484"/>
      <c r="K54" s="723" t="s">
        <v>2832</v>
      </c>
      <c r="L54" s="1485">
        <v>4043642901</v>
      </c>
      <c r="M54" s="1191"/>
      <c r="N54" s="466" t="s">
        <v>3059</v>
      </c>
      <c r="O54" s="1486" t="s">
        <v>3930</v>
      </c>
      <c r="P54" s="1487"/>
      <c r="Q54" s="1487"/>
      <c r="R54" s="1487"/>
      <c r="S54" s="1488"/>
    </row>
    <row r="55" spans="1:19" ht="13.15" customHeight="1"/>
    <row r="56" spans="1:19" s="458" customFormat="1" ht="13.15" customHeight="1">
      <c r="A56" s="461" t="s">
        <v>1229</v>
      </c>
      <c r="B56" s="461" t="s">
        <v>995</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91"/>
      <c r="I57" s="1491"/>
      <c r="J57" s="1491"/>
      <c r="K57" s="715"/>
      <c r="L57" s="1491"/>
      <c r="M57" s="1491"/>
      <c r="N57" s="715"/>
      <c r="O57" s="1492"/>
      <c r="P57" s="1492"/>
      <c r="Q57" s="723"/>
      <c r="R57" s="1492"/>
      <c r="S57" s="1492"/>
    </row>
    <row r="58" spans="1:19" s="458" customFormat="1" ht="13.15" customHeight="1">
      <c r="B58" s="461" t="s">
        <v>3058</v>
      </c>
      <c r="C58" s="461" t="s">
        <v>375</v>
      </c>
      <c r="H58" s="1448" t="s">
        <v>3984</v>
      </c>
      <c r="I58" s="1190"/>
      <c r="J58" s="1190"/>
      <c r="K58" s="1190"/>
      <c r="L58" s="1190"/>
      <c r="M58" s="1190"/>
      <c r="N58" s="1191"/>
      <c r="O58" s="713" t="s">
        <v>3065</v>
      </c>
      <c r="P58" s="713"/>
      <c r="Q58" s="1448" t="s">
        <v>3919</v>
      </c>
      <c r="R58" s="1190"/>
      <c r="S58" s="1191"/>
    </row>
    <row r="59" spans="1:19" s="458" customFormat="1" ht="13.15" customHeight="1">
      <c r="D59" s="508"/>
      <c r="E59" s="464" t="s">
        <v>1641</v>
      </c>
      <c r="F59" s="472"/>
      <c r="H59" s="1448" t="s">
        <v>3921</v>
      </c>
      <c r="I59" s="1190"/>
      <c r="J59" s="1190"/>
      <c r="K59" s="1190"/>
      <c r="L59" s="1190"/>
      <c r="M59" s="1190"/>
      <c r="N59" s="1191"/>
      <c r="O59" s="713" t="s">
        <v>2775</v>
      </c>
      <c r="Q59" s="1448" t="s">
        <v>3938</v>
      </c>
      <c r="R59" s="1190"/>
      <c r="S59" s="1191"/>
    </row>
    <row r="60" spans="1:19" s="458" customFormat="1" ht="13.15" customHeight="1">
      <c r="D60" s="508"/>
      <c r="E60" s="464" t="s">
        <v>953</v>
      </c>
      <c r="H60" s="1448" t="s">
        <v>1866</v>
      </c>
      <c r="I60" s="1190"/>
      <c r="J60" s="1191"/>
      <c r="O60" s="713" t="s">
        <v>2833</v>
      </c>
      <c r="Q60" s="1479">
        <v>7704810853</v>
      </c>
      <c r="R60" s="1480"/>
      <c r="S60" s="1481"/>
    </row>
    <row r="61" spans="1:19" s="458" customFormat="1" ht="13.15" customHeight="1">
      <c r="E61" s="464" t="s">
        <v>2829</v>
      </c>
      <c r="H61" s="1445" t="s">
        <v>1438</v>
      </c>
      <c r="I61" s="493" t="s">
        <v>3352</v>
      </c>
      <c r="J61" s="1482">
        <v>303281655</v>
      </c>
      <c r="K61" s="1191"/>
      <c r="O61" s="713" t="s">
        <v>3054</v>
      </c>
      <c r="Q61" s="1479">
        <v>4045430855</v>
      </c>
      <c r="R61" s="1480"/>
      <c r="S61" s="1481"/>
    </row>
    <row r="62" spans="1:19" s="458" customFormat="1" ht="13.15" customHeight="1">
      <c r="D62" s="508"/>
      <c r="E62" s="464" t="s">
        <v>3060</v>
      </c>
      <c r="H62" s="1479">
        <v>7704810855</v>
      </c>
      <c r="I62" s="1481"/>
      <c r="J62" s="1484">
        <v>100</v>
      </c>
      <c r="K62" s="723" t="s">
        <v>2832</v>
      </c>
      <c r="L62" s="1485">
        <v>7704810854</v>
      </c>
      <c r="M62" s="1191"/>
      <c r="N62" s="466" t="s">
        <v>3059</v>
      </c>
      <c r="O62" s="1486" t="s">
        <v>3922</v>
      </c>
      <c r="P62" s="1487"/>
      <c r="Q62" s="1487"/>
      <c r="R62" s="1487"/>
      <c r="S62" s="1488"/>
    </row>
    <row r="63" spans="1:19" s="458" customFormat="1" ht="6.6" customHeight="1">
      <c r="D63" s="508"/>
      <c r="E63" s="721"/>
      <c r="F63" s="721"/>
      <c r="G63" s="713"/>
      <c r="H63" s="1493"/>
      <c r="I63" s="1493"/>
      <c r="J63" s="1493"/>
      <c r="K63" s="723"/>
      <c r="L63" s="1493"/>
      <c r="M63" s="1493"/>
      <c r="N63" s="715"/>
      <c r="O63" s="1492"/>
      <c r="P63" s="1492"/>
      <c r="Q63" s="723"/>
      <c r="R63" s="1492"/>
      <c r="S63" s="1492"/>
    </row>
    <row r="64" spans="1:19" s="458" customFormat="1" ht="13.15" customHeight="1">
      <c r="B64" s="461" t="s">
        <v>3061</v>
      </c>
      <c r="C64" s="461" t="s">
        <v>376</v>
      </c>
      <c r="H64" s="1448"/>
      <c r="I64" s="1190"/>
      <c r="J64" s="1190"/>
      <c r="K64" s="1190"/>
      <c r="L64" s="1190"/>
      <c r="M64" s="1190"/>
      <c r="N64" s="1191"/>
      <c r="O64" s="713" t="s">
        <v>3065</v>
      </c>
      <c r="P64" s="713"/>
      <c r="Q64" s="1448"/>
      <c r="R64" s="1190"/>
      <c r="S64" s="1191"/>
    </row>
    <row r="65" spans="2:19" s="458" customFormat="1" ht="13.15" customHeight="1">
      <c r="D65" s="508"/>
      <c r="E65" s="464" t="s">
        <v>1641</v>
      </c>
      <c r="F65" s="472"/>
      <c r="H65" s="1448"/>
      <c r="I65" s="1190"/>
      <c r="J65" s="1190"/>
      <c r="K65" s="1190"/>
      <c r="L65" s="1190"/>
      <c r="M65" s="1190"/>
      <c r="N65" s="1191"/>
      <c r="O65" s="713" t="s">
        <v>2775</v>
      </c>
      <c r="Q65" s="1448"/>
      <c r="R65" s="1190"/>
      <c r="S65" s="1191"/>
    </row>
    <row r="66" spans="2:19" s="458" customFormat="1" ht="13.15" customHeight="1">
      <c r="D66" s="508"/>
      <c r="E66" s="464" t="s">
        <v>953</v>
      </c>
      <c r="H66" s="1448"/>
      <c r="I66" s="1190"/>
      <c r="J66" s="1191"/>
      <c r="O66" s="713" t="s">
        <v>2833</v>
      </c>
      <c r="Q66" s="1479"/>
      <c r="R66" s="1480"/>
      <c r="S66" s="1481"/>
    </row>
    <row r="67" spans="2:19" s="458" customFormat="1" ht="13.15" customHeight="1">
      <c r="E67" s="464" t="s">
        <v>2829</v>
      </c>
      <c r="H67" s="1445"/>
      <c r="I67" s="493" t="s">
        <v>3352</v>
      </c>
      <c r="J67" s="1482"/>
      <c r="K67" s="1191"/>
      <c r="O67" s="713" t="s">
        <v>3054</v>
      </c>
      <c r="Q67" s="1479"/>
      <c r="R67" s="1480"/>
      <c r="S67" s="1481"/>
    </row>
    <row r="68" spans="2:19" s="458" customFormat="1" ht="13.15" customHeight="1">
      <c r="D68" s="508"/>
      <c r="E68" s="464" t="s">
        <v>3060</v>
      </c>
      <c r="H68" s="1479"/>
      <c r="I68" s="1481"/>
      <c r="J68" s="1484"/>
      <c r="K68" s="723" t="s">
        <v>2832</v>
      </c>
      <c r="L68" s="1485"/>
      <c r="M68" s="1191"/>
      <c r="N68" s="466" t="s">
        <v>3059</v>
      </c>
      <c r="O68" s="1486"/>
      <c r="P68" s="1487"/>
      <c r="Q68" s="1487"/>
      <c r="R68" s="1487"/>
      <c r="S68" s="1488"/>
    </row>
    <row r="69" spans="2:19" s="458" customFormat="1" ht="6.6" customHeight="1">
      <c r="D69" s="508"/>
      <c r="E69" s="721"/>
      <c r="F69" s="721"/>
      <c r="G69" s="713"/>
      <c r="H69" s="1493"/>
      <c r="I69" s="1493"/>
      <c r="J69" s="1493"/>
      <c r="K69" s="723"/>
      <c r="L69" s="1493"/>
      <c r="M69" s="1493"/>
      <c r="N69" s="715"/>
      <c r="O69" s="1492"/>
      <c r="P69" s="1492"/>
      <c r="Q69" s="723"/>
      <c r="R69" s="1492"/>
      <c r="S69" s="1492"/>
    </row>
    <row r="70" spans="2:19" s="458" customFormat="1" ht="13.15" customHeight="1">
      <c r="B70" s="461" t="s">
        <v>1238</v>
      </c>
      <c r="C70" s="461" t="s">
        <v>2279</v>
      </c>
      <c r="H70" s="1448"/>
      <c r="I70" s="1190"/>
      <c r="J70" s="1190"/>
      <c r="K70" s="1190"/>
      <c r="L70" s="1190"/>
      <c r="M70" s="1190"/>
      <c r="N70" s="1191"/>
      <c r="O70" s="713" t="s">
        <v>3065</v>
      </c>
      <c r="P70" s="713"/>
      <c r="Q70" s="1448"/>
      <c r="R70" s="1190"/>
      <c r="S70" s="1191"/>
    </row>
    <row r="71" spans="2:19" s="458" customFormat="1" ht="13.15" customHeight="1">
      <c r="D71" s="508"/>
      <c r="E71" s="464" t="s">
        <v>1641</v>
      </c>
      <c r="F71" s="472"/>
      <c r="H71" s="1448"/>
      <c r="I71" s="1190"/>
      <c r="J71" s="1190"/>
      <c r="K71" s="1190"/>
      <c r="L71" s="1190"/>
      <c r="M71" s="1190"/>
      <c r="N71" s="1191"/>
      <c r="O71" s="713" t="s">
        <v>2775</v>
      </c>
      <c r="Q71" s="1448"/>
      <c r="R71" s="1190"/>
      <c r="S71" s="1191"/>
    </row>
    <row r="72" spans="2:19" s="458" customFormat="1" ht="13.15" customHeight="1">
      <c r="D72" s="508"/>
      <c r="E72" s="464" t="s">
        <v>953</v>
      </c>
      <c r="H72" s="1448"/>
      <c r="I72" s="1190"/>
      <c r="J72" s="1191"/>
      <c r="O72" s="713" t="s">
        <v>2833</v>
      </c>
      <c r="Q72" s="1479"/>
      <c r="R72" s="1480"/>
      <c r="S72" s="1481"/>
    </row>
    <row r="73" spans="2:19" s="458" customFormat="1" ht="13.15" customHeight="1">
      <c r="E73" s="464" t="s">
        <v>2829</v>
      </c>
      <c r="H73" s="1445"/>
      <c r="I73" s="493" t="s">
        <v>3352</v>
      </c>
      <c r="J73" s="1482"/>
      <c r="K73" s="1191"/>
      <c r="O73" s="713" t="s">
        <v>3054</v>
      </c>
      <c r="Q73" s="1479"/>
      <c r="R73" s="1480"/>
      <c r="S73" s="1481"/>
    </row>
    <row r="74" spans="2:19" s="458" customFormat="1" ht="13.15" customHeight="1">
      <c r="D74" s="508"/>
      <c r="E74" s="464" t="s">
        <v>3060</v>
      </c>
      <c r="H74" s="1479"/>
      <c r="I74" s="1481"/>
      <c r="J74" s="1484"/>
      <c r="K74" s="723" t="s">
        <v>2832</v>
      </c>
      <c r="L74" s="1485"/>
      <c r="M74" s="1191"/>
      <c r="N74" s="466" t="s">
        <v>3059</v>
      </c>
      <c r="O74" s="1486"/>
      <c r="P74" s="1487"/>
      <c r="Q74" s="1487"/>
      <c r="R74" s="1487"/>
      <c r="S74" s="1488"/>
    </row>
    <row r="75" spans="2:19" ht="6.6" customHeight="1">
      <c r="H75" s="1493"/>
      <c r="I75" s="1493"/>
      <c r="J75" s="1493"/>
      <c r="K75" s="723"/>
      <c r="L75" s="1493"/>
      <c r="M75" s="1493"/>
      <c r="N75" s="715"/>
      <c r="O75" s="1492"/>
      <c r="P75" s="1492"/>
      <c r="Q75" s="723"/>
      <c r="R75" s="1492"/>
      <c r="S75" s="1492"/>
    </row>
    <row r="76" spans="2:19" s="458" customFormat="1" ht="13.15" customHeight="1">
      <c r="B76" s="461" t="s">
        <v>3210</v>
      </c>
      <c r="C76" s="461" t="s">
        <v>377</v>
      </c>
      <c r="H76" s="1448"/>
      <c r="I76" s="1190"/>
      <c r="J76" s="1190"/>
      <c r="K76" s="1190"/>
      <c r="L76" s="1190"/>
      <c r="M76" s="1190"/>
      <c r="N76" s="1191"/>
      <c r="O76" s="713" t="s">
        <v>3065</v>
      </c>
      <c r="P76" s="713"/>
      <c r="Q76" s="1448"/>
      <c r="R76" s="1190"/>
      <c r="S76" s="1191"/>
    </row>
    <row r="77" spans="2:19" s="458" customFormat="1" ht="13.15" customHeight="1">
      <c r="D77" s="508"/>
      <c r="E77" s="464" t="s">
        <v>1641</v>
      </c>
      <c r="F77" s="472"/>
      <c r="H77" s="1448"/>
      <c r="I77" s="1190"/>
      <c r="J77" s="1190"/>
      <c r="K77" s="1190"/>
      <c r="L77" s="1190"/>
      <c r="M77" s="1190"/>
      <c r="N77" s="1191"/>
      <c r="O77" s="713" t="s">
        <v>2775</v>
      </c>
      <c r="Q77" s="1448"/>
      <c r="R77" s="1190"/>
      <c r="S77" s="1191"/>
    </row>
    <row r="78" spans="2:19" s="458" customFormat="1" ht="13.15" customHeight="1">
      <c r="D78" s="508"/>
      <c r="E78" s="464" t="s">
        <v>953</v>
      </c>
      <c r="H78" s="1448"/>
      <c r="I78" s="1190"/>
      <c r="J78" s="1191"/>
      <c r="O78" s="713" t="s">
        <v>2833</v>
      </c>
      <c r="Q78" s="1479"/>
      <c r="R78" s="1480"/>
      <c r="S78" s="1481"/>
    </row>
    <row r="79" spans="2:19" s="458" customFormat="1" ht="13.15" customHeight="1">
      <c r="E79" s="464" t="s">
        <v>2829</v>
      </c>
      <c r="H79" s="1445"/>
      <c r="I79" s="493" t="s">
        <v>3352</v>
      </c>
      <c r="J79" s="1482"/>
      <c r="K79" s="1191"/>
      <c r="O79" s="713" t="s">
        <v>3054</v>
      </c>
      <c r="Q79" s="1479"/>
      <c r="R79" s="1480"/>
      <c r="S79" s="1481"/>
    </row>
    <row r="80" spans="2:19" s="458" customFormat="1" ht="13.15" customHeight="1">
      <c r="D80" s="508"/>
      <c r="E80" s="464" t="s">
        <v>3060</v>
      </c>
      <c r="H80" s="1479"/>
      <c r="I80" s="1481"/>
      <c r="J80" s="1484"/>
      <c r="K80" s="723" t="s">
        <v>2832</v>
      </c>
      <c r="L80" s="1485"/>
      <c r="M80" s="1191"/>
      <c r="N80" s="466" t="s">
        <v>3059</v>
      </c>
      <c r="O80" s="1486"/>
      <c r="P80" s="1487"/>
      <c r="Q80" s="1487"/>
      <c r="R80" s="1487"/>
      <c r="S80" s="1488"/>
    </row>
    <row r="81" spans="1:19" ht="13.15" customHeight="1"/>
    <row r="82" spans="1:19" s="464" customFormat="1" ht="13.15" customHeight="1">
      <c r="A82" s="465" t="s">
        <v>1231</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91"/>
      <c r="I83" s="1491"/>
      <c r="J83" s="1491"/>
      <c r="K83" s="715"/>
      <c r="L83" s="1491"/>
      <c r="M83" s="1491"/>
      <c r="N83" s="715"/>
      <c r="O83" s="1492"/>
      <c r="P83" s="1492"/>
      <c r="Q83" s="723"/>
      <c r="R83" s="1492"/>
      <c r="S83" s="1492"/>
    </row>
    <row r="84" spans="1:19" s="458" customFormat="1" ht="13.15" customHeight="1">
      <c r="B84" s="461" t="s">
        <v>3058</v>
      </c>
      <c r="C84" s="461" t="s">
        <v>379</v>
      </c>
      <c r="H84" s="1448"/>
      <c r="I84" s="1190"/>
      <c r="J84" s="1190"/>
      <c r="K84" s="1190"/>
      <c r="L84" s="1190"/>
      <c r="M84" s="1190"/>
      <c r="N84" s="1191"/>
      <c r="O84" s="713" t="s">
        <v>3065</v>
      </c>
      <c r="P84" s="713"/>
      <c r="Q84" s="1448"/>
      <c r="R84" s="1190"/>
      <c r="S84" s="1191"/>
    </row>
    <row r="85" spans="1:19" s="458" customFormat="1" ht="13.15" customHeight="1">
      <c r="D85" s="508"/>
      <c r="E85" s="464" t="s">
        <v>1641</v>
      </c>
      <c r="F85" s="472"/>
      <c r="H85" s="1448"/>
      <c r="I85" s="1190"/>
      <c r="J85" s="1190"/>
      <c r="K85" s="1190"/>
      <c r="L85" s="1190"/>
      <c r="M85" s="1190"/>
      <c r="N85" s="1191"/>
      <c r="O85" s="713" t="s">
        <v>2775</v>
      </c>
      <c r="Q85" s="1448"/>
      <c r="R85" s="1190"/>
      <c r="S85" s="1191"/>
    </row>
    <row r="86" spans="1:19" s="458" customFormat="1" ht="13.15" customHeight="1">
      <c r="D86" s="508"/>
      <c r="E86" s="464" t="s">
        <v>953</v>
      </c>
      <c r="H86" s="1448"/>
      <c r="I86" s="1190"/>
      <c r="J86" s="1191"/>
      <c r="O86" s="713" t="s">
        <v>2833</v>
      </c>
      <c r="Q86" s="1479"/>
      <c r="R86" s="1480"/>
      <c r="S86" s="1481"/>
    </row>
    <row r="87" spans="1:19" s="458" customFormat="1" ht="13.15" customHeight="1">
      <c r="E87" s="464" t="s">
        <v>2829</v>
      </c>
      <c r="H87" s="1445"/>
      <c r="I87" s="493" t="s">
        <v>3352</v>
      </c>
      <c r="J87" s="1482"/>
      <c r="K87" s="1191"/>
      <c r="O87" s="713" t="s">
        <v>3054</v>
      </c>
      <c r="Q87" s="1479"/>
      <c r="R87" s="1480"/>
      <c r="S87" s="1481"/>
    </row>
    <row r="88" spans="1:19" s="458" customFormat="1" ht="13.15" customHeight="1">
      <c r="D88" s="508"/>
      <c r="E88" s="464" t="s">
        <v>3060</v>
      </c>
      <c r="H88" s="1479"/>
      <c r="I88" s="1481"/>
      <c r="J88" s="1484"/>
      <c r="K88" s="723" t="s">
        <v>2832</v>
      </c>
      <c r="L88" s="1485"/>
      <c r="M88" s="1191"/>
      <c r="N88" s="466" t="s">
        <v>3059</v>
      </c>
      <c r="O88" s="1486"/>
      <c r="P88" s="1487"/>
      <c r="Q88" s="1487"/>
      <c r="R88" s="1487"/>
      <c r="S88" s="1488"/>
    </row>
    <row r="89" spans="1:19" ht="6.6" customHeight="1">
      <c r="H89" s="1493"/>
      <c r="I89" s="1493"/>
      <c r="J89" s="1493"/>
      <c r="K89" s="723"/>
      <c r="L89" s="1493"/>
      <c r="M89" s="1493"/>
      <c r="N89" s="715"/>
      <c r="O89" s="1492"/>
      <c r="P89" s="1492"/>
      <c r="Q89" s="723"/>
      <c r="R89" s="1492"/>
      <c r="S89" s="1492"/>
    </row>
    <row r="90" spans="1:19" s="458" customFormat="1" ht="13.15" customHeight="1">
      <c r="B90" s="461" t="s">
        <v>3061</v>
      </c>
      <c r="C90" s="461" t="s">
        <v>380</v>
      </c>
      <c r="H90" s="1448" t="s">
        <v>3995</v>
      </c>
      <c r="I90" s="1190"/>
      <c r="J90" s="1190"/>
      <c r="K90" s="1190"/>
      <c r="L90" s="1190"/>
      <c r="M90" s="1190"/>
      <c r="N90" s="1191"/>
      <c r="O90" s="713" t="s">
        <v>3065</v>
      </c>
      <c r="P90" s="713"/>
      <c r="Q90" s="1448" t="s">
        <v>3996</v>
      </c>
      <c r="R90" s="1190"/>
      <c r="S90" s="1191"/>
    </row>
    <row r="91" spans="1:19" s="458" customFormat="1" ht="13.15" customHeight="1">
      <c r="D91" s="508"/>
      <c r="E91" s="464" t="s">
        <v>1641</v>
      </c>
      <c r="F91" s="472"/>
      <c r="H91" s="1448" t="s">
        <v>3998</v>
      </c>
      <c r="I91" s="1190"/>
      <c r="J91" s="1190"/>
      <c r="K91" s="1190"/>
      <c r="L91" s="1190"/>
      <c r="M91" s="1190"/>
      <c r="N91" s="1191"/>
      <c r="O91" s="713" t="s">
        <v>2775</v>
      </c>
      <c r="Q91" s="1448" t="s">
        <v>3745</v>
      </c>
      <c r="R91" s="1190"/>
      <c r="S91" s="1191"/>
    </row>
    <row r="92" spans="1:19" s="458" customFormat="1" ht="13.15" customHeight="1">
      <c r="D92" s="508"/>
      <c r="E92" s="464" t="s">
        <v>953</v>
      </c>
      <c r="H92" s="1448" t="s">
        <v>2161</v>
      </c>
      <c r="I92" s="1190"/>
      <c r="J92" s="1191"/>
      <c r="O92" s="713" t="s">
        <v>2833</v>
      </c>
      <c r="Q92" s="1479"/>
      <c r="R92" s="1480"/>
      <c r="S92" s="1481"/>
    </row>
    <row r="93" spans="1:19" s="458" customFormat="1" ht="13.15" customHeight="1">
      <c r="E93" s="464" t="s">
        <v>2829</v>
      </c>
      <c r="H93" s="1445" t="s">
        <v>1438</v>
      </c>
      <c r="I93" s="493" t="s">
        <v>3352</v>
      </c>
      <c r="J93" s="1482">
        <v>300932804</v>
      </c>
      <c r="K93" s="1191"/>
      <c r="O93" s="713" t="s">
        <v>3054</v>
      </c>
      <c r="Q93" s="1479">
        <v>6787259006</v>
      </c>
      <c r="R93" s="1480"/>
      <c r="S93" s="1481"/>
    </row>
    <row r="94" spans="1:19" s="458" customFormat="1" ht="13.15" customHeight="1">
      <c r="D94" s="508"/>
      <c r="E94" s="464" t="s">
        <v>3060</v>
      </c>
      <c r="H94" s="1479">
        <v>7709250643</v>
      </c>
      <c r="I94" s="1481"/>
      <c r="J94" s="1484"/>
      <c r="K94" s="723" t="s">
        <v>2832</v>
      </c>
      <c r="L94" s="1485">
        <v>7709250077</v>
      </c>
      <c r="M94" s="1191"/>
      <c r="N94" s="466" t="s">
        <v>3059</v>
      </c>
      <c r="O94" s="1486" t="s">
        <v>3997</v>
      </c>
      <c r="P94" s="1487"/>
      <c r="Q94" s="1487"/>
      <c r="R94" s="1487"/>
      <c r="S94" s="1488"/>
    </row>
    <row r="95" spans="1:19" ht="6.6" customHeight="1">
      <c r="H95" s="1493"/>
      <c r="I95" s="1493"/>
      <c r="J95" s="1493"/>
      <c r="K95" s="723"/>
      <c r="L95" s="1493"/>
      <c r="M95" s="1493"/>
      <c r="N95" s="715"/>
      <c r="O95" s="1492"/>
      <c r="P95" s="1492"/>
      <c r="Q95" s="723"/>
      <c r="R95" s="1492"/>
      <c r="S95" s="1492"/>
    </row>
    <row r="96" spans="1:19" s="458" customFormat="1" ht="13.15" customHeight="1">
      <c r="B96" s="461" t="s">
        <v>1238</v>
      </c>
      <c r="C96" s="461" t="s">
        <v>381</v>
      </c>
      <c r="F96" s="482"/>
      <c r="H96" s="1448" t="s">
        <v>3939</v>
      </c>
      <c r="I96" s="1190"/>
      <c r="J96" s="1190"/>
      <c r="K96" s="1190"/>
      <c r="L96" s="1190"/>
      <c r="M96" s="1190"/>
      <c r="N96" s="1191"/>
      <c r="O96" s="713" t="s">
        <v>3065</v>
      </c>
      <c r="P96" s="713"/>
      <c r="Q96" s="1448" t="s">
        <v>3941</v>
      </c>
      <c r="R96" s="1190"/>
      <c r="S96" s="1191"/>
    </row>
    <row r="97" spans="2:19" s="458" customFormat="1" ht="13.15" customHeight="1">
      <c r="D97" s="508"/>
      <c r="E97" s="464" t="s">
        <v>1641</v>
      </c>
      <c r="F97" s="472"/>
      <c r="H97" s="1448" t="s">
        <v>3933</v>
      </c>
      <c r="I97" s="1190"/>
      <c r="J97" s="1190"/>
      <c r="K97" s="1190"/>
      <c r="L97" s="1190"/>
      <c r="M97" s="1190"/>
      <c r="N97" s="1191"/>
      <c r="O97" s="713" t="s">
        <v>2775</v>
      </c>
      <c r="Q97" s="1448" t="s">
        <v>3745</v>
      </c>
      <c r="R97" s="1190"/>
      <c r="S97" s="1191"/>
    </row>
    <row r="98" spans="2:19" s="458" customFormat="1" ht="13.15" customHeight="1">
      <c r="D98" s="508"/>
      <c r="E98" s="464" t="s">
        <v>953</v>
      </c>
      <c r="H98" s="1448" t="s">
        <v>3815</v>
      </c>
      <c r="I98" s="1190"/>
      <c r="J98" s="1191"/>
      <c r="O98" s="713" t="s">
        <v>2833</v>
      </c>
      <c r="Q98" s="1479"/>
      <c r="R98" s="1480"/>
      <c r="S98" s="1481"/>
    </row>
    <row r="99" spans="2:19" s="458" customFormat="1" ht="13.15" customHeight="1">
      <c r="D99" s="508"/>
      <c r="E99" s="464" t="s">
        <v>2829</v>
      </c>
      <c r="H99" s="1445" t="s">
        <v>1452</v>
      </c>
      <c r="I99" s="493" t="s">
        <v>3352</v>
      </c>
      <c r="J99" s="1482">
        <v>652034905</v>
      </c>
      <c r="K99" s="1191"/>
      <c r="O99" s="713" t="s">
        <v>3054</v>
      </c>
      <c r="Q99" s="1479"/>
      <c r="R99" s="1480"/>
      <c r="S99" s="1481"/>
    </row>
    <row r="100" spans="2:19" s="458" customFormat="1" ht="13.15" customHeight="1">
      <c r="D100" s="508"/>
      <c r="E100" s="464" t="s">
        <v>3060</v>
      </c>
      <c r="H100" s="1479">
        <v>5734432021</v>
      </c>
      <c r="I100" s="1481"/>
      <c r="J100" s="1484"/>
      <c r="K100" s="723" t="s">
        <v>2832</v>
      </c>
      <c r="L100" s="1485">
        <v>5738747116</v>
      </c>
      <c r="M100" s="1191"/>
      <c r="N100" s="466" t="s">
        <v>3059</v>
      </c>
      <c r="O100" s="1486" t="s">
        <v>3940</v>
      </c>
      <c r="P100" s="1487"/>
      <c r="Q100" s="1487"/>
      <c r="R100" s="1487"/>
      <c r="S100" s="1488"/>
    </row>
    <row r="101" spans="2:19" ht="6.6" customHeight="1">
      <c r="H101" s="1493"/>
      <c r="I101" s="1493"/>
      <c r="J101" s="1493"/>
      <c r="K101" s="723"/>
      <c r="L101" s="1493"/>
      <c r="M101" s="1493"/>
      <c r="N101" s="715"/>
      <c r="O101" s="1492"/>
      <c r="P101" s="1492"/>
      <c r="Q101" s="723"/>
      <c r="R101" s="1492"/>
      <c r="S101" s="1492"/>
    </row>
    <row r="102" spans="2:19" s="458" customFormat="1" ht="13.15" customHeight="1">
      <c r="B102" s="461" t="s">
        <v>3210</v>
      </c>
      <c r="C102" s="461" t="s">
        <v>382</v>
      </c>
      <c r="H102" s="1448" t="s">
        <v>3945</v>
      </c>
      <c r="I102" s="1190"/>
      <c r="J102" s="1190"/>
      <c r="K102" s="1190"/>
      <c r="L102" s="1190"/>
      <c r="M102" s="1190"/>
      <c r="N102" s="1191"/>
      <c r="O102" s="713" t="s">
        <v>3065</v>
      </c>
      <c r="P102" s="713"/>
      <c r="Q102" s="1448" t="s">
        <v>3942</v>
      </c>
      <c r="R102" s="1190"/>
      <c r="S102" s="1191"/>
    </row>
    <row r="103" spans="2:19" s="458" customFormat="1" ht="13.15" customHeight="1">
      <c r="D103" s="508"/>
      <c r="E103" s="464" t="s">
        <v>1641</v>
      </c>
      <c r="F103" s="472"/>
      <c r="H103" s="1448" t="s">
        <v>3929</v>
      </c>
      <c r="I103" s="1190"/>
      <c r="J103" s="1190"/>
      <c r="K103" s="1190"/>
      <c r="L103" s="1190"/>
      <c r="M103" s="1190"/>
      <c r="N103" s="1191"/>
      <c r="O103" s="713" t="s">
        <v>2775</v>
      </c>
      <c r="Q103" s="1448" t="s">
        <v>3943</v>
      </c>
      <c r="R103" s="1190"/>
      <c r="S103" s="1191"/>
    </row>
    <row r="104" spans="2:19" s="458" customFormat="1" ht="13.15" customHeight="1">
      <c r="D104" s="508"/>
      <c r="E104" s="464" t="s">
        <v>953</v>
      </c>
      <c r="H104" s="1448" t="s">
        <v>1866</v>
      </c>
      <c r="I104" s="1190"/>
      <c r="J104" s="1191"/>
      <c r="O104" s="713" t="s">
        <v>2833</v>
      </c>
      <c r="Q104" s="1479">
        <v>4047603433</v>
      </c>
      <c r="R104" s="1480"/>
      <c r="S104" s="1481"/>
    </row>
    <row r="105" spans="2:19" s="458" customFormat="1" ht="13.15" customHeight="1">
      <c r="D105" s="508"/>
      <c r="E105" s="464" t="s">
        <v>2829</v>
      </c>
      <c r="H105" s="1445" t="s">
        <v>1438</v>
      </c>
      <c r="I105" s="493" t="s">
        <v>3352</v>
      </c>
      <c r="J105" s="1482">
        <v>303052256</v>
      </c>
      <c r="K105" s="1191"/>
      <c r="O105" s="713" t="s">
        <v>3054</v>
      </c>
      <c r="Q105" s="1479"/>
      <c r="R105" s="1480"/>
      <c r="S105" s="1481"/>
    </row>
    <row r="106" spans="2:19" ht="13.15" customHeight="1">
      <c r="E106" s="464" t="s">
        <v>3060</v>
      </c>
      <c r="F106" s="458"/>
      <c r="G106" s="458"/>
      <c r="H106" s="1479">
        <v>4043642900</v>
      </c>
      <c r="I106" s="1481"/>
      <c r="J106" s="1484"/>
      <c r="K106" s="723" t="s">
        <v>2832</v>
      </c>
      <c r="L106" s="1485">
        <v>4047603443</v>
      </c>
      <c r="M106" s="1191"/>
      <c r="N106" s="466" t="s">
        <v>3059</v>
      </c>
      <c r="O106" s="1486" t="s">
        <v>3944</v>
      </c>
      <c r="P106" s="1487"/>
      <c r="Q106" s="1487"/>
      <c r="R106" s="1487"/>
      <c r="S106" s="1488"/>
    </row>
    <row r="107" spans="2:19" ht="6" customHeight="1">
      <c r="E107" s="464"/>
      <c r="F107" s="458"/>
      <c r="G107" s="458"/>
      <c r="H107" s="458"/>
      <c r="I107" s="458"/>
      <c r="J107" s="458"/>
      <c r="K107" s="458"/>
      <c r="L107" s="458"/>
      <c r="M107" s="458"/>
      <c r="N107" s="458"/>
      <c r="O107" s="458"/>
      <c r="P107" s="458"/>
      <c r="Q107" s="723"/>
      <c r="R107" s="723"/>
      <c r="S107" s="1495"/>
    </row>
    <row r="108" spans="2:19" ht="0.6" customHeight="1">
      <c r="E108" s="464"/>
      <c r="F108" s="458"/>
      <c r="G108" s="721"/>
      <c r="H108" s="1491"/>
      <c r="I108" s="1491"/>
      <c r="J108" s="1491"/>
      <c r="K108" s="715"/>
      <c r="L108" s="1491"/>
      <c r="M108" s="1491"/>
      <c r="N108" s="715"/>
      <c r="O108" s="1492"/>
      <c r="P108" s="1492"/>
      <c r="Q108" s="723"/>
      <c r="R108" s="1492"/>
      <c r="S108" s="1492"/>
    </row>
    <row r="109" spans="2:19" s="458" customFormat="1" ht="13.15" customHeight="1">
      <c r="B109" s="461" t="s">
        <v>2762</v>
      </c>
      <c r="C109" s="461" t="s">
        <v>383</v>
      </c>
      <c r="H109" s="1448" t="s">
        <v>3999</v>
      </c>
      <c r="I109" s="1190"/>
      <c r="J109" s="1190"/>
      <c r="K109" s="1190"/>
      <c r="L109" s="1190"/>
      <c r="M109" s="1190"/>
      <c r="N109" s="1191"/>
      <c r="O109" s="713" t="s">
        <v>3065</v>
      </c>
      <c r="P109" s="713"/>
      <c r="Q109" s="1448" t="s">
        <v>4001</v>
      </c>
      <c r="R109" s="1190"/>
      <c r="S109" s="1191"/>
    </row>
    <row r="110" spans="2:19" s="458" customFormat="1" ht="13.15" customHeight="1">
      <c r="D110" s="508"/>
      <c r="E110" s="464" t="s">
        <v>1641</v>
      </c>
      <c r="F110" s="472"/>
      <c r="H110" s="1448" t="s">
        <v>4000</v>
      </c>
      <c r="I110" s="1190"/>
      <c r="J110" s="1190"/>
      <c r="K110" s="1190"/>
      <c r="L110" s="1190"/>
      <c r="M110" s="1190"/>
      <c r="N110" s="1191"/>
      <c r="O110" s="713" t="s">
        <v>2775</v>
      </c>
      <c r="Q110" s="1448" t="s">
        <v>4002</v>
      </c>
      <c r="R110" s="1190"/>
      <c r="S110" s="1191"/>
    </row>
    <row r="111" spans="2:19" s="458" customFormat="1" ht="13.15" customHeight="1">
      <c r="D111" s="508"/>
      <c r="E111" s="464" t="s">
        <v>953</v>
      </c>
      <c r="H111" s="1448" t="s">
        <v>1866</v>
      </c>
      <c r="I111" s="1190"/>
      <c r="J111" s="1191"/>
      <c r="O111" s="713" t="s">
        <v>2833</v>
      </c>
      <c r="Q111" s="1479">
        <v>4048477734</v>
      </c>
      <c r="R111" s="1480"/>
      <c r="S111" s="1481"/>
    </row>
    <row r="112" spans="2:19" s="458" customFormat="1" ht="13.15" customHeight="1">
      <c r="D112" s="508"/>
      <c r="E112" s="464" t="s">
        <v>2829</v>
      </c>
      <c r="H112" s="1445" t="s">
        <v>1438</v>
      </c>
      <c r="I112" s="493" t="s">
        <v>3352</v>
      </c>
      <c r="J112" s="1482">
        <v>303191499</v>
      </c>
      <c r="K112" s="1191"/>
      <c r="O112" s="713" t="s">
        <v>3054</v>
      </c>
      <c r="Q112" s="1479"/>
      <c r="R112" s="1480"/>
      <c r="S112" s="1481"/>
    </row>
    <row r="113" spans="1:19" ht="13.15" customHeight="1">
      <c r="E113" s="464" t="s">
        <v>3060</v>
      </c>
      <c r="F113" s="458"/>
      <c r="G113" s="458"/>
      <c r="H113" s="1479">
        <v>4048479447</v>
      </c>
      <c r="I113" s="1481"/>
      <c r="J113" s="1484"/>
      <c r="K113" s="723" t="s">
        <v>2832</v>
      </c>
      <c r="L113" s="1485">
        <v>4048477735</v>
      </c>
      <c r="M113" s="1191"/>
      <c r="N113" s="466" t="s">
        <v>3059</v>
      </c>
      <c r="O113" s="1486" t="s">
        <v>4003</v>
      </c>
      <c r="P113" s="1487"/>
      <c r="Q113" s="1487"/>
      <c r="R113" s="1487"/>
      <c r="S113" s="1488"/>
    </row>
    <row r="114" spans="1:19" ht="6.6" customHeight="1">
      <c r="E114" s="464"/>
      <c r="F114" s="458"/>
      <c r="G114" s="721"/>
      <c r="H114" s="1493"/>
      <c r="I114" s="1493"/>
      <c r="J114" s="1493"/>
      <c r="K114" s="723"/>
      <c r="L114" s="1493"/>
      <c r="M114" s="1493"/>
      <c r="N114" s="715"/>
      <c r="O114" s="1492"/>
      <c r="P114" s="1492"/>
      <c r="Q114" s="723"/>
      <c r="R114" s="1492"/>
      <c r="S114" s="1492"/>
    </row>
    <row r="115" spans="1:19" s="458" customFormat="1" ht="13.15" customHeight="1">
      <c r="B115" s="461" t="s">
        <v>2763</v>
      </c>
      <c r="C115" s="461" t="s">
        <v>384</v>
      </c>
      <c r="H115" s="1448" t="s">
        <v>4004</v>
      </c>
      <c r="I115" s="1190"/>
      <c r="J115" s="1190"/>
      <c r="K115" s="1190"/>
      <c r="L115" s="1190"/>
      <c r="M115" s="1190"/>
      <c r="N115" s="1191"/>
      <c r="O115" s="713" t="s">
        <v>3065</v>
      </c>
      <c r="P115" s="713"/>
      <c r="Q115" s="1448" t="s">
        <v>4006</v>
      </c>
      <c r="R115" s="1190"/>
      <c r="S115" s="1191"/>
    </row>
    <row r="116" spans="1:19" s="458" customFormat="1" ht="13.15" customHeight="1">
      <c r="D116" s="508"/>
      <c r="E116" s="464" t="s">
        <v>1641</v>
      </c>
      <c r="F116" s="472"/>
      <c r="H116" s="1448" t="s">
        <v>4005</v>
      </c>
      <c r="I116" s="1190"/>
      <c r="J116" s="1190"/>
      <c r="K116" s="1190"/>
      <c r="L116" s="1190"/>
      <c r="M116" s="1190"/>
      <c r="N116" s="1191"/>
      <c r="O116" s="713" t="s">
        <v>2775</v>
      </c>
      <c r="Q116" s="1448" t="s">
        <v>3745</v>
      </c>
      <c r="R116" s="1190"/>
      <c r="S116" s="1191"/>
    </row>
    <row r="117" spans="1:19" s="458" customFormat="1" ht="13.15" customHeight="1">
      <c r="D117" s="508"/>
      <c r="E117" s="464" t="s">
        <v>953</v>
      </c>
      <c r="H117" s="1448" t="s">
        <v>1866</v>
      </c>
      <c r="I117" s="1190"/>
      <c r="J117" s="1191"/>
      <c r="O117" s="713" t="s">
        <v>2833</v>
      </c>
      <c r="Q117" s="1479"/>
      <c r="R117" s="1480"/>
      <c r="S117" s="1481"/>
    </row>
    <row r="118" spans="1:19" s="458" customFormat="1" ht="13.15" customHeight="1">
      <c r="D118" s="513"/>
      <c r="E118" s="464" t="s">
        <v>2829</v>
      </c>
      <c r="H118" s="1445" t="s">
        <v>1438</v>
      </c>
      <c r="I118" s="493" t="s">
        <v>3352</v>
      </c>
      <c r="J118" s="1482">
        <v>303031224</v>
      </c>
      <c r="K118" s="1191"/>
      <c r="O118" s="713" t="s">
        <v>3054</v>
      </c>
      <c r="Q118" s="1479">
        <v>4047319309</v>
      </c>
      <c r="R118" s="1480"/>
      <c r="S118" s="1481"/>
    </row>
    <row r="119" spans="1:19" s="458" customFormat="1" ht="13.15" customHeight="1">
      <c r="D119" s="513"/>
      <c r="E119" s="464" t="s">
        <v>3060</v>
      </c>
      <c r="H119" s="1479">
        <v>4045841681</v>
      </c>
      <c r="I119" s="1481"/>
      <c r="J119" s="1484"/>
      <c r="K119" s="723" t="s">
        <v>2832</v>
      </c>
      <c r="L119" s="1485">
        <v>4045841695</v>
      </c>
      <c r="M119" s="1191"/>
      <c r="N119" s="466" t="s">
        <v>3059</v>
      </c>
      <c r="O119" s="1486" t="s">
        <v>4007</v>
      </c>
      <c r="P119" s="1487"/>
      <c r="Q119" s="1487"/>
      <c r="R119" s="1487"/>
      <c r="S119" s="1488"/>
    </row>
    <row r="120" spans="1:19" ht="13.15" customHeight="1"/>
    <row r="121" spans="1:19" s="458" customFormat="1" ht="13.15" customHeight="1">
      <c r="A121" s="461" t="s">
        <v>2822</v>
      </c>
      <c r="B121" s="461" t="s">
        <v>3917</v>
      </c>
      <c r="F121" s="461"/>
      <c r="G121" s="723"/>
      <c r="H121" s="723"/>
      <c r="I121" s="723"/>
      <c r="J121" s="723"/>
      <c r="K121" s="723"/>
      <c r="L121" s="723"/>
      <c r="M121" s="723"/>
      <c r="N121" s="723"/>
      <c r="O121" s="723"/>
      <c r="P121" s="723"/>
      <c r="Q121" s="716"/>
    </row>
    <row r="122" spans="1:19" s="458" customFormat="1" ht="6.6" customHeight="1">
      <c r="A122" s="461"/>
      <c r="B122" s="461"/>
      <c r="F122" s="461"/>
      <c r="G122" s="723"/>
      <c r="H122" s="723"/>
      <c r="I122" s="723"/>
      <c r="J122" s="723"/>
      <c r="K122" s="723"/>
      <c r="L122" s="723"/>
      <c r="M122" s="723"/>
      <c r="N122" s="723"/>
      <c r="O122" s="723"/>
      <c r="P122" s="723"/>
      <c r="Q122" s="716"/>
    </row>
    <row r="123" spans="1:19" s="458" customFormat="1" ht="21.6" customHeight="1">
      <c r="A123" s="805" t="s">
        <v>976</v>
      </c>
      <c r="B123" s="1496"/>
      <c r="C123" s="1496"/>
      <c r="D123" s="1497"/>
      <c r="E123" s="806" t="s">
        <v>3541</v>
      </c>
      <c r="F123" s="809" t="s">
        <v>3534</v>
      </c>
      <c r="G123" s="813" t="s">
        <v>3535</v>
      </c>
      <c r="H123" s="814"/>
      <c r="I123" s="815"/>
      <c r="J123" s="813" t="s">
        <v>3536</v>
      </c>
      <c r="K123" s="822"/>
      <c r="L123" s="813" t="s">
        <v>3537</v>
      </c>
      <c r="M123" s="827"/>
      <c r="N123" s="813" t="s">
        <v>3538</v>
      </c>
      <c r="O123" s="815"/>
      <c r="P123" s="813" t="s">
        <v>3539</v>
      </c>
      <c r="Q123" s="815"/>
      <c r="R123" s="813" t="s">
        <v>3540</v>
      </c>
      <c r="S123" s="832"/>
    </row>
    <row r="124" spans="1:19" s="458" customFormat="1" ht="21.6" customHeight="1">
      <c r="A124" s="1498"/>
      <c r="B124" s="1499"/>
      <c r="C124" s="1499"/>
      <c r="D124" s="1500"/>
      <c r="E124" s="807"/>
      <c r="F124" s="810"/>
      <c r="G124" s="816"/>
      <c r="H124" s="817"/>
      <c r="I124" s="818"/>
      <c r="J124" s="823"/>
      <c r="K124" s="824"/>
      <c r="L124" s="816"/>
      <c r="M124" s="828"/>
      <c r="N124" s="816"/>
      <c r="O124" s="818"/>
      <c r="P124" s="816"/>
      <c r="Q124" s="818"/>
      <c r="R124" s="816"/>
      <c r="S124" s="833"/>
    </row>
    <row r="125" spans="1:19" s="458" customFormat="1" ht="21.6" customHeight="1">
      <c r="A125" s="1498"/>
      <c r="B125" s="1499"/>
      <c r="C125" s="1499"/>
      <c r="D125" s="1500"/>
      <c r="E125" s="807"/>
      <c r="F125" s="811"/>
      <c r="G125" s="816"/>
      <c r="H125" s="817"/>
      <c r="I125" s="818"/>
      <c r="J125" s="823"/>
      <c r="K125" s="824"/>
      <c r="L125" s="829"/>
      <c r="M125" s="828"/>
      <c r="N125" s="816"/>
      <c r="O125" s="818"/>
      <c r="P125" s="816"/>
      <c r="Q125" s="818"/>
      <c r="R125" s="834"/>
      <c r="S125" s="833"/>
    </row>
    <row r="126" spans="1:19" s="458" customFormat="1" ht="21.6" customHeight="1">
      <c r="A126" s="1498"/>
      <c r="B126" s="1499"/>
      <c r="C126" s="1499"/>
      <c r="D126" s="1500"/>
      <c r="E126" s="807"/>
      <c r="F126" s="811"/>
      <c r="G126" s="816"/>
      <c r="H126" s="817"/>
      <c r="I126" s="818"/>
      <c r="J126" s="823"/>
      <c r="K126" s="824"/>
      <c r="L126" s="829"/>
      <c r="M126" s="828"/>
      <c r="N126" s="816"/>
      <c r="O126" s="818"/>
      <c r="P126" s="816"/>
      <c r="Q126" s="818"/>
      <c r="R126" s="834"/>
      <c r="S126" s="833"/>
    </row>
    <row r="127" spans="1:19" s="458" customFormat="1" ht="21.6" customHeight="1">
      <c r="A127" s="1501"/>
      <c r="B127" s="1502"/>
      <c r="C127" s="1502"/>
      <c r="D127" s="1503"/>
      <c r="E127" s="808"/>
      <c r="F127" s="812"/>
      <c r="G127" s="819"/>
      <c r="H127" s="820"/>
      <c r="I127" s="821"/>
      <c r="J127" s="825"/>
      <c r="K127" s="826"/>
      <c r="L127" s="830"/>
      <c r="M127" s="831"/>
      <c r="N127" s="819"/>
      <c r="O127" s="821"/>
      <c r="P127" s="819"/>
      <c r="Q127" s="821"/>
      <c r="R127" s="835"/>
      <c r="S127" s="836"/>
    </row>
    <row r="128" spans="1:19" s="458" customFormat="1" ht="13.9" customHeight="1">
      <c r="A128" s="718" t="s">
        <v>3533</v>
      </c>
      <c r="B128" s="719"/>
      <c r="C128" s="719"/>
      <c r="D128" s="726"/>
      <c r="E128" s="1504" t="s">
        <v>3923</v>
      </c>
      <c r="F128" s="1504" t="s">
        <v>3923</v>
      </c>
      <c r="G128" s="1505" t="s">
        <v>3923</v>
      </c>
      <c r="H128" s="1506"/>
      <c r="I128" s="1507"/>
      <c r="J128" s="1505" t="s">
        <v>3924</v>
      </c>
      <c r="K128" s="1507"/>
      <c r="L128" s="1505" t="s">
        <v>3923</v>
      </c>
      <c r="M128" s="1507"/>
      <c r="N128" s="1505" t="s">
        <v>3923</v>
      </c>
      <c r="O128" s="1507"/>
      <c r="P128" s="1508" t="s">
        <v>3912</v>
      </c>
      <c r="Q128" s="1509"/>
      <c r="R128" s="1510">
        <v>1E-4</v>
      </c>
      <c r="S128" s="1511"/>
    </row>
    <row r="129" spans="1:19" s="458" customFormat="1" ht="13.9" customHeight="1">
      <c r="A129" s="720" t="s">
        <v>3523</v>
      </c>
      <c r="B129" s="721"/>
      <c r="C129" s="721"/>
      <c r="D129" s="722"/>
      <c r="E129" s="1512"/>
      <c r="F129" s="1512"/>
      <c r="G129" s="1513"/>
      <c r="H129" s="1514"/>
      <c r="I129" s="1515"/>
      <c r="J129" s="1513"/>
      <c r="K129" s="1515"/>
      <c r="L129" s="1513"/>
      <c r="M129" s="1515"/>
      <c r="N129" s="1513"/>
      <c r="O129" s="1515"/>
      <c r="P129" s="1516"/>
      <c r="Q129" s="1517"/>
      <c r="R129" s="1518"/>
      <c r="S129" s="1519"/>
    </row>
    <row r="130" spans="1:19" s="458" customFormat="1" ht="13.9" customHeight="1">
      <c r="A130" s="720" t="s">
        <v>3524</v>
      </c>
      <c r="B130" s="721"/>
      <c r="C130" s="721"/>
      <c r="D130" s="722"/>
      <c r="E130" s="1512"/>
      <c r="F130" s="1512"/>
      <c r="G130" s="1513"/>
      <c r="H130" s="1514"/>
      <c r="I130" s="1515"/>
      <c r="J130" s="1513"/>
      <c r="K130" s="1515"/>
      <c r="L130" s="1513"/>
      <c r="M130" s="1515"/>
      <c r="N130" s="1513"/>
      <c r="O130" s="1515"/>
      <c r="P130" s="1516"/>
      <c r="Q130" s="1517"/>
      <c r="R130" s="1518"/>
      <c r="S130" s="1519"/>
    </row>
    <row r="131" spans="1:19" s="458" customFormat="1" ht="13.9" customHeight="1">
      <c r="A131" s="720" t="s">
        <v>3525</v>
      </c>
      <c r="B131" s="721"/>
      <c r="C131" s="721"/>
      <c r="D131" s="722"/>
      <c r="E131" s="1512" t="s">
        <v>3923</v>
      </c>
      <c r="F131" s="1512" t="s">
        <v>3923</v>
      </c>
      <c r="G131" s="1513" t="s">
        <v>3923</v>
      </c>
      <c r="H131" s="1514"/>
      <c r="I131" s="1515"/>
      <c r="J131" s="1513" t="s">
        <v>3924</v>
      </c>
      <c r="K131" s="1515"/>
      <c r="L131" s="1513" t="s">
        <v>3923</v>
      </c>
      <c r="M131" s="1515"/>
      <c r="N131" s="1513" t="s">
        <v>3923</v>
      </c>
      <c r="O131" s="1515"/>
      <c r="P131" s="1516" t="s">
        <v>3946</v>
      </c>
      <c r="Q131" s="1517"/>
      <c r="R131" s="1518">
        <v>0.99980000000000002</v>
      </c>
      <c r="S131" s="1519"/>
    </row>
    <row r="132" spans="1:19" s="458" customFormat="1" ht="13.9" customHeight="1">
      <c r="A132" s="720" t="s">
        <v>3526</v>
      </c>
      <c r="B132" s="721"/>
      <c r="C132" s="721"/>
      <c r="D132" s="722"/>
      <c r="E132" s="1512" t="s">
        <v>3923</v>
      </c>
      <c r="F132" s="1512" t="s">
        <v>3923</v>
      </c>
      <c r="G132" s="1513" t="s">
        <v>3923</v>
      </c>
      <c r="H132" s="1514"/>
      <c r="I132" s="1515"/>
      <c r="J132" s="1513" t="s">
        <v>3924</v>
      </c>
      <c r="K132" s="1515"/>
      <c r="L132" s="1513" t="s">
        <v>3923</v>
      </c>
      <c r="M132" s="1515"/>
      <c r="N132" s="1513" t="s">
        <v>3923</v>
      </c>
      <c r="O132" s="1515"/>
      <c r="P132" s="1516" t="s">
        <v>3946</v>
      </c>
      <c r="Q132" s="1517"/>
      <c r="R132" s="1518">
        <v>1E-4</v>
      </c>
      <c r="S132" s="1519"/>
    </row>
    <row r="133" spans="1:19" s="458" customFormat="1" ht="13.9" customHeight="1">
      <c r="A133" s="720" t="s">
        <v>3527</v>
      </c>
      <c r="B133" s="721"/>
      <c r="C133" s="721"/>
      <c r="D133" s="722"/>
      <c r="E133" s="1512" t="s">
        <v>3923</v>
      </c>
      <c r="F133" s="1512" t="s">
        <v>3923</v>
      </c>
      <c r="G133" s="1513" t="s">
        <v>3923</v>
      </c>
      <c r="H133" s="1514"/>
      <c r="I133" s="1515"/>
      <c r="J133" s="1513" t="s">
        <v>3924</v>
      </c>
      <c r="K133" s="1515"/>
      <c r="L133" s="1513" t="s">
        <v>3923</v>
      </c>
      <c r="M133" s="1515"/>
      <c r="N133" s="1513" t="s">
        <v>3923</v>
      </c>
      <c r="O133" s="1515"/>
      <c r="P133" s="1516" t="s">
        <v>3912</v>
      </c>
      <c r="Q133" s="1517"/>
      <c r="R133" s="1518">
        <v>0</v>
      </c>
      <c r="S133" s="1519"/>
    </row>
    <row r="134" spans="1:19" s="458" customFormat="1" ht="13.9" customHeight="1">
      <c r="A134" s="720" t="s">
        <v>996</v>
      </c>
      <c r="B134" s="721"/>
      <c r="C134" s="721"/>
      <c r="D134" s="722"/>
      <c r="E134" s="1512" t="s">
        <v>3923</v>
      </c>
      <c r="F134" s="1512" t="s">
        <v>3923</v>
      </c>
      <c r="G134" s="1513" t="s">
        <v>3923</v>
      </c>
      <c r="H134" s="1514"/>
      <c r="I134" s="1515"/>
      <c r="J134" s="1513" t="s">
        <v>3923</v>
      </c>
      <c r="K134" s="1515"/>
      <c r="L134" s="1513" t="s">
        <v>3923</v>
      </c>
      <c r="M134" s="1515"/>
      <c r="N134" s="1513" t="s">
        <v>3923</v>
      </c>
      <c r="O134" s="1515"/>
      <c r="P134" s="1516" t="s">
        <v>3946</v>
      </c>
      <c r="Q134" s="1517"/>
      <c r="R134" s="1518">
        <v>0</v>
      </c>
      <c r="S134" s="1519"/>
    </row>
    <row r="135" spans="1:19" s="458" customFormat="1" ht="13.9" customHeight="1">
      <c r="A135" s="720" t="s">
        <v>3528</v>
      </c>
      <c r="B135" s="721"/>
      <c r="C135" s="721"/>
      <c r="D135" s="722"/>
      <c r="E135" s="1512"/>
      <c r="F135" s="1512"/>
      <c r="G135" s="1513"/>
      <c r="H135" s="1514"/>
      <c r="I135" s="1515"/>
      <c r="J135" s="1513"/>
      <c r="K135" s="1515"/>
      <c r="L135" s="1513"/>
      <c r="M135" s="1515"/>
      <c r="N135" s="1513"/>
      <c r="O135" s="1515"/>
      <c r="P135" s="1516"/>
      <c r="Q135" s="1517"/>
      <c r="R135" s="1518"/>
      <c r="S135" s="1519"/>
    </row>
    <row r="136" spans="1:19" s="458" customFormat="1" ht="13.9" customHeight="1">
      <c r="A136" s="720" t="s">
        <v>3529</v>
      </c>
      <c r="B136" s="721"/>
      <c r="C136" s="721"/>
      <c r="D136" s="722"/>
      <c r="E136" s="1512"/>
      <c r="F136" s="1512"/>
      <c r="G136" s="1513"/>
      <c r="H136" s="1514"/>
      <c r="I136" s="1515"/>
      <c r="J136" s="1513"/>
      <c r="K136" s="1515"/>
      <c r="L136" s="1513"/>
      <c r="M136" s="1515"/>
      <c r="N136" s="1513"/>
      <c r="O136" s="1515"/>
      <c r="P136" s="1516"/>
      <c r="Q136" s="1517"/>
      <c r="R136" s="1518"/>
      <c r="S136" s="1519"/>
    </row>
    <row r="137" spans="1:19" s="458" customFormat="1" ht="13.9" customHeight="1">
      <c r="A137" s="720" t="s">
        <v>3530</v>
      </c>
      <c r="B137" s="721"/>
      <c r="C137" s="721"/>
      <c r="D137" s="722"/>
      <c r="E137" s="1512"/>
      <c r="F137" s="1512"/>
      <c r="G137" s="1513"/>
      <c r="H137" s="1514"/>
      <c r="I137" s="1515"/>
      <c r="J137" s="1513"/>
      <c r="K137" s="1515"/>
      <c r="L137" s="1513"/>
      <c r="M137" s="1515"/>
      <c r="N137" s="1513"/>
      <c r="O137" s="1515"/>
      <c r="P137" s="1516"/>
      <c r="Q137" s="1517"/>
      <c r="R137" s="1518"/>
      <c r="S137" s="1519"/>
    </row>
    <row r="138" spans="1:19" s="458" customFormat="1" ht="13.9" customHeight="1">
      <c r="A138" s="720" t="s">
        <v>3531</v>
      </c>
      <c r="B138" s="721"/>
      <c r="C138" s="721"/>
      <c r="D138" s="722"/>
      <c r="E138" s="1512"/>
      <c r="F138" s="1512"/>
      <c r="G138" s="1513"/>
      <c r="H138" s="1514"/>
      <c r="I138" s="1515"/>
      <c r="J138" s="1513"/>
      <c r="K138" s="1515"/>
      <c r="L138" s="1513"/>
      <c r="M138" s="1515"/>
      <c r="N138" s="1513"/>
      <c r="O138" s="1515"/>
      <c r="P138" s="1516"/>
      <c r="Q138" s="1517"/>
      <c r="R138" s="1518"/>
      <c r="S138" s="1519"/>
    </row>
    <row r="139" spans="1:19" s="458" customFormat="1" ht="13.9" customHeight="1">
      <c r="A139" s="720" t="s">
        <v>2280</v>
      </c>
      <c r="B139" s="721"/>
      <c r="C139" s="721"/>
      <c r="D139" s="722"/>
      <c r="E139" s="1512" t="s">
        <v>3923</v>
      </c>
      <c r="F139" s="1512" t="s">
        <v>3923</v>
      </c>
      <c r="G139" s="1513" t="s">
        <v>3923</v>
      </c>
      <c r="H139" s="1514"/>
      <c r="I139" s="1515"/>
      <c r="J139" s="1513" t="s">
        <v>3923</v>
      </c>
      <c r="K139" s="1515"/>
      <c r="L139" s="1513" t="s">
        <v>3923</v>
      </c>
      <c r="M139" s="1515"/>
      <c r="N139" s="1513" t="s">
        <v>3923</v>
      </c>
      <c r="O139" s="1515"/>
      <c r="P139" s="1516" t="s">
        <v>3946</v>
      </c>
      <c r="Q139" s="1517"/>
      <c r="R139" s="1518">
        <v>0</v>
      </c>
      <c r="S139" s="1519"/>
    </row>
    <row r="140" spans="1:19" s="458" customFormat="1" ht="13.9" customHeight="1">
      <c r="A140" s="724" t="s">
        <v>3532</v>
      </c>
      <c r="B140" s="725"/>
      <c r="C140" s="725"/>
      <c r="D140" s="514"/>
      <c r="E140" s="1520" t="s">
        <v>3923</v>
      </c>
      <c r="F140" s="1520" t="s">
        <v>3923</v>
      </c>
      <c r="G140" s="1521" t="s">
        <v>3923</v>
      </c>
      <c r="H140" s="1522"/>
      <c r="I140" s="1523"/>
      <c r="J140" s="1521" t="s">
        <v>3924</v>
      </c>
      <c r="K140" s="1523"/>
      <c r="L140" s="1521" t="s">
        <v>3923</v>
      </c>
      <c r="M140" s="1523"/>
      <c r="N140" s="1521" t="s">
        <v>3923</v>
      </c>
      <c r="O140" s="1523"/>
      <c r="P140" s="1524" t="s">
        <v>3946</v>
      </c>
      <c r="Q140" s="1525"/>
      <c r="R140" s="1526">
        <v>0</v>
      </c>
      <c r="S140" s="1527"/>
    </row>
    <row r="141" spans="1:19" s="721" customFormat="1" ht="13.9" customHeight="1">
      <c r="G141" s="470"/>
      <c r="H141" s="470"/>
      <c r="I141" s="470"/>
      <c r="J141" s="723"/>
      <c r="K141" s="723"/>
      <c r="L141" s="723"/>
      <c r="M141" s="723"/>
      <c r="P141" s="468"/>
      <c r="Q141" s="489" t="s">
        <v>832</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2824</v>
      </c>
      <c r="B143" s="506"/>
      <c r="C143" s="491" t="s">
        <v>879</v>
      </c>
      <c r="N143" s="491" t="s">
        <v>822</v>
      </c>
      <c r="O143" s="491" t="s">
        <v>89</v>
      </c>
    </row>
    <row r="144" spans="1:19" ht="3.6" customHeight="1">
      <c r="B144" s="506"/>
    </row>
    <row r="145" spans="1:19" ht="42.6" customHeight="1">
      <c r="A145" s="1295" t="s">
        <v>3949</v>
      </c>
      <c r="B145" s="1354"/>
      <c r="C145" s="1354"/>
      <c r="D145" s="1354"/>
      <c r="E145" s="1354"/>
      <c r="F145" s="1354"/>
      <c r="G145" s="1354"/>
      <c r="H145" s="1354"/>
      <c r="I145" s="1354"/>
      <c r="J145" s="1354"/>
      <c r="K145" s="1354"/>
      <c r="L145" s="1354"/>
      <c r="M145" s="1355"/>
      <c r="N145" s="1298"/>
      <c r="O145" s="1356"/>
      <c r="P145" s="1356"/>
      <c r="Q145" s="1356"/>
      <c r="R145" s="1356"/>
      <c r="S145" s="1357"/>
    </row>
    <row r="146" spans="1:19" s="458" customFormat="1" ht="42.6" customHeight="1">
      <c r="A146" s="1299" t="s">
        <v>3950</v>
      </c>
      <c r="B146" s="1358"/>
      <c r="C146" s="1358"/>
      <c r="D146" s="1358"/>
      <c r="E146" s="1358"/>
      <c r="F146" s="1358"/>
      <c r="G146" s="1358"/>
      <c r="H146" s="1358"/>
      <c r="I146" s="1358"/>
      <c r="J146" s="1358"/>
      <c r="K146" s="1358"/>
      <c r="L146" s="1358"/>
      <c r="M146" s="1359"/>
      <c r="N146" s="1302"/>
      <c r="O146" s="1360"/>
      <c r="P146" s="1360"/>
      <c r="Q146" s="1360"/>
      <c r="R146" s="1360"/>
      <c r="S146" s="1361"/>
    </row>
    <row r="147" spans="1:19" s="458" customFormat="1" ht="42.6" customHeight="1">
      <c r="A147" s="1303" t="s">
        <v>4059</v>
      </c>
      <c r="B147" s="1362"/>
      <c r="C147" s="1362"/>
      <c r="D147" s="1362"/>
      <c r="E147" s="1362"/>
      <c r="F147" s="1362"/>
      <c r="G147" s="1362"/>
      <c r="H147" s="1362"/>
      <c r="I147" s="1362"/>
      <c r="J147" s="1362"/>
      <c r="K147" s="1362"/>
      <c r="L147" s="1362"/>
      <c r="M147" s="1363"/>
      <c r="N147" s="1306"/>
      <c r="O147" s="1364"/>
      <c r="P147" s="1364"/>
      <c r="Q147" s="1364"/>
      <c r="R147" s="1364"/>
      <c r="S147" s="1365"/>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8"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3"/>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R123:S127"/>
    <mergeCell ref="G128:I128"/>
    <mergeCell ref="J128:K128"/>
    <mergeCell ref="O119:S119"/>
    <mergeCell ref="F123:F127"/>
    <mergeCell ref="G123:I127"/>
    <mergeCell ref="J123:K127"/>
    <mergeCell ref="L123:M127"/>
    <mergeCell ref="N123:O127"/>
    <mergeCell ref="P123:Q127"/>
    <mergeCell ref="Q117:S117"/>
    <mergeCell ref="Q118:S118"/>
    <mergeCell ref="H117:J117"/>
    <mergeCell ref="J118:K118"/>
    <mergeCell ref="Q112:S112"/>
    <mergeCell ref="H113:I113"/>
    <mergeCell ref="O113:S113"/>
    <mergeCell ref="L113:M113"/>
    <mergeCell ref="J112:K112"/>
    <mergeCell ref="H115:N115"/>
    <mergeCell ref="H116:N116"/>
    <mergeCell ref="Q115:S115"/>
    <mergeCell ref="Q116:S116"/>
    <mergeCell ref="H111:J111"/>
    <mergeCell ref="H106:I106"/>
    <mergeCell ref="L106:M106"/>
    <mergeCell ref="O106:S106"/>
    <mergeCell ref="H110:N110"/>
    <mergeCell ref="H109:N109"/>
    <mergeCell ref="Q110:S110"/>
    <mergeCell ref="Q111:S111"/>
    <mergeCell ref="Q109:S109"/>
    <mergeCell ref="H104:J104"/>
    <mergeCell ref="J105:K105"/>
    <mergeCell ref="Q105:S105"/>
    <mergeCell ref="J99:K99"/>
    <mergeCell ref="Q99:S99"/>
    <mergeCell ref="H100:I100"/>
    <mergeCell ref="L100:M100"/>
    <mergeCell ref="O100:S100"/>
    <mergeCell ref="Q104:S104"/>
    <mergeCell ref="Q102:S102"/>
    <mergeCell ref="Q103:S103"/>
    <mergeCell ref="H102:N102"/>
    <mergeCell ref="H103:N103"/>
    <mergeCell ref="H98:J98"/>
    <mergeCell ref="Q98:S98"/>
    <mergeCell ref="H94:I94"/>
    <mergeCell ref="L94:M94"/>
    <mergeCell ref="O94:S94"/>
    <mergeCell ref="H97:N97"/>
    <mergeCell ref="H96:N96"/>
    <mergeCell ref="Q97:S97"/>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H62:I62"/>
    <mergeCell ref="L62:M62"/>
    <mergeCell ref="O62:S62"/>
    <mergeCell ref="Q61:S61"/>
    <mergeCell ref="H60:J60"/>
    <mergeCell ref="H54:I54"/>
    <mergeCell ref="L54:M54"/>
    <mergeCell ref="O54:S54"/>
    <mergeCell ref="H59:N59"/>
    <mergeCell ref="H58:N58"/>
    <mergeCell ref="Q59:S59"/>
    <mergeCell ref="Q60:S60"/>
    <mergeCell ref="Q58:S58"/>
    <mergeCell ref="H52:J52"/>
    <mergeCell ref="J53:K53"/>
    <mergeCell ref="J45:K45"/>
    <mergeCell ref="H46:I46"/>
    <mergeCell ref="L46:M46"/>
    <mergeCell ref="O46:S46"/>
    <mergeCell ref="H50:N50"/>
    <mergeCell ref="H51:N51"/>
    <mergeCell ref="Q52:S52"/>
    <mergeCell ref="Q53:S53"/>
    <mergeCell ref="Q50:S50"/>
    <mergeCell ref="Q51:S51"/>
    <mergeCell ref="Q45:S45"/>
    <mergeCell ref="H44:J44"/>
    <mergeCell ref="H40:I40"/>
    <mergeCell ref="L40:M40"/>
    <mergeCell ref="O40:S40"/>
    <mergeCell ref="H42:N42"/>
    <mergeCell ref="H43:N43"/>
    <mergeCell ref="Q43:S43"/>
    <mergeCell ref="Q44:S44"/>
    <mergeCell ref="Q42:S42"/>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A1:S1"/>
    <mergeCell ref="A123:D127"/>
    <mergeCell ref="E123:E127"/>
    <mergeCell ref="O14:S14"/>
    <mergeCell ref="H7:J7"/>
    <mergeCell ref="J8:K8"/>
    <mergeCell ref="L7:N7"/>
    <mergeCell ref="H18:J18"/>
    <mergeCell ref="H9:I9"/>
    <mergeCell ref="H24:J24"/>
    <mergeCell ref="Q24:S24"/>
    <mergeCell ref="J25:K25"/>
    <mergeCell ref="H38:J38"/>
    <mergeCell ref="Q38:S38"/>
    <mergeCell ref="L9:M9"/>
    <mergeCell ref="O9:S9"/>
    <mergeCell ref="O12:S12"/>
    <mergeCell ref="H22:N22"/>
    <mergeCell ref="Q22:S22"/>
    <mergeCell ref="H23:N23"/>
    <mergeCell ref="Q23:S23"/>
    <mergeCell ref="J19:K19"/>
    <mergeCell ref="H20:I20"/>
    <mergeCell ref="L20:M20"/>
    <mergeCell ref="A145:M145"/>
    <mergeCell ref="A146:M146"/>
    <mergeCell ref="A147:M147"/>
    <mergeCell ref="Q5:S5"/>
    <mergeCell ref="Q6:S6"/>
    <mergeCell ref="Q7:S7"/>
    <mergeCell ref="Q8:S8"/>
    <mergeCell ref="Q17:S17"/>
    <mergeCell ref="Q18:S18"/>
    <mergeCell ref="Q16:S16"/>
    <mergeCell ref="Q19:S19"/>
    <mergeCell ref="H5:N5"/>
    <mergeCell ref="H6:N6"/>
    <mergeCell ref="H17:N17"/>
    <mergeCell ref="H16:N16"/>
    <mergeCell ref="N147:S147"/>
    <mergeCell ref="N146:S146"/>
    <mergeCell ref="N145:S145"/>
    <mergeCell ref="O20:S20"/>
    <mergeCell ref="H36:N36"/>
    <mergeCell ref="H37:N37"/>
    <mergeCell ref="J39:K39"/>
    <mergeCell ref="Q39:S39"/>
    <mergeCell ref="Q36:S36"/>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0" zoomScaleNormal="85" zoomScaleSheetLayoutView="90" workbookViewId="0">
      <selection activeCell="M33" sqref="M33:N33"/>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2011-038 Thomson Estates, Thomson, McDuffie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3769</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5" t="s">
        <v>3924</v>
      </c>
      <c r="C5" s="713" t="s">
        <v>3651</v>
      </c>
      <c r="D5" s="458"/>
      <c r="E5" s="1445"/>
      <c r="F5" s="714" t="s">
        <v>2653</v>
      </c>
      <c r="G5" s="458"/>
      <c r="J5" s="1446"/>
      <c r="K5" s="1447"/>
      <c r="M5" s="1445"/>
      <c r="N5" s="713" t="s">
        <v>845</v>
      </c>
    </row>
    <row r="6" spans="1:17" s="398" customFormat="1" ht="16.899999999999999" customHeight="1">
      <c r="A6" s="733"/>
      <c r="B6" s="1445"/>
      <c r="C6" s="713" t="s">
        <v>2834</v>
      </c>
      <c r="D6" s="458"/>
      <c r="E6" s="1445"/>
      <c r="F6" s="714" t="s">
        <v>3310</v>
      </c>
      <c r="J6" s="1445"/>
      <c r="K6" s="721" t="s">
        <v>846</v>
      </c>
      <c r="M6" s="1445"/>
      <c r="N6" s="714" t="s">
        <v>844</v>
      </c>
    </row>
    <row r="7" spans="1:17" s="398" customFormat="1" ht="16.899999999999999" customHeight="1">
      <c r="A7" s="458"/>
      <c r="B7" s="1445"/>
      <c r="C7" s="713" t="s">
        <v>2835</v>
      </c>
      <c r="E7" s="1445"/>
      <c r="F7" s="714" t="s">
        <v>3309</v>
      </c>
      <c r="G7" s="458"/>
      <c r="J7" s="1445"/>
      <c r="K7" s="721" t="s">
        <v>2290</v>
      </c>
      <c r="M7" s="1445"/>
      <c r="N7" s="464" t="s">
        <v>1981</v>
      </c>
      <c r="P7" s="1446"/>
      <c r="Q7" s="1447"/>
    </row>
    <row r="8" spans="1:17" s="398" customFormat="1" ht="16.899999999999999" customHeight="1">
      <c r="A8" s="733"/>
      <c r="B8" s="1445"/>
      <c r="C8" s="721" t="s">
        <v>3913</v>
      </c>
      <c r="D8" s="458"/>
      <c r="E8" s="1445"/>
      <c r="F8" s="487" t="s">
        <v>3914</v>
      </c>
      <c r="H8" s="1445"/>
      <c r="I8" s="458" t="s">
        <v>3652</v>
      </c>
      <c r="J8" s="1445" t="s">
        <v>3924</v>
      </c>
      <c r="K8" s="458" t="s">
        <v>874</v>
      </c>
      <c r="M8" s="1445"/>
      <c r="N8" s="1448" t="s">
        <v>3230</v>
      </c>
      <c r="O8" s="1449"/>
      <c r="P8" s="1449"/>
      <c r="Q8" s="1450"/>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1229</v>
      </c>
      <c r="B11" s="395" t="s">
        <v>3493</v>
      </c>
      <c r="C11" s="458"/>
      <c r="D11" s="721"/>
      <c r="E11" s="458"/>
      <c r="F11" s="458"/>
      <c r="G11" s="458"/>
      <c r="H11" s="461"/>
      <c r="I11" s="482"/>
      <c r="J11" s="461"/>
      <c r="K11" s="458"/>
      <c r="L11" s="458"/>
      <c r="M11" s="721"/>
      <c r="N11" s="784"/>
      <c r="O11" s="784"/>
      <c r="P11" s="458"/>
      <c r="Q11" s="458"/>
    </row>
    <row r="12" spans="1:17" s="517" customFormat="1" ht="13.9" customHeight="1">
      <c r="A12" s="461"/>
      <c r="B12" s="395"/>
      <c r="C12" s="458"/>
      <c r="K12" s="458"/>
      <c r="L12" s="458"/>
      <c r="M12" s="721"/>
      <c r="N12" s="716"/>
      <c r="O12" s="716"/>
      <c r="P12" s="458"/>
      <c r="Q12" s="458"/>
    </row>
    <row r="13" spans="1:17" s="398" customFormat="1" ht="16.899999999999999" customHeight="1">
      <c r="A13" s="458"/>
      <c r="B13" s="713" t="s">
        <v>2925</v>
      </c>
      <c r="C13" s="458"/>
      <c r="D13" s="458"/>
      <c r="E13" s="458"/>
      <c r="F13" s="458"/>
      <c r="G13" s="458"/>
      <c r="H13" s="839" t="s">
        <v>1997</v>
      </c>
      <c r="I13" s="839"/>
      <c r="J13" s="839"/>
      <c r="K13" s="839"/>
      <c r="L13" s="791" t="s">
        <v>3066</v>
      </c>
      <c r="M13" s="791"/>
      <c r="N13" s="791" t="s">
        <v>2257</v>
      </c>
      <c r="O13" s="791"/>
      <c r="P13" s="791" t="s">
        <v>2536</v>
      </c>
      <c r="Q13" s="791"/>
    </row>
    <row r="14" spans="1:17" s="398" customFormat="1" ht="16.899999999999999" customHeight="1">
      <c r="A14" s="458"/>
      <c r="B14" s="862" t="s">
        <v>2347</v>
      </c>
      <c r="C14" s="863"/>
      <c r="D14" s="863"/>
      <c r="E14" s="719"/>
      <c r="F14" s="719"/>
      <c r="G14" s="719"/>
      <c r="H14" s="1448" t="s">
        <v>4033</v>
      </c>
      <c r="I14" s="1449"/>
      <c r="J14" s="1449"/>
      <c r="K14" s="1450"/>
      <c r="L14" s="1397">
        <v>4000000</v>
      </c>
      <c r="M14" s="1398"/>
      <c r="N14" s="1451">
        <v>0.06</v>
      </c>
      <c r="O14" s="1452"/>
      <c r="P14" s="1453">
        <v>24</v>
      </c>
      <c r="Q14" s="1454"/>
    </row>
    <row r="15" spans="1:17" s="398" customFormat="1" ht="16.899999999999999" customHeight="1">
      <c r="A15" s="458"/>
      <c r="B15" s="857" t="s">
        <v>2348</v>
      </c>
      <c r="C15" s="858"/>
      <c r="D15" s="858"/>
      <c r="E15" s="721"/>
      <c r="F15" s="721"/>
      <c r="G15" s="721"/>
      <c r="H15" s="1448"/>
      <c r="I15" s="1449"/>
      <c r="J15" s="1449"/>
      <c r="K15" s="1450"/>
      <c r="L15" s="1397"/>
      <c r="M15" s="1398"/>
      <c r="N15" s="1451"/>
      <c r="O15" s="1452"/>
      <c r="P15" s="1455"/>
      <c r="Q15" s="1456"/>
    </row>
    <row r="16" spans="1:17" s="398" customFormat="1" ht="16.899999999999999" customHeight="1">
      <c r="A16" s="458"/>
      <c r="B16" s="865" t="s">
        <v>2349</v>
      </c>
      <c r="C16" s="866"/>
      <c r="D16" s="866"/>
      <c r="E16" s="725"/>
      <c r="F16" s="725"/>
      <c r="G16" s="725"/>
      <c r="H16" s="1448"/>
      <c r="I16" s="1449"/>
      <c r="J16" s="1449"/>
      <c r="K16" s="1450"/>
      <c r="L16" s="1397"/>
      <c r="M16" s="1398"/>
      <c r="N16" s="1451"/>
      <c r="O16" s="1452"/>
      <c r="P16" s="1455"/>
      <c r="Q16" s="1456"/>
    </row>
    <row r="17" spans="1:17" s="398" customFormat="1" ht="16.899999999999999" customHeight="1">
      <c r="A17" s="458"/>
      <c r="B17" s="862" t="s">
        <v>3331</v>
      </c>
      <c r="C17" s="863"/>
      <c r="D17" s="863"/>
      <c r="E17" s="721"/>
      <c r="F17" s="721"/>
      <c r="G17" s="721"/>
      <c r="H17" s="1448"/>
      <c r="I17" s="1449"/>
      <c r="J17" s="1449"/>
      <c r="K17" s="1450"/>
      <c r="L17" s="1397"/>
      <c r="M17" s="1398"/>
      <c r="N17" s="847"/>
      <c r="O17" s="848"/>
      <c r="P17" s="846"/>
      <c r="Q17" s="846"/>
    </row>
    <row r="18" spans="1:17" s="398" customFormat="1" ht="16.899999999999999" customHeight="1">
      <c r="A18" s="458"/>
      <c r="B18" s="857" t="s">
        <v>1383</v>
      </c>
      <c r="C18" s="858"/>
      <c r="D18" s="858"/>
      <c r="E18" s="721"/>
      <c r="H18" s="1448"/>
      <c r="I18" s="1449"/>
      <c r="J18" s="1449"/>
      <c r="K18" s="1450"/>
      <c r="L18" s="1397"/>
      <c r="M18" s="1398"/>
      <c r="N18" s="847"/>
      <c r="O18" s="848"/>
      <c r="P18" s="846"/>
      <c r="Q18" s="846"/>
    </row>
    <row r="19" spans="1:17" s="398" customFormat="1" ht="16.899999999999999" customHeight="1">
      <c r="A19" s="458"/>
      <c r="B19" s="857" t="s">
        <v>977</v>
      </c>
      <c r="C19" s="858"/>
      <c r="D19" s="858"/>
      <c r="E19" s="721"/>
      <c r="H19" s="1448"/>
      <c r="I19" s="1449"/>
      <c r="J19" s="1449"/>
      <c r="K19" s="1450"/>
      <c r="L19" s="1397"/>
      <c r="M19" s="1398"/>
      <c r="N19" s="847"/>
      <c r="O19" s="848"/>
      <c r="P19" s="846"/>
      <c r="Q19" s="846"/>
    </row>
    <row r="20" spans="1:17" s="398" customFormat="1" ht="16.899999999999999" customHeight="1">
      <c r="A20" s="458"/>
      <c r="B20" s="857" t="s">
        <v>1384</v>
      </c>
      <c r="C20" s="858"/>
      <c r="D20" s="858"/>
      <c r="E20" s="721"/>
      <c r="H20" s="1448" t="s">
        <v>3952</v>
      </c>
      <c r="I20" s="1449"/>
      <c r="J20" s="1449"/>
      <c r="K20" s="1450"/>
      <c r="L20" s="1397">
        <v>1359165</v>
      </c>
      <c r="M20" s="1398"/>
      <c r="N20" s="458"/>
      <c r="O20" s="458"/>
      <c r="P20" s="458"/>
      <c r="Q20" s="458"/>
    </row>
    <row r="21" spans="1:17" s="398" customFormat="1" ht="16.899999999999999" customHeight="1">
      <c r="A21" s="458"/>
      <c r="B21" s="857" t="s">
        <v>1385</v>
      </c>
      <c r="C21" s="858"/>
      <c r="D21" s="858"/>
      <c r="E21" s="721"/>
      <c r="H21" s="1448" t="s">
        <v>3952</v>
      </c>
      <c r="I21" s="1449"/>
      <c r="J21" s="1449"/>
      <c r="K21" s="1450"/>
      <c r="L21" s="1397">
        <v>453145</v>
      </c>
      <c r="M21" s="1398"/>
      <c r="N21" s="458"/>
      <c r="O21" s="458"/>
      <c r="P21" s="458"/>
      <c r="Q21" s="458"/>
    </row>
    <row r="22" spans="1:17" s="398" customFormat="1" ht="16.899999999999999" customHeight="1">
      <c r="A22" s="458"/>
      <c r="B22" s="720" t="s">
        <v>309</v>
      </c>
      <c r="C22" s="721"/>
      <c r="D22" s="1457"/>
      <c r="E22" s="1457"/>
      <c r="F22" s="1457"/>
      <c r="G22" s="1457"/>
      <c r="H22" s="1448"/>
      <c r="I22" s="1449"/>
      <c r="J22" s="1449"/>
      <c r="K22" s="1450"/>
      <c r="L22" s="1397"/>
      <c r="M22" s="1398"/>
      <c r="N22" s="458"/>
      <c r="O22" s="458"/>
      <c r="P22" s="458"/>
      <c r="Q22" s="458"/>
    </row>
    <row r="23" spans="1:17" s="398" customFormat="1" ht="16.899999999999999" customHeight="1">
      <c r="A23" s="458"/>
      <c r="B23" s="720" t="s">
        <v>309</v>
      </c>
      <c r="C23" s="721"/>
      <c r="D23" s="1457"/>
      <c r="E23" s="1457"/>
      <c r="F23" s="1457"/>
      <c r="G23" s="1457"/>
      <c r="H23" s="1448"/>
      <c r="I23" s="1449"/>
      <c r="J23" s="1449"/>
      <c r="K23" s="1450"/>
      <c r="L23" s="1397"/>
      <c r="M23" s="1398"/>
      <c r="N23" s="458"/>
      <c r="O23" s="458"/>
      <c r="P23" s="458"/>
      <c r="Q23" s="458"/>
    </row>
    <row r="24" spans="1:17" s="398" customFormat="1" ht="16.899999999999999" customHeight="1">
      <c r="A24" s="458"/>
      <c r="B24" s="724" t="s">
        <v>309</v>
      </c>
      <c r="C24" s="725"/>
      <c r="D24" s="1457"/>
      <c r="E24" s="1457"/>
      <c r="F24" s="1457"/>
      <c r="G24" s="1457"/>
      <c r="H24" s="1448"/>
      <c r="I24" s="1449"/>
      <c r="J24" s="1449"/>
      <c r="K24" s="1450"/>
      <c r="L24" s="1397"/>
      <c r="M24" s="1398"/>
      <c r="N24" s="458"/>
      <c r="O24" s="458"/>
      <c r="P24" s="458"/>
      <c r="Q24" s="458"/>
    </row>
    <row r="25" spans="1:17" s="398" customFormat="1" ht="16.899999999999999" customHeight="1">
      <c r="A25" s="458"/>
      <c r="B25" s="395" t="s">
        <v>1998</v>
      </c>
      <c r="C25" s="458"/>
      <c r="D25" s="458"/>
      <c r="E25" s="458"/>
      <c r="F25" s="458"/>
      <c r="G25" s="458"/>
      <c r="H25" s="458"/>
      <c r="I25" s="458"/>
      <c r="L25" s="853">
        <f>SUM(L14:L24)</f>
        <v>5812310</v>
      </c>
      <c r="M25" s="854"/>
      <c r="N25" s="482"/>
      <c r="O25" s="482"/>
      <c r="P25" s="482"/>
      <c r="Q25" s="482"/>
    </row>
    <row r="26" spans="1:17" s="398" customFormat="1" ht="16.899999999999999" customHeight="1">
      <c r="A26" s="458"/>
      <c r="B26" s="713" t="s">
        <v>1999</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5812310</v>
      </c>
      <c r="M26" s="854"/>
      <c r="N26" s="849"/>
      <c r="O26" s="850"/>
      <c r="P26" s="850"/>
      <c r="Q26" s="850"/>
    </row>
    <row r="27" spans="1:17" s="398" customFormat="1" ht="16.899999999999999" customHeight="1">
      <c r="A27" s="458"/>
      <c r="B27" s="464" t="s">
        <v>3259</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1231</v>
      </c>
      <c r="B29" s="395" t="s">
        <v>1382</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3193</v>
      </c>
      <c r="K30" s="723" t="s">
        <v>1995</v>
      </c>
      <c r="L30" s="723" t="s">
        <v>2000</v>
      </c>
      <c r="M30" s="795" t="s">
        <v>40</v>
      </c>
      <c r="N30" s="795"/>
      <c r="O30" s="716"/>
      <c r="P30" s="723"/>
      <c r="Q30" s="867" t="s">
        <v>3490</v>
      </c>
    </row>
    <row r="31" spans="1:17" s="398" customFormat="1" ht="13.15" customHeight="1" thickBot="1">
      <c r="A31" s="458"/>
      <c r="B31" s="727" t="s">
        <v>2925</v>
      </c>
      <c r="C31" s="725"/>
      <c r="D31" s="725"/>
      <c r="E31" s="858" t="s">
        <v>1997</v>
      </c>
      <c r="F31" s="858"/>
      <c r="G31" s="858"/>
      <c r="H31" s="791" t="s">
        <v>719</v>
      </c>
      <c r="I31" s="791"/>
      <c r="J31" s="715" t="s">
        <v>2842</v>
      </c>
      <c r="K31" s="715" t="s">
        <v>3330</v>
      </c>
      <c r="L31" s="715" t="s">
        <v>3330</v>
      </c>
      <c r="M31" s="1458"/>
      <c r="N31" s="1458"/>
      <c r="O31" s="791" t="s">
        <v>84</v>
      </c>
      <c r="P31" s="791"/>
      <c r="Q31" s="868"/>
    </row>
    <row r="32" spans="1:17" s="398" customFormat="1" ht="13.15" customHeight="1" thickBot="1">
      <c r="A32" s="458"/>
      <c r="B32" s="862" t="str">
        <f>IF(E32 ="&lt;&lt;Select applicable option&gt;&gt;", "Make a selection FIRST --&gt;",IF(E32 = "Neither","N/A","Mortgage A"))</f>
        <v>N/A</v>
      </c>
      <c r="C32" s="863"/>
      <c r="D32" s="863"/>
      <c r="E32" s="1459" t="s">
        <v>4034</v>
      </c>
      <c r="F32" s="1460"/>
      <c r="G32" s="1461"/>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3016</v>
      </c>
      <c r="P32" s="841"/>
      <c r="Q32" s="1462" t="s">
        <v>2760</v>
      </c>
    </row>
    <row r="33" spans="1:19" s="398" customFormat="1" ht="13.15" customHeight="1">
      <c r="A33" s="458"/>
      <c r="B33" s="857" t="str">
        <f>IF(OR(E32 = "Neither",E32 = "&lt;&lt;Select applicable option&gt;&gt;"), "Mortgage A","Mortgage B")</f>
        <v>Mortgage A</v>
      </c>
      <c r="C33" s="858"/>
      <c r="D33" s="859"/>
      <c r="E33" s="1463" t="s">
        <v>4033</v>
      </c>
      <c r="F33" s="1464"/>
      <c r="G33" s="1465"/>
      <c r="H33" s="1466">
        <v>450000</v>
      </c>
      <c r="I33" s="1467"/>
      <c r="J33" s="1468">
        <v>7.0000000000000007E-2</v>
      </c>
      <c r="K33" s="1445">
        <v>15</v>
      </c>
      <c r="L33" s="1445">
        <v>30</v>
      </c>
      <c r="M33" s="1469">
        <f>IF(OR(H33&lt;=0,H33=""),"",IF(O33="Amortizing",-PMT(J33/12,L33*12,H33,0,0)*12,""))</f>
        <v>35926.334739675862</v>
      </c>
      <c r="N33" s="1470"/>
      <c r="O33" s="1408" t="s">
        <v>3016</v>
      </c>
      <c r="P33" s="1409"/>
      <c r="Q33" s="1471"/>
    </row>
    <row r="34" spans="1:19" s="398" customFormat="1" ht="13.15" customHeight="1">
      <c r="A34" s="458"/>
      <c r="B34" s="720" t="str">
        <f>IF(OR(E32 = "Neither",E32 = "&lt;&lt;Select applicable option&gt;&gt;"), "Mortgage B","Mortgage C")</f>
        <v>Mortgage B</v>
      </c>
      <c r="C34" s="721"/>
      <c r="D34" s="722"/>
      <c r="E34" s="1448"/>
      <c r="F34" s="1472"/>
      <c r="G34" s="1467"/>
      <c r="H34" s="1466"/>
      <c r="I34" s="1467"/>
      <c r="J34" s="1468"/>
      <c r="K34" s="1445"/>
      <c r="L34" s="1445"/>
      <c r="M34" s="1469" t="str">
        <f>IF(OR(H34&lt;=0,H34=""),"",IF(O34="Amortizing",-PMT(J34/12,L34*12,H34,0,0)*12,""))</f>
        <v/>
      </c>
      <c r="N34" s="1470"/>
      <c r="O34" s="1408"/>
      <c r="P34" s="1409"/>
      <c r="Q34" s="1471"/>
    </row>
    <row r="35" spans="1:19" s="398" customFormat="1" ht="13.15" customHeight="1">
      <c r="A35" s="458"/>
      <c r="B35" s="720" t="s">
        <v>1230</v>
      </c>
      <c r="C35" s="1408"/>
      <c r="D35" s="1409"/>
      <c r="E35" s="1448"/>
      <c r="F35" s="1472"/>
      <c r="G35" s="1467"/>
      <c r="H35" s="1466"/>
      <c r="I35" s="1467"/>
      <c r="J35" s="1468"/>
      <c r="K35" s="1445"/>
      <c r="L35" s="1445"/>
      <c r="M35" s="1469" t="str">
        <f>IF(OR(H35&lt;=0,H35=""),"",IF(O35="Amortizing",-PMT(J35/12,L35*12,H35,0,0)*12,""))</f>
        <v/>
      </c>
      <c r="N35" s="1470"/>
      <c r="O35" s="1408"/>
      <c r="P35" s="1409"/>
      <c r="Q35" s="1471"/>
    </row>
    <row r="36" spans="1:19" s="398" customFormat="1" ht="13.15" customHeight="1">
      <c r="A36" s="458"/>
      <c r="B36" s="720" t="s">
        <v>2085</v>
      </c>
      <c r="C36" s="721"/>
      <c r="D36" s="722"/>
      <c r="E36" s="1448"/>
      <c r="F36" s="1472"/>
      <c r="G36" s="1467"/>
      <c r="H36" s="1466"/>
      <c r="I36" s="1467"/>
      <c r="J36" s="1468"/>
      <c r="K36" s="1445"/>
      <c r="L36" s="1445"/>
      <c r="M36" s="1469" t="str">
        <f>IF(OR(H36&lt;=0,H36=""),"",IF(O36="Amortizing",-PMT(J36/12,L36*12,H36,0,0)*12,""))</f>
        <v/>
      </c>
      <c r="N36" s="1470"/>
      <c r="O36" s="1408"/>
      <c r="P36" s="1409"/>
      <c r="Q36" s="1471"/>
    </row>
    <row r="37" spans="1:19" s="398" customFormat="1" ht="13.15" customHeight="1">
      <c r="A37" s="458"/>
      <c r="B37" s="724" t="s">
        <v>292</v>
      </c>
      <c r="C37" s="725"/>
      <c r="D37" s="555">
        <f>IF(OR(H37="",H37=0,'Part IV-Uses of Funds'!$G$109="",'Part IV-Uses of Funds'!$G$109=0),"",H37/'Part IV-Uses of Funds'!$G$109)</f>
        <v>1.15847372278868E-3</v>
      </c>
      <c r="E37" s="1448" t="s">
        <v>3985</v>
      </c>
      <c r="F37" s="1472"/>
      <c r="G37" s="1467"/>
      <c r="H37" s="1466">
        <v>972</v>
      </c>
      <c r="I37" s="1467"/>
      <c r="J37" s="1468"/>
      <c r="K37" s="1445"/>
      <c r="L37" s="1445"/>
      <c r="M37" s="1469" t="str">
        <f>IF(OR(H37&lt;=0,H37=""),"",IF(O37="Amortizing",-PMT(J37/12,L37*12,H37,0,0)*12,""))</f>
        <v/>
      </c>
      <c r="N37" s="1470"/>
      <c r="O37" s="1408"/>
      <c r="P37" s="1409"/>
      <c r="Q37" s="1471"/>
    </row>
    <row r="38" spans="1:19" s="398" customFormat="1" ht="13.15" customHeight="1">
      <c r="A38" s="458"/>
      <c r="B38" s="862" t="s">
        <v>3331</v>
      </c>
      <c r="C38" s="863"/>
      <c r="D38" s="864"/>
      <c r="E38" s="1448"/>
      <c r="F38" s="1472"/>
      <c r="G38" s="1467"/>
      <c r="H38" s="1473"/>
      <c r="I38" s="1474"/>
      <c r="K38" s="556"/>
      <c r="L38" s="556"/>
      <c r="M38" s="556"/>
      <c r="N38" s="556"/>
      <c r="O38" s="556"/>
      <c r="P38" s="556"/>
      <c r="Q38" s="556"/>
      <c r="S38" s="648" t="s">
        <v>808</v>
      </c>
    </row>
    <row r="39" spans="1:19" s="398" customFormat="1" ht="13.15" customHeight="1">
      <c r="A39" s="458"/>
      <c r="B39" s="857" t="s">
        <v>1383</v>
      </c>
      <c r="C39" s="858"/>
      <c r="D39" s="859"/>
      <c r="E39" s="1448"/>
      <c r="F39" s="1472"/>
      <c r="G39" s="1467"/>
      <c r="H39" s="1473"/>
      <c r="I39" s="1474"/>
      <c r="J39" s="869" t="s">
        <v>809</v>
      </c>
      <c r="K39" s="870"/>
      <c r="L39" s="652" t="s">
        <v>810</v>
      </c>
      <c r="M39" s="557"/>
      <c r="N39" s="557"/>
      <c r="O39" s="557"/>
      <c r="P39" s="557"/>
      <c r="Q39" s="556"/>
      <c r="S39" s="649" t="s">
        <v>3863</v>
      </c>
    </row>
    <row r="40" spans="1:19" s="398" customFormat="1" ht="13.15" customHeight="1">
      <c r="A40" s="458"/>
      <c r="B40" s="857" t="s">
        <v>1384</v>
      </c>
      <c r="C40" s="858"/>
      <c r="D40" s="859"/>
      <c r="E40" s="1448" t="s">
        <v>3952</v>
      </c>
      <c r="F40" s="1449"/>
      <c r="G40" s="1450"/>
      <c r="H40" s="1466">
        <v>4864048</v>
      </c>
      <c r="I40" s="1475"/>
      <c r="J40" s="871">
        <f>'Part IV-Uses of Funds'!$J$165*10*'Part IV-Uses of Funds'!$N$158</f>
        <v>4865017.5</v>
      </c>
      <c r="K40" s="872"/>
      <c r="L40" s="653">
        <f>H40-J40</f>
        <v>-969.5</v>
      </c>
      <c r="M40" s="805" t="s">
        <v>2537</v>
      </c>
      <c r="N40" s="873"/>
      <c r="O40" s="873"/>
      <c r="P40" s="873"/>
      <c r="Q40" s="874"/>
      <c r="S40" s="650">
        <f>H40/H50</f>
        <v>0.70119448397193929</v>
      </c>
    </row>
    <row r="41" spans="1:19" s="398" customFormat="1" ht="13.15" customHeight="1">
      <c r="A41" s="458"/>
      <c r="B41" s="857" t="s">
        <v>1385</v>
      </c>
      <c r="C41" s="858"/>
      <c r="D41" s="859"/>
      <c r="E41" s="1448" t="s">
        <v>3952</v>
      </c>
      <c r="F41" s="1449"/>
      <c r="G41" s="1450"/>
      <c r="H41" s="1466">
        <v>1621673</v>
      </c>
      <c r="I41" s="1475"/>
      <c r="J41" s="871">
        <f>'Part IV-Uses of Funds'!$J$165*10*'Part IV-Uses of Funds'!$Q$158</f>
        <v>1621672.5</v>
      </c>
      <c r="K41" s="872"/>
      <c r="L41" s="653">
        <f>H41-J41</f>
        <v>0.5</v>
      </c>
      <c r="M41" s="875"/>
      <c r="N41" s="868"/>
      <c r="O41" s="868"/>
      <c r="P41" s="868"/>
      <c r="Q41" s="876"/>
      <c r="S41" s="650">
        <f>H41/H50</f>
        <v>0.2337781539997604</v>
      </c>
    </row>
    <row r="42" spans="1:19" s="398" customFormat="1" ht="13.15" customHeight="1">
      <c r="A42" s="458"/>
      <c r="B42" s="857" t="s">
        <v>2120</v>
      </c>
      <c r="C42" s="858"/>
      <c r="D42" s="859"/>
      <c r="E42" s="1448"/>
      <c r="F42" s="1449"/>
      <c r="G42" s="1450"/>
      <c r="H42" s="1466"/>
      <c r="I42" s="1475"/>
      <c r="M42" s="558" t="s">
        <v>3020</v>
      </c>
      <c r="N42" s="559" t="s">
        <v>3021</v>
      </c>
      <c r="O42" s="558">
        <v>8</v>
      </c>
      <c r="P42" s="558">
        <v>9</v>
      </c>
      <c r="Q42" s="558">
        <v>10</v>
      </c>
      <c r="S42" s="651">
        <f>SUM(S40:S41)</f>
        <v>0.93497263797169972</v>
      </c>
    </row>
    <row r="43" spans="1:19" s="398" customFormat="1" ht="13.15" customHeight="1">
      <c r="A43" s="458"/>
      <c r="B43" s="720" t="s">
        <v>824</v>
      </c>
      <c r="C43" s="721"/>
      <c r="D43" s="722"/>
      <c r="E43" s="1448"/>
      <c r="F43" s="1449"/>
      <c r="G43" s="1450"/>
      <c r="H43" s="1466"/>
      <c r="I43" s="1475"/>
      <c r="K43" s="458"/>
      <c r="L43" s="458"/>
      <c r="M43" s="558" t="s">
        <v>3022</v>
      </c>
      <c r="N43" s="1468"/>
      <c r="O43" s="1468"/>
      <c r="P43" s="1468"/>
      <c r="Q43" s="1468"/>
      <c r="S43" s="458"/>
    </row>
    <row r="44" spans="1:19" s="398" customFormat="1" ht="13.15" customHeight="1">
      <c r="A44" s="458"/>
      <c r="B44" s="720" t="s">
        <v>2923</v>
      </c>
      <c r="C44" s="721"/>
      <c r="D44" s="722"/>
      <c r="E44" s="1448"/>
      <c r="F44" s="1449"/>
      <c r="G44" s="1450"/>
      <c r="H44" s="1466"/>
      <c r="I44" s="1475"/>
      <c r="J44" s="458"/>
      <c r="M44" s="560">
        <v>11</v>
      </c>
      <c r="N44" s="560">
        <v>12</v>
      </c>
      <c r="O44" s="716">
        <v>13</v>
      </c>
      <c r="P44" s="558">
        <v>14</v>
      </c>
      <c r="Q44" s="558">
        <v>15</v>
      </c>
    </row>
    <row r="45" spans="1:19" s="398" customFormat="1" ht="13.15" customHeight="1">
      <c r="A45" s="458"/>
      <c r="B45" s="720" t="s">
        <v>2924</v>
      </c>
      <c r="C45" s="721"/>
      <c r="D45" s="722"/>
      <c r="E45" s="1448"/>
      <c r="F45" s="1449"/>
      <c r="G45" s="1450"/>
      <c r="H45" s="1466"/>
      <c r="I45" s="1475"/>
      <c r="J45" s="458"/>
      <c r="M45" s="1468"/>
      <c r="N45" s="1468"/>
      <c r="O45" s="1468"/>
      <c r="P45" s="1468"/>
      <c r="Q45" s="1468"/>
    </row>
    <row r="46" spans="1:19" s="398" customFormat="1" ht="13.15" customHeight="1">
      <c r="A46" s="458"/>
      <c r="B46" s="720" t="s">
        <v>1230</v>
      </c>
      <c r="C46" s="1448"/>
      <c r="D46" s="1450"/>
      <c r="E46" s="1448" t="s">
        <v>3951</v>
      </c>
      <c r="F46" s="1449"/>
      <c r="G46" s="1450"/>
      <c r="H46" s="1466">
        <v>110</v>
      </c>
      <c r="I46" s="1475"/>
      <c r="J46" s="458"/>
      <c r="M46" s="558">
        <v>16</v>
      </c>
      <c r="N46" s="558">
        <v>17</v>
      </c>
      <c r="O46" s="558">
        <v>18</v>
      </c>
      <c r="P46" s="723">
        <v>19</v>
      </c>
      <c r="Q46" s="723">
        <v>20</v>
      </c>
    </row>
    <row r="47" spans="1:19" s="398" customFormat="1" ht="13.15" customHeight="1">
      <c r="A47" s="458"/>
      <c r="B47" s="720" t="s">
        <v>1230</v>
      </c>
      <c r="C47" s="1448"/>
      <c r="D47" s="1450"/>
      <c r="E47" s="1448"/>
      <c r="F47" s="1449"/>
      <c r="G47" s="1450"/>
      <c r="H47" s="1466"/>
      <c r="I47" s="1475"/>
      <c r="J47" s="458"/>
      <c r="K47" s="458"/>
      <c r="L47" s="558"/>
      <c r="M47" s="1468"/>
      <c r="N47" s="1468"/>
      <c r="O47" s="1468"/>
      <c r="P47" s="1468"/>
      <c r="Q47" s="1468"/>
    </row>
    <row r="48" spans="1:19" s="398" customFormat="1" ht="13.15" customHeight="1">
      <c r="A48" s="458"/>
      <c r="B48" s="724" t="s">
        <v>1230</v>
      </c>
      <c r="C48" s="1448"/>
      <c r="D48" s="1450"/>
      <c r="E48" s="1448"/>
      <c r="F48" s="1449"/>
      <c r="G48" s="1450"/>
      <c r="H48" s="1466"/>
      <c r="I48" s="1475"/>
      <c r="J48" s="458"/>
      <c r="K48" s="458"/>
      <c r="L48" s="558"/>
      <c r="M48" s="723">
        <v>21</v>
      </c>
      <c r="N48" s="723">
        <v>22</v>
      </c>
      <c r="O48" s="723">
        <v>23</v>
      </c>
      <c r="P48" s="723">
        <v>24</v>
      </c>
      <c r="Q48" s="723">
        <v>25</v>
      </c>
    </row>
    <row r="49" spans="1:17" s="398" customFormat="1" ht="13.15" customHeight="1">
      <c r="A49" s="458"/>
      <c r="B49" s="713" t="s">
        <v>3332</v>
      </c>
      <c r="C49" s="458"/>
      <c r="D49" s="458"/>
      <c r="E49" s="458"/>
      <c r="F49" s="458"/>
      <c r="G49" s="458"/>
      <c r="H49" s="844">
        <f>SUM(H32:I48)</f>
        <v>6936803</v>
      </c>
      <c r="I49" s="845"/>
      <c r="J49" s="482"/>
      <c r="K49" s="458"/>
      <c r="L49" s="558"/>
      <c r="M49" s="1468"/>
      <c r="N49" s="1468"/>
      <c r="O49" s="1468"/>
      <c r="P49" s="1468"/>
      <c r="Q49" s="1468"/>
    </row>
    <row r="50" spans="1:17" s="398" customFormat="1" ht="13.15" customHeight="1" thickBot="1">
      <c r="A50" s="458"/>
      <c r="B50" s="713" t="s">
        <v>3333</v>
      </c>
      <c r="C50" s="458"/>
      <c r="D50" s="458"/>
      <c r="E50" s="458"/>
      <c r="F50" s="458"/>
      <c r="G50" s="458"/>
      <c r="H50" s="842">
        <f>'Part IV-Uses of Funds'!$G$123</f>
        <v>6936803</v>
      </c>
      <c r="I50" s="843"/>
      <c r="J50" s="482"/>
      <c r="K50" s="458"/>
      <c r="L50" s="558"/>
      <c r="M50" s="723">
        <v>26</v>
      </c>
      <c r="N50" s="723">
        <v>27</v>
      </c>
      <c r="O50" s="723">
        <v>28</v>
      </c>
      <c r="P50" s="723">
        <v>29</v>
      </c>
      <c r="Q50" s="723">
        <v>30</v>
      </c>
    </row>
    <row r="51" spans="1:17" s="398" customFormat="1" ht="13.15" customHeight="1" thickBot="1">
      <c r="A51" s="458"/>
      <c r="B51" s="464" t="s">
        <v>2276</v>
      </c>
      <c r="C51" s="458"/>
      <c r="D51" s="458"/>
      <c r="E51" s="458"/>
      <c r="F51" s="458"/>
      <c r="G51" s="458"/>
      <c r="H51" s="860">
        <f>H49-H50</f>
        <v>0</v>
      </c>
      <c r="I51" s="861"/>
      <c r="J51" s="482"/>
      <c r="K51" s="458"/>
      <c r="L51" s="558"/>
      <c r="M51" s="1468"/>
      <c r="N51" s="1468"/>
      <c r="O51" s="1468"/>
      <c r="P51" s="1468"/>
      <c r="Q51" s="1468"/>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879</v>
      </c>
      <c r="C53" s="482"/>
      <c r="D53" s="482"/>
      <c r="E53" s="482"/>
      <c r="F53" s="482"/>
      <c r="G53" s="482"/>
      <c r="H53" s="482"/>
      <c r="I53" s="482"/>
      <c r="J53" s="482"/>
      <c r="K53" s="461" t="s">
        <v>2822</v>
      </c>
      <c r="L53" s="461" t="s">
        <v>89</v>
      </c>
      <c r="M53" s="482"/>
      <c r="N53" s="482"/>
      <c r="O53" s="482"/>
      <c r="P53" s="482"/>
      <c r="Q53" s="482"/>
    </row>
    <row r="54" spans="1:17" ht="5.45" customHeight="1">
      <c r="B54" s="519"/>
    </row>
    <row r="55" spans="1:17" ht="51" customHeight="1">
      <c r="A55" s="1295" t="s">
        <v>4050</v>
      </c>
      <c r="B55" s="1261"/>
      <c r="C55" s="1261"/>
      <c r="D55" s="1261"/>
      <c r="E55" s="1261"/>
      <c r="F55" s="1261"/>
      <c r="G55" s="1261"/>
      <c r="H55" s="1261"/>
      <c r="I55" s="1261"/>
      <c r="J55" s="1262"/>
      <c r="K55" s="1298"/>
      <c r="L55" s="1261"/>
      <c r="M55" s="1261"/>
      <c r="N55" s="1261"/>
      <c r="O55" s="1261"/>
      <c r="P55" s="1261"/>
      <c r="Q55" s="1262"/>
    </row>
    <row r="56" spans="1:17" ht="51" customHeight="1">
      <c r="A56" s="1299"/>
      <c r="B56" s="1476"/>
      <c r="C56" s="1476"/>
      <c r="D56" s="1476"/>
      <c r="E56" s="1476"/>
      <c r="F56" s="1476"/>
      <c r="G56" s="1476"/>
      <c r="H56" s="1476"/>
      <c r="I56" s="1476"/>
      <c r="J56" s="1477"/>
      <c r="K56" s="1302"/>
      <c r="L56" s="1476"/>
      <c r="M56" s="1476"/>
      <c r="N56" s="1476"/>
      <c r="O56" s="1476"/>
      <c r="P56" s="1476"/>
      <c r="Q56" s="1477"/>
    </row>
    <row r="57" spans="1:17" s="398" customFormat="1" ht="51" customHeight="1">
      <c r="A57" s="1299"/>
      <c r="B57" s="1476"/>
      <c r="C57" s="1476"/>
      <c r="D57" s="1476"/>
      <c r="E57" s="1476"/>
      <c r="F57" s="1476"/>
      <c r="G57" s="1476"/>
      <c r="H57" s="1476"/>
      <c r="I57" s="1476"/>
      <c r="J57" s="1477"/>
      <c r="K57" s="1302"/>
      <c r="L57" s="1476"/>
      <c r="M57" s="1476"/>
      <c r="N57" s="1476"/>
      <c r="O57" s="1476"/>
      <c r="P57" s="1476"/>
      <c r="Q57" s="1477"/>
    </row>
    <row r="58" spans="1:17" ht="51" customHeight="1">
      <c r="A58" s="1303"/>
      <c r="B58" s="1272"/>
      <c r="C58" s="1272"/>
      <c r="D58" s="1272"/>
      <c r="E58" s="1272"/>
      <c r="F58" s="1272"/>
      <c r="G58" s="1272"/>
      <c r="H58" s="1272"/>
      <c r="I58" s="1272"/>
      <c r="J58" s="1273"/>
      <c r="K58" s="1306"/>
      <c r="L58" s="1272"/>
      <c r="M58" s="1272"/>
      <c r="N58" s="1272"/>
      <c r="O58" s="1272"/>
      <c r="P58" s="1272"/>
      <c r="Q58" s="1273"/>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43" workbookViewId="0">
      <selection activeCell="G71" sqref="G71 C9 C5 E1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2011-038 Thomson Estates, Thomson, McDuffie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3384</v>
      </c>
      <c r="B5" s="42"/>
      <c r="C5" s="1442"/>
      <c r="D5" s="374">
        <f>IF(C5&gt;1500000,1500000,0)</f>
        <v>0</v>
      </c>
      <c r="E5" s="375">
        <f>IF(C5&gt;1500000,C5-1500000,0)</f>
        <v>0</v>
      </c>
    </row>
    <row r="6" spans="1:17">
      <c r="A6" s="42" t="s">
        <v>3734</v>
      </c>
      <c r="B6" s="300" t="s">
        <v>745</v>
      </c>
      <c r="C6" s="376">
        <v>0</v>
      </c>
      <c r="D6" s="160" t="s">
        <v>746</v>
      </c>
      <c r="E6" s="42"/>
    </row>
    <row r="7" spans="1:17">
      <c r="A7" s="42"/>
      <c r="B7" s="300" t="s">
        <v>3750</v>
      </c>
      <c r="C7" s="1443"/>
      <c r="D7" s="160" t="s">
        <v>2659</v>
      </c>
      <c r="E7" s="42"/>
    </row>
    <row r="8" spans="1:17" ht="13.15" customHeight="1">
      <c r="A8" s="42" t="s">
        <v>3738</v>
      </c>
      <c r="B8" s="42"/>
      <c r="C8" s="376">
        <v>0</v>
      </c>
      <c r="D8" s="160" t="s">
        <v>2660</v>
      </c>
      <c r="E8" s="42"/>
    </row>
    <row r="9" spans="1:17">
      <c r="A9" s="42" t="s">
        <v>2093</v>
      </c>
      <c r="B9" s="42"/>
      <c r="C9" s="1444"/>
      <c r="D9" s="42"/>
      <c r="E9" s="42"/>
    </row>
    <row r="10" spans="1:17">
      <c r="A10" s="42" t="s">
        <v>2094</v>
      </c>
      <c r="B10" s="42"/>
      <c r="C10" s="1444"/>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3752</v>
      </c>
      <c r="B16" s="731" t="s">
        <v>3748</v>
      </c>
      <c r="C16" s="731" t="s">
        <v>3749</v>
      </c>
      <c r="D16" s="885" t="s">
        <v>3383</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2011-038 Thomson Estates, Thomson, McDuffie County</v>
      </c>
      <c r="B58" s="886"/>
      <c r="C58" s="886"/>
      <c r="D58" s="886"/>
      <c r="E58" s="886"/>
      <c r="F58" s="886"/>
      <c r="G58" s="886" t="str">
        <f>CONCATENATE('Part I-Project Information'!$O$4," ",'Part I-Project Information'!$F$22,", ",'Part I-Project Information'!$F$24,", ",'Part I-Project Information'!$J$25," County")</f>
        <v>2011-038 Thomson Estates, Thomson, McDuffie County</v>
      </c>
      <c r="H58" s="886"/>
      <c r="I58" s="886"/>
      <c r="J58" s="886"/>
      <c r="K58" s="886"/>
      <c r="L58" s="886"/>
    </row>
    <row r="59" spans="1:12" ht="15">
      <c r="A59" s="887" t="s">
        <v>3742</v>
      </c>
      <c r="B59" s="887"/>
      <c r="C59" s="887"/>
      <c r="D59" s="887"/>
      <c r="E59" s="887"/>
      <c r="F59" s="887"/>
      <c r="G59" s="887" t="s">
        <v>3742</v>
      </c>
      <c r="H59" s="887"/>
      <c r="I59" s="887"/>
      <c r="J59" s="887"/>
      <c r="K59" s="887"/>
      <c r="L59" s="887"/>
    </row>
    <row r="60" spans="1:12" ht="6" customHeight="1">
      <c r="C60" s="273"/>
      <c r="D60" s="273"/>
      <c r="I60" s="273"/>
      <c r="J60" s="273"/>
    </row>
    <row r="61" spans="1:12">
      <c r="A61" s="276" t="s">
        <v>3743</v>
      </c>
      <c r="B61" s="277" t="s">
        <v>3744</v>
      </c>
      <c r="C61" s="277" t="s">
        <v>1994</v>
      </c>
      <c r="D61" s="277" t="s">
        <v>3745</v>
      </c>
      <c r="E61" s="276" t="s">
        <v>3746</v>
      </c>
      <c r="F61" s="307" t="s">
        <v>3752</v>
      </c>
      <c r="G61" s="276" t="s">
        <v>3743</v>
      </c>
      <c r="H61" s="277" t="s">
        <v>3744</v>
      </c>
      <c r="I61" s="277" t="s">
        <v>1994</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6" sqref="D1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2011-038 Thomson Estates, Thomson, McDuffie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3384</v>
      </c>
      <c r="D5" s="1438"/>
      <c r="E5" s="891" t="s">
        <v>1552</v>
      </c>
      <c r="F5" s="892"/>
      <c r="G5" s="219"/>
    </row>
    <row r="6" spans="1:17">
      <c r="E6" s="892"/>
      <c r="F6" s="892"/>
      <c r="G6" s="219"/>
    </row>
    <row r="7" spans="1:17">
      <c r="A7" s="31" t="s">
        <v>3734</v>
      </c>
      <c r="C7" s="31" t="s">
        <v>3735</v>
      </c>
      <c r="D7" s="1439"/>
      <c r="E7" s="892"/>
      <c r="F7" s="892"/>
      <c r="G7" s="219"/>
    </row>
    <row r="8" spans="1:17">
      <c r="C8" s="31" t="s">
        <v>3736</v>
      </c>
      <c r="D8" s="1439"/>
      <c r="E8" s="892"/>
      <c r="F8" s="892"/>
      <c r="G8" s="219"/>
    </row>
    <row r="9" spans="1:17">
      <c r="C9" s="31" t="s">
        <v>3737</v>
      </c>
      <c r="D9" s="1439"/>
      <c r="E9" s="892"/>
      <c r="F9" s="892"/>
      <c r="G9" s="219"/>
    </row>
    <row r="10" spans="1:17">
      <c r="C10" s="31" t="s">
        <v>3750</v>
      </c>
      <c r="D10" s="318">
        <f>D7+D8+D9</f>
        <v>0</v>
      </c>
      <c r="E10" s="892"/>
      <c r="F10" s="892"/>
      <c r="G10" s="219"/>
    </row>
    <row r="11" spans="1:17">
      <c r="F11" s="219"/>
      <c r="G11" s="219"/>
    </row>
    <row r="12" spans="1:17">
      <c r="A12" s="31" t="s">
        <v>2741</v>
      </c>
      <c r="D12" s="1440"/>
      <c r="E12" s="31" t="s">
        <v>3229</v>
      </c>
      <c r="F12" s="219"/>
      <c r="G12" s="219"/>
    </row>
    <row r="13" spans="1:17">
      <c r="D13" s="273"/>
      <c r="F13" s="219"/>
      <c r="G13" s="219"/>
    </row>
    <row r="14" spans="1:17">
      <c r="A14" s="31" t="s">
        <v>3739</v>
      </c>
      <c r="D14" s="1441"/>
      <c r="E14" s="31" t="s">
        <v>3740</v>
      </c>
      <c r="F14" s="319"/>
    </row>
    <row r="15" spans="1:17">
      <c r="D15" s="292"/>
      <c r="F15" s="319"/>
    </row>
    <row r="16" spans="1:17">
      <c r="A16" s="31" t="s">
        <v>3741</v>
      </c>
      <c r="D16" s="1441"/>
      <c r="E16" s="31" t="s">
        <v>3740</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889" t="s">
        <v>2742</v>
      </c>
      <c r="B24" s="889"/>
      <c r="C24" s="889"/>
      <c r="D24" s="889"/>
      <c r="E24" s="889"/>
      <c r="F24" s="889"/>
      <c r="J24" s="321"/>
    </row>
    <row r="25" spans="1:10">
      <c r="C25" s="273"/>
      <c r="J25" s="321"/>
    </row>
    <row r="26" spans="1:10">
      <c r="A26" s="141"/>
      <c r="B26" s="111"/>
      <c r="C26" s="893" t="s">
        <v>3383</v>
      </c>
      <c r="D26" s="316"/>
      <c r="E26" s="111"/>
      <c r="F26" s="893" t="s">
        <v>3383</v>
      </c>
      <c r="J26" s="321"/>
    </row>
    <row r="27" spans="1:10">
      <c r="A27" s="322" t="s">
        <v>3752</v>
      </c>
      <c r="B27" s="736" t="s">
        <v>1646</v>
      </c>
      <c r="C27" s="894"/>
      <c r="D27" s="323" t="s">
        <v>3752</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2011-038 Thomson Estates, Thomson, McDuffie County</v>
      </c>
      <c r="B50" s="886"/>
      <c r="C50" s="886"/>
      <c r="D50" s="886"/>
      <c r="E50" s="886"/>
      <c r="F50" s="886"/>
      <c r="G50" s="300"/>
      <c r="H50" s="300"/>
    </row>
    <row r="51" spans="1:10" ht="15">
      <c r="A51" s="887" t="s">
        <v>3742</v>
      </c>
      <c r="B51" s="887"/>
      <c r="C51" s="887"/>
      <c r="D51" s="887"/>
      <c r="E51" s="887"/>
      <c r="F51" s="887"/>
      <c r="G51" s="333"/>
      <c r="H51" s="333"/>
      <c r="I51" s="333"/>
      <c r="J51" s="333"/>
    </row>
    <row r="52" spans="1:10" ht="5.45" customHeight="1">
      <c r="C52" s="273"/>
      <c r="D52" s="273"/>
      <c r="G52" s="278"/>
      <c r="H52" s="272"/>
      <c r="I52" s="278"/>
    </row>
    <row r="53" spans="1:10">
      <c r="A53" s="276" t="s">
        <v>3743</v>
      </c>
      <c r="B53" s="276" t="s">
        <v>3744</v>
      </c>
      <c r="C53" s="276" t="s">
        <v>1994</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7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2" zoomScaleNormal="85" zoomScaleSheetLayoutView="90" workbookViewId="0">
      <selection activeCell="S159" sqref="S15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2011-038 Thomson Estates, Thomson, McDuffie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950</v>
      </c>
      <c r="B5" s="461" t="s">
        <v>1494</v>
      </c>
      <c r="H5" s="721"/>
      <c r="I5" s="721"/>
      <c r="J5" s="895" t="s">
        <v>359</v>
      </c>
      <c r="K5" s="896"/>
      <c r="L5" s="522"/>
      <c r="M5" s="943" t="s">
        <v>720</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3077</v>
      </c>
      <c r="G8" s="1397">
        <v>6500</v>
      </c>
      <c r="H8" s="1398"/>
      <c r="J8" s="1397">
        <v>6500</v>
      </c>
      <c r="K8" s="1398"/>
      <c r="L8" s="732"/>
      <c r="M8" s="1397"/>
      <c r="N8" s="1398"/>
      <c r="P8" s="1397"/>
      <c r="Q8" s="1398"/>
      <c r="S8" s="1397"/>
      <c r="T8" s="1398"/>
    </row>
    <row r="9" spans="1:21" s="458" customFormat="1" ht="12.6" customHeight="1">
      <c r="B9" s="458" t="s">
        <v>671</v>
      </c>
      <c r="G9" s="1397">
        <v>9500</v>
      </c>
      <c r="H9" s="1398"/>
      <c r="J9" s="1397">
        <v>9500</v>
      </c>
      <c r="K9" s="1398"/>
      <c r="L9" s="732"/>
      <c r="M9" s="1397"/>
      <c r="N9" s="1398"/>
      <c r="P9" s="1397"/>
      <c r="Q9" s="1398"/>
      <c r="S9" s="1397"/>
      <c r="T9" s="1398"/>
    </row>
    <row r="10" spans="1:21" s="458" customFormat="1" ht="12.6" customHeight="1">
      <c r="B10" s="458" t="s">
        <v>717</v>
      </c>
      <c r="G10" s="1397">
        <v>10500</v>
      </c>
      <c r="H10" s="1398"/>
      <c r="J10" s="1397">
        <v>10500</v>
      </c>
      <c r="K10" s="1398"/>
      <c r="L10" s="732"/>
      <c r="M10" s="1397"/>
      <c r="N10" s="1398"/>
      <c r="P10" s="1397"/>
      <c r="Q10" s="1398"/>
      <c r="S10" s="1397"/>
      <c r="T10" s="1398"/>
    </row>
    <row r="11" spans="1:21" s="458" customFormat="1" ht="12.6" customHeight="1">
      <c r="B11" s="458" t="s">
        <v>718</v>
      </c>
      <c r="G11" s="1397">
        <v>5000</v>
      </c>
      <c r="H11" s="1398"/>
      <c r="J11" s="1397">
        <v>5000</v>
      </c>
      <c r="K11" s="1398"/>
      <c r="L11" s="732"/>
      <c r="M11" s="1397"/>
      <c r="N11" s="1398"/>
      <c r="P11" s="1397"/>
      <c r="Q11" s="1398"/>
      <c r="S11" s="1397"/>
      <c r="T11" s="1398"/>
    </row>
    <row r="12" spans="1:21" s="458" customFormat="1" ht="12.6" customHeight="1">
      <c r="B12" s="458" t="s">
        <v>3778</v>
      </c>
      <c r="G12" s="1397">
        <v>20000</v>
      </c>
      <c r="H12" s="1398"/>
      <c r="J12" s="1397">
        <v>20000</v>
      </c>
      <c r="K12" s="1398"/>
      <c r="L12" s="732"/>
      <c r="M12" s="1397"/>
      <c r="N12" s="1398"/>
      <c r="P12" s="1397"/>
      <c r="Q12" s="1398"/>
      <c r="S12" s="1397"/>
      <c r="T12" s="1398"/>
    </row>
    <row r="13" spans="1:21" s="458" customFormat="1" ht="12.6" customHeight="1">
      <c r="B13" s="458" t="s">
        <v>248</v>
      </c>
      <c r="G13" s="1397">
        <v>2500</v>
      </c>
      <c r="H13" s="1398"/>
      <c r="J13" s="1397">
        <v>2500</v>
      </c>
      <c r="K13" s="1398"/>
      <c r="L13" s="732"/>
      <c r="M13" s="1397"/>
      <c r="N13" s="1398"/>
      <c r="P13" s="1397"/>
      <c r="Q13" s="1398"/>
      <c r="S13" s="1397"/>
      <c r="T13" s="1398"/>
    </row>
    <row r="14" spans="1:21" s="458" customFormat="1" ht="12.6" customHeight="1">
      <c r="A14" s="562" t="str">
        <f>IF(AND(G14&gt;0,OR(C14="",C14="&lt;Enter detailed description here; use Comments section if needed&gt;")),"X","")</f>
        <v/>
      </c>
      <c r="B14" s="458" t="s">
        <v>1230</v>
      </c>
      <c r="C14" s="1399" t="s">
        <v>3658</v>
      </c>
      <c r="D14" s="1399"/>
      <c r="E14" s="1399"/>
      <c r="F14" s="1400"/>
      <c r="G14" s="1397"/>
      <c r="H14" s="1398"/>
      <c r="J14" s="1397"/>
      <c r="K14" s="1398"/>
      <c r="L14" s="732"/>
      <c r="M14" s="1397"/>
      <c r="N14" s="1398"/>
      <c r="P14" s="1397"/>
      <c r="Q14" s="1398"/>
      <c r="S14" s="1397"/>
      <c r="T14" s="1398"/>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9" t="s">
        <v>3658</v>
      </c>
      <c r="D15" s="1399"/>
      <c r="E15" s="1399"/>
      <c r="F15" s="1400"/>
      <c r="G15" s="1397"/>
      <c r="H15" s="1398"/>
      <c r="J15" s="1397"/>
      <c r="K15" s="1398"/>
      <c r="L15" s="732"/>
      <c r="M15" s="1397"/>
      <c r="N15" s="1398"/>
      <c r="P15" s="1397"/>
      <c r="Q15" s="1398"/>
      <c r="S15" s="1397"/>
      <c r="T15" s="1398"/>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9" t="s">
        <v>3658</v>
      </c>
      <c r="D16" s="1399"/>
      <c r="E16" s="1399"/>
      <c r="F16" s="1400"/>
      <c r="G16" s="1397"/>
      <c r="H16" s="1398"/>
      <c r="J16" s="1401"/>
      <c r="K16" s="1402"/>
      <c r="L16" s="732"/>
      <c r="M16" s="1397"/>
      <c r="N16" s="1398"/>
      <c r="P16" s="1397"/>
      <c r="Q16" s="1398"/>
      <c r="S16" s="1401"/>
      <c r="T16" s="1402"/>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54000</v>
      </c>
      <c r="H17" s="900"/>
      <c r="J17" s="899">
        <f>SUM(J8:K16)</f>
        <v>54000</v>
      </c>
      <c r="K17" s="947"/>
      <c r="L17" s="732"/>
      <c r="M17" s="899">
        <f>SUM(M8:N16)</f>
        <v>0</v>
      </c>
      <c r="N17" s="900"/>
      <c r="P17" s="899">
        <f>SUM(P8:Q16)</f>
        <v>0</v>
      </c>
      <c r="Q17" s="900"/>
      <c r="S17" s="899">
        <f>SUM(S8:T16)</f>
        <v>0</v>
      </c>
      <c r="T17" s="900"/>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97">
        <v>492200</v>
      </c>
      <c r="H19" s="1398"/>
      <c r="J19" s="525"/>
      <c r="K19" s="522"/>
      <c r="L19" s="525"/>
      <c r="M19" s="525"/>
      <c r="N19" s="522"/>
      <c r="P19" s="525"/>
      <c r="Q19" s="522"/>
      <c r="S19" s="1397">
        <v>492200</v>
      </c>
      <c r="T19" s="1398"/>
    </row>
    <row r="20" spans="2:20" s="458" customFormat="1" ht="12.6" customHeight="1">
      <c r="B20" s="458" t="s">
        <v>1750</v>
      </c>
      <c r="G20" s="1397">
        <v>12000</v>
      </c>
      <c r="H20" s="1398"/>
      <c r="J20" s="525"/>
      <c r="K20" s="522"/>
      <c r="L20" s="525"/>
      <c r="M20" s="525"/>
      <c r="N20" s="522"/>
      <c r="P20" s="525"/>
      <c r="Q20" s="522"/>
      <c r="S20" s="1397">
        <v>12000</v>
      </c>
      <c r="T20" s="1398"/>
    </row>
    <row r="21" spans="2:20" s="458" customFormat="1" ht="12.6" customHeight="1">
      <c r="B21" s="458" t="s">
        <v>672</v>
      </c>
      <c r="G21" s="1397">
        <v>5000</v>
      </c>
      <c r="H21" s="1398"/>
      <c r="J21" s="525"/>
      <c r="K21" s="522"/>
      <c r="L21" s="525"/>
      <c r="M21" s="1397"/>
      <c r="N21" s="1398"/>
      <c r="P21" s="525"/>
      <c r="Q21" s="522"/>
      <c r="S21" s="1397">
        <v>5000</v>
      </c>
      <c r="T21" s="1398"/>
    </row>
    <row r="22" spans="2:20" s="458" customFormat="1" ht="12.6" customHeight="1" thickBot="1">
      <c r="B22" s="458" t="s">
        <v>637</v>
      </c>
      <c r="G22" s="1403"/>
      <c r="H22" s="1404"/>
      <c r="J22" s="525"/>
      <c r="K22" s="522"/>
      <c r="L22" s="525"/>
      <c r="M22" s="1403"/>
      <c r="N22" s="1404"/>
      <c r="P22" s="525"/>
      <c r="Q22" s="522"/>
      <c r="S22" s="1397"/>
      <c r="T22" s="1398"/>
    </row>
    <row r="23" spans="2:20" s="458" customFormat="1" ht="12.6" customHeight="1" thickTop="1">
      <c r="F23" s="523" t="s">
        <v>249</v>
      </c>
      <c r="G23" s="899">
        <f>SUM(G19:H22)</f>
        <v>509200</v>
      </c>
      <c r="H23" s="900"/>
      <c r="J23" s="525"/>
      <c r="K23" s="522"/>
      <c r="L23" s="525"/>
      <c r="M23" s="899">
        <f>SUM(M21:N22)</f>
        <v>0</v>
      </c>
      <c r="N23" s="900"/>
      <c r="P23" s="525"/>
      <c r="Q23" s="522"/>
      <c r="S23" s="899">
        <f>SUM(S19:T22)</f>
        <v>509200</v>
      </c>
      <c r="T23" s="900"/>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7">
        <v>965500</v>
      </c>
      <c r="H25" s="1398"/>
      <c r="J25" s="1401">
        <v>917225</v>
      </c>
      <c r="K25" s="1402"/>
      <c r="L25" s="732"/>
      <c r="M25" s="1401"/>
      <c r="N25" s="1402"/>
      <c r="P25" s="1401"/>
      <c r="Q25" s="1402"/>
      <c r="S25" s="1397">
        <v>48275</v>
      </c>
      <c r="T25" s="1398"/>
    </row>
    <row r="26" spans="2:20" s="458" customFormat="1" ht="12.6" customHeight="1" thickBot="1">
      <c r="B26" s="458" t="s">
        <v>1753</v>
      </c>
      <c r="G26" s="1397">
        <v>30000</v>
      </c>
      <c r="H26" s="1398"/>
      <c r="J26" s="1401"/>
      <c r="K26" s="1402"/>
      <c r="L26" s="526"/>
      <c r="M26" s="955"/>
      <c r="N26" s="955"/>
      <c r="P26" s="955"/>
      <c r="Q26" s="955"/>
      <c r="S26" s="1397">
        <v>30000</v>
      </c>
      <c r="T26" s="1398"/>
    </row>
    <row r="27" spans="2:20" s="458" customFormat="1" ht="12.6" customHeight="1" thickTop="1">
      <c r="F27" s="523" t="s">
        <v>249</v>
      </c>
      <c r="G27" s="899">
        <f>SUM(G25:H26)</f>
        <v>995500</v>
      </c>
      <c r="H27" s="900"/>
      <c r="J27" s="899">
        <f>SUM(J25:K26)</f>
        <v>917225</v>
      </c>
      <c r="K27" s="900"/>
      <c r="L27" s="525"/>
      <c r="M27" s="899">
        <f>M25</f>
        <v>0</v>
      </c>
      <c r="N27" s="900"/>
      <c r="P27" s="899">
        <f>P25</f>
        <v>0</v>
      </c>
      <c r="Q27" s="900"/>
      <c r="S27" s="899">
        <f>SUM(S25:T26)</f>
        <v>78275</v>
      </c>
      <c r="T27" s="900"/>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7">
        <v>2746800</v>
      </c>
      <c r="H29" s="1398"/>
      <c r="J29" s="1397">
        <v>2746800</v>
      </c>
      <c r="K29" s="1398"/>
      <c r="L29" s="732"/>
      <c r="M29" s="1397"/>
      <c r="N29" s="1398"/>
      <c r="P29" s="1397"/>
      <c r="Q29" s="1398"/>
      <c r="S29" s="1397"/>
      <c r="T29" s="1398"/>
    </row>
    <row r="30" spans="2:20" s="458" customFormat="1" ht="12.6" customHeight="1">
      <c r="B30" s="458" t="s">
        <v>1756</v>
      </c>
      <c r="G30" s="1397"/>
      <c r="H30" s="1398"/>
      <c r="J30" s="1397"/>
      <c r="K30" s="1398"/>
      <c r="L30" s="732"/>
      <c r="M30" s="1397"/>
      <c r="N30" s="1398"/>
      <c r="P30" s="1397"/>
      <c r="Q30" s="1398"/>
      <c r="S30" s="1397"/>
      <c r="T30" s="1398"/>
    </row>
    <row r="31" spans="2:20" ht="12.6" customHeight="1" thickBot="1">
      <c r="B31" s="458" t="s">
        <v>1757</v>
      </c>
      <c r="G31" s="1397">
        <v>155000</v>
      </c>
      <c r="H31" s="1398"/>
      <c r="I31" s="458"/>
      <c r="J31" s="1397">
        <v>155000</v>
      </c>
      <c r="K31" s="1398"/>
      <c r="L31" s="732"/>
      <c r="M31" s="1397"/>
      <c r="N31" s="1398"/>
      <c r="O31" s="458"/>
      <c r="P31" s="1397"/>
      <c r="Q31" s="1398"/>
      <c r="R31" s="458"/>
      <c r="S31" s="1397"/>
      <c r="T31" s="1398"/>
    </row>
    <row r="32" spans="2:20" s="458" customFormat="1" ht="12.6" customHeight="1" thickTop="1">
      <c r="C32" s="950"/>
      <c r="D32" s="950"/>
      <c r="E32" s="734"/>
      <c r="F32" s="523" t="s">
        <v>249</v>
      </c>
      <c r="G32" s="899">
        <f>SUM(G29:H31)</f>
        <v>2901800</v>
      </c>
      <c r="H32" s="900"/>
      <c r="J32" s="899">
        <f>SUM(J29:K31)</f>
        <v>2901800</v>
      </c>
      <c r="K32" s="900"/>
      <c r="L32" s="732"/>
      <c r="M32" s="899">
        <f>SUM(M29:N31)</f>
        <v>0</v>
      </c>
      <c r="N32" s="900"/>
      <c r="P32" s="899">
        <f>SUM(P29:Q31)</f>
        <v>0</v>
      </c>
      <c r="Q32" s="900"/>
      <c r="S32" s="899">
        <f>SUM(S29:T31)</f>
        <v>0</v>
      </c>
      <c r="T32" s="900"/>
    </row>
    <row r="33" spans="1:20" s="458" customFormat="1" ht="13.15" customHeight="1">
      <c r="B33" s="461" t="s">
        <v>3491</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233838</v>
      </c>
      <c r="G34" s="1397">
        <v>233838</v>
      </c>
      <c r="H34" s="1398"/>
      <c r="I34" s="482"/>
      <c r="J34" s="1397">
        <v>233838</v>
      </c>
      <c r="K34" s="1398"/>
      <c r="L34" s="732"/>
      <c r="M34" s="1397"/>
      <c r="N34" s="1398"/>
      <c r="P34" s="1397"/>
      <c r="Q34" s="1398"/>
      <c r="S34" s="1397"/>
      <c r="T34" s="1398"/>
    </row>
    <row r="35" spans="1:20" s="458" customFormat="1" ht="12.6" customHeight="1" thickBot="1">
      <c r="B35" s="458" t="s">
        <v>3128</v>
      </c>
      <c r="E35" s="619">
        <f>'DCA Underwriting Assumptions'!$R$39+'DCA Underwriting Assumptions'!$R$40</f>
        <v>0.08</v>
      </c>
      <c r="F35" s="620">
        <f>E35*($G$27+$G$32)</f>
        <v>311784</v>
      </c>
      <c r="G35" s="1397">
        <v>311784</v>
      </c>
      <c r="H35" s="1398"/>
      <c r="I35" s="482"/>
      <c r="J35" s="1397">
        <v>311784</v>
      </c>
      <c r="K35" s="1398"/>
      <c r="L35" s="732"/>
      <c r="M35" s="1397"/>
      <c r="N35" s="1398"/>
      <c r="P35" s="1397"/>
      <c r="Q35" s="1398"/>
      <c r="S35" s="1397"/>
      <c r="T35" s="1398"/>
    </row>
    <row r="36" spans="1:20" s="458" customFormat="1" ht="12.6" customHeight="1" thickTop="1">
      <c r="B36" s="458" t="s">
        <v>3129</v>
      </c>
      <c r="D36" s="530"/>
      <c r="E36" s="721"/>
      <c r="F36" s="621" t="s">
        <v>249</v>
      </c>
      <c r="G36" s="899">
        <f>SUM(G34:H35)</f>
        <v>545622</v>
      </c>
      <c r="H36" s="900"/>
      <c r="J36" s="899">
        <f>SUM(J34:K35)</f>
        <v>545622</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1760</v>
      </c>
      <c r="C38" s="532"/>
      <c r="D38" s="533">
        <f>B39/'Part VI-Revenues &amp; Expenses'!$M$63</f>
        <v>120078.97297297297</v>
      </c>
      <c r="E38" s="533"/>
      <c r="F38" s="534" t="s">
        <v>2110</v>
      </c>
    </row>
    <row r="39" spans="1:20" s="458" customFormat="1" ht="12.6" customHeight="1">
      <c r="B39" s="951">
        <f>G27+G32+G36</f>
        <v>4442922</v>
      </c>
      <c r="C39" s="952"/>
      <c r="D39" s="535">
        <f>B39/'Part VI-Revenues &amp; Expenses'!$M$98</f>
        <v>86.775820312500002</v>
      </c>
      <c r="E39" s="535"/>
      <c r="F39" s="536" t="s">
        <v>1337</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3036</v>
      </c>
      <c r="F42" s="646">
        <f>G42/$B$39</f>
        <v>4.352203347256603E-2</v>
      </c>
      <c r="G42" s="1397">
        <v>193365</v>
      </c>
      <c r="H42" s="1398"/>
      <c r="I42" s="458"/>
      <c r="J42" s="1397">
        <v>174029</v>
      </c>
      <c r="K42" s="1398"/>
      <c r="L42" s="732"/>
      <c r="M42" s="1397"/>
      <c r="N42" s="1398"/>
      <c r="O42" s="458"/>
      <c r="P42" s="1397"/>
      <c r="Q42" s="1398"/>
      <c r="R42" s="458"/>
      <c r="S42" s="1397">
        <v>19337</v>
      </c>
      <c r="T42" s="1398"/>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950</v>
      </c>
      <c r="B45" s="461" t="s">
        <v>1494</v>
      </c>
      <c r="H45" s="721"/>
      <c r="I45" s="721"/>
      <c r="J45" s="895" t="s">
        <v>359</v>
      </c>
      <c r="K45" s="896"/>
      <c r="L45" s="522"/>
      <c r="M45" s="943" t="s">
        <v>720</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3494</v>
      </c>
      <c r="G48" s="1397">
        <v>40000</v>
      </c>
      <c r="H48" s="1398"/>
      <c r="J48" s="1397">
        <v>40000</v>
      </c>
      <c r="K48" s="1398"/>
      <c r="L48" s="732"/>
      <c r="M48" s="1397"/>
      <c r="N48" s="1398"/>
      <c r="P48" s="1397"/>
      <c r="Q48" s="1398"/>
      <c r="S48" s="1397"/>
      <c r="T48" s="1398"/>
    </row>
    <row r="49" spans="1:21" s="458" customFormat="1" ht="13.15" customHeight="1">
      <c r="B49" s="458" t="s">
        <v>3495</v>
      </c>
      <c r="G49" s="1397">
        <v>112458</v>
      </c>
      <c r="H49" s="1398"/>
      <c r="J49" s="1397">
        <v>78721</v>
      </c>
      <c r="K49" s="1398"/>
      <c r="L49" s="732"/>
      <c r="M49" s="1397"/>
      <c r="N49" s="1398"/>
      <c r="P49" s="1397"/>
      <c r="Q49" s="1398"/>
      <c r="S49" s="1397">
        <v>33737</v>
      </c>
      <c r="T49" s="1398"/>
    </row>
    <row r="50" spans="1:21" s="458" customFormat="1" ht="13.15" customHeight="1">
      <c r="B50" s="458" t="s">
        <v>3496</v>
      </c>
      <c r="G50" s="1397">
        <v>17500</v>
      </c>
      <c r="H50" s="1398"/>
      <c r="J50" s="1397">
        <v>17500</v>
      </c>
      <c r="K50" s="1398"/>
      <c r="L50" s="732"/>
      <c r="M50" s="1397"/>
      <c r="N50" s="1398"/>
      <c r="P50" s="1397"/>
      <c r="Q50" s="1398"/>
      <c r="S50" s="1397"/>
      <c r="T50" s="1398"/>
    </row>
    <row r="51" spans="1:21" s="458" customFormat="1" ht="13.15" customHeight="1">
      <c r="B51" s="458" t="s">
        <v>1092</v>
      </c>
      <c r="G51" s="1397">
        <v>12755</v>
      </c>
      <c r="H51" s="1398"/>
      <c r="J51" s="1397">
        <v>12755</v>
      </c>
      <c r="K51" s="1398"/>
      <c r="L51" s="732"/>
      <c r="M51" s="1397"/>
      <c r="N51" s="1398"/>
      <c r="P51" s="1397"/>
      <c r="Q51" s="1398"/>
      <c r="S51" s="1397"/>
      <c r="T51" s="1398"/>
    </row>
    <row r="52" spans="1:21" s="458" customFormat="1" ht="13.15" customHeight="1">
      <c r="B52" s="458" t="s">
        <v>3497</v>
      </c>
      <c r="G52" s="1397">
        <v>20528</v>
      </c>
      <c r="H52" s="1398"/>
      <c r="J52" s="1397">
        <v>20528</v>
      </c>
      <c r="K52" s="1398"/>
      <c r="L52" s="732"/>
      <c r="M52" s="1397"/>
      <c r="N52" s="1398"/>
      <c r="P52" s="1397"/>
      <c r="Q52" s="1398"/>
      <c r="S52" s="1397"/>
      <c r="T52" s="1398"/>
    </row>
    <row r="53" spans="1:21" s="458" customFormat="1" ht="13.15" customHeight="1">
      <c r="B53" s="458" t="s">
        <v>371</v>
      </c>
      <c r="G53" s="1397"/>
      <c r="H53" s="1398"/>
      <c r="J53" s="1397"/>
      <c r="K53" s="1398"/>
      <c r="L53" s="732"/>
      <c r="M53" s="1397"/>
      <c r="N53" s="1398"/>
      <c r="P53" s="1397"/>
      <c r="Q53" s="1398"/>
      <c r="S53" s="1397"/>
      <c r="T53" s="1398"/>
    </row>
    <row r="54" spans="1:21" s="458" customFormat="1" ht="12.6" customHeight="1">
      <c r="B54" s="529" t="s">
        <v>1795</v>
      </c>
      <c r="D54" s="527"/>
      <c r="E54" s="527"/>
      <c r="F54" s="528"/>
      <c r="G54" s="1397">
        <v>77946</v>
      </c>
      <c r="H54" s="1398"/>
      <c r="I54" s="482"/>
      <c r="J54" s="1397">
        <v>77946</v>
      </c>
      <c r="K54" s="1398"/>
      <c r="L54" s="732"/>
      <c r="M54" s="1397"/>
      <c r="N54" s="1398"/>
      <c r="P54" s="1397"/>
      <c r="Q54" s="1398"/>
      <c r="S54" s="1397"/>
      <c r="T54" s="1398"/>
    </row>
    <row r="55" spans="1:21" s="458" customFormat="1" ht="13.15" customHeight="1" thickBot="1">
      <c r="A55" s="562" t="str">
        <f>IF(AND(G55&gt;0,OR(C55="",C55="&lt;Enter detailed description here; use Comments section if needed&gt;")),"X","")</f>
        <v/>
      </c>
      <c r="B55" s="458" t="s">
        <v>1230</v>
      </c>
      <c r="C55" s="1399" t="s">
        <v>3658</v>
      </c>
      <c r="D55" s="1399"/>
      <c r="E55" s="1399"/>
      <c r="F55" s="1400"/>
      <c r="G55" s="1403"/>
      <c r="H55" s="1404"/>
      <c r="J55" s="1403"/>
      <c r="K55" s="1404"/>
      <c r="L55" s="732"/>
      <c r="M55" s="1403"/>
      <c r="N55" s="1404"/>
      <c r="P55" s="1403"/>
      <c r="Q55" s="1404"/>
      <c r="S55" s="1397"/>
      <c r="T55" s="1398"/>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281187</v>
      </c>
      <c r="H56" s="900"/>
      <c r="J56" s="899">
        <f>SUM(J48:K55)</f>
        <v>247450</v>
      </c>
      <c r="K56" s="900"/>
      <c r="L56" s="525"/>
      <c r="M56" s="899">
        <f>SUM(M48:N55)</f>
        <v>0</v>
      </c>
      <c r="N56" s="900"/>
      <c r="P56" s="899">
        <f>SUM(P48:Q55)</f>
        <v>0</v>
      </c>
      <c r="Q56" s="900"/>
      <c r="S56" s="899">
        <f>SUM(S48:T55)</f>
        <v>33737</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7">
        <v>16800</v>
      </c>
      <c r="H58" s="1398"/>
      <c r="J58" s="1397">
        <v>16800</v>
      </c>
      <c r="K58" s="1398"/>
      <c r="L58" s="732"/>
      <c r="M58" s="1397"/>
      <c r="N58" s="1398"/>
      <c r="P58" s="1397"/>
      <c r="Q58" s="1398"/>
      <c r="S58" s="1397"/>
      <c r="T58" s="1398"/>
    </row>
    <row r="59" spans="1:21" s="458" customFormat="1" ht="13.15" customHeight="1">
      <c r="B59" s="458" t="s">
        <v>706</v>
      </c>
      <c r="G59" s="1397">
        <v>27400</v>
      </c>
      <c r="H59" s="1398"/>
      <c r="J59" s="1397">
        <v>27400</v>
      </c>
      <c r="K59" s="1398"/>
      <c r="L59" s="732"/>
      <c r="M59" s="1397"/>
      <c r="N59" s="1398"/>
      <c r="P59" s="1397"/>
      <c r="Q59" s="1398"/>
      <c r="S59" s="1397"/>
      <c r="T59" s="1398"/>
    </row>
    <row r="60" spans="1:21" s="458" customFormat="1" ht="13.15" customHeight="1">
      <c r="B60" s="458" t="s">
        <v>1761</v>
      </c>
      <c r="G60" s="1397"/>
      <c r="H60" s="1398"/>
      <c r="J60" s="1397"/>
      <c r="K60" s="1398"/>
      <c r="L60" s="732"/>
      <c r="M60" s="1397"/>
      <c r="N60" s="1398"/>
      <c r="P60" s="1397"/>
      <c r="Q60" s="1398"/>
      <c r="S60" s="1397"/>
      <c r="T60" s="1398"/>
    </row>
    <row r="61" spans="1:21" s="458" customFormat="1" ht="13.15" customHeight="1">
      <c r="B61" s="458" t="s">
        <v>1762</v>
      </c>
      <c r="G61" s="1397">
        <v>38000</v>
      </c>
      <c r="H61" s="1398"/>
      <c r="J61" s="1397">
        <v>38000</v>
      </c>
      <c r="K61" s="1398"/>
      <c r="L61" s="732"/>
      <c r="M61" s="1397"/>
      <c r="N61" s="1398"/>
      <c r="P61" s="1397"/>
      <c r="Q61" s="1398"/>
      <c r="S61" s="1397"/>
      <c r="T61" s="1398"/>
    </row>
    <row r="62" spans="1:21" s="458" customFormat="1" ht="13.15" customHeight="1">
      <c r="B62" s="458" t="s">
        <v>1763</v>
      </c>
      <c r="G62" s="1397">
        <v>6450</v>
      </c>
      <c r="H62" s="1398"/>
      <c r="J62" s="1397">
        <v>6450</v>
      </c>
      <c r="K62" s="1398"/>
      <c r="L62" s="732"/>
      <c r="M62" s="1397"/>
      <c r="N62" s="1398"/>
      <c r="P62" s="1397"/>
      <c r="Q62" s="1398"/>
      <c r="S62" s="1397"/>
      <c r="T62" s="1398"/>
    </row>
    <row r="63" spans="1:21" s="458" customFormat="1" ht="13.15" customHeight="1">
      <c r="B63" s="458" t="s">
        <v>1764</v>
      </c>
      <c r="G63" s="1397">
        <v>5000</v>
      </c>
      <c r="H63" s="1398"/>
      <c r="J63" s="1397">
        <v>5000</v>
      </c>
      <c r="K63" s="1398"/>
      <c r="L63" s="732"/>
      <c r="M63" s="1397"/>
      <c r="N63" s="1398"/>
      <c r="P63" s="1397"/>
      <c r="Q63" s="1398"/>
      <c r="S63" s="1397"/>
      <c r="T63" s="1398"/>
    </row>
    <row r="64" spans="1:21" s="458" customFormat="1" ht="13.15" customHeight="1">
      <c r="B64" s="458" t="s">
        <v>707</v>
      </c>
      <c r="G64" s="1397">
        <v>33300</v>
      </c>
      <c r="H64" s="1398"/>
      <c r="J64" s="1397">
        <v>33300</v>
      </c>
      <c r="K64" s="1398"/>
      <c r="L64" s="732"/>
      <c r="M64" s="1397"/>
      <c r="N64" s="1398"/>
      <c r="P64" s="1397"/>
      <c r="Q64" s="1398"/>
      <c r="S64" s="1397"/>
      <c r="T64" s="1398"/>
    </row>
    <row r="65" spans="1:21" s="458" customFormat="1" ht="13.15" customHeight="1">
      <c r="B65" s="458" t="s">
        <v>708</v>
      </c>
      <c r="G65" s="1397">
        <v>45000</v>
      </c>
      <c r="H65" s="1398"/>
      <c r="J65" s="1397">
        <v>45000</v>
      </c>
      <c r="K65" s="1398"/>
      <c r="L65" s="732"/>
      <c r="M65" s="1397"/>
      <c r="N65" s="1398"/>
      <c r="P65" s="1397"/>
      <c r="Q65" s="1398"/>
      <c r="S65" s="1397"/>
      <c r="T65" s="1398"/>
    </row>
    <row r="66" spans="1:21" s="458" customFormat="1" ht="13.15" customHeight="1">
      <c r="B66" s="458" t="s">
        <v>3139</v>
      </c>
      <c r="G66" s="1397">
        <v>20000</v>
      </c>
      <c r="H66" s="1398"/>
      <c r="J66" s="1397">
        <v>20000</v>
      </c>
      <c r="K66" s="1398"/>
      <c r="L66" s="732"/>
      <c r="M66" s="1397"/>
      <c r="N66" s="1398"/>
      <c r="P66" s="1397"/>
      <c r="Q66" s="1398"/>
      <c r="S66" s="1397"/>
      <c r="T66" s="1398"/>
    </row>
    <row r="67" spans="1:21" s="458" customFormat="1" ht="13.15" customHeight="1" thickBot="1">
      <c r="A67" s="562" t="str">
        <f>IF(AND(G67&gt;0,OR(C67="",C67="&lt;Enter detailed description here; use Comments section if needed&gt;")),"X","")</f>
        <v/>
      </c>
      <c r="B67" s="458" t="s">
        <v>1230</v>
      </c>
      <c r="C67" s="1399" t="s">
        <v>3658</v>
      </c>
      <c r="D67" s="1399"/>
      <c r="E67" s="1399"/>
      <c r="F67" s="1400"/>
      <c r="G67" s="1397"/>
      <c r="H67" s="1398"/>
      <c r="J67" s="1397"/>
      <c r="K67" s="1398"/>
      <c r="L67" s="732"/>
      <c r="M67" s="1397"/>
      <c r="N67" s="1398"/>
      <c r="P67" s="1397"/>
      <c r="Q67" s="1398"/>
      <c r="S67" s="1397"/>
      <c r="T67" s="1398"/>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191950</v>
      </c>
      <c r="H68" s="900"/>
      <c r="J68" s="899">
        <f>SUM(J58:K67)</f>
        <v>191950</v>
      </c>
      <c r="K68" s="900"/>
      <c r="L68" s="525"/>
      <c r="M68" s="899">
        <f>SUM(M58:N67)</f>
        <v>0</v>
      </c>
      <c r="N68" s="900"/>
      <c r="P68" s="899">
        <f>SUM(P58:Q67)</f>
        <v>0</v>
      </c>
      <c r="Q68" s="900"/>
      <c r="S68" s="899">
        <f>SUM(S58:T67)</f>
        <v>0</v>
      </c>
      <c r="T68" s="900"/>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7">
        <v>7612</v>
      </c>
      <c r="H70" s="1398"/>
      <c r="J70" s="1397">
        <v>7612</v>
      </c>
      <c r="K70" s="1398"/>
      <c r="L70" s="732"/>
      <c r="M70" s="1397"/>
      <c r="N70" s="1398"/>
      <c r="P70" s="1397"/>
      <c r="Q70" s="1398"/>
      <c r="S70" s="1397"/>
      <c r="T70" s="1398"/>
    </row>
    <row r="71" spans="1:21" s="458" customFormat="1" ht="13.15" customHeight="1">
      <c r="B71" s="458" t="s">
        <v>1955</v>
      </c>
      <c r="G71" s="1397">
        <v>51825</v>
      </c>
      <c r="H71" s="1398"/>
      <c r="J71" s="1397">
        <v>51825</v>
      </c>
      <c r="K71" s="1398"/>
      <c r="L71" s="732"/>
      <c r="M71" s="1397"/>
      <c r="N71" s="1398"/>
      <c r="P71" s="1397"/>
      <c r="Q71" s="1398"/>
      <c r="S71" s="1397"/>
      <c r="T71" s="1398"/>
    </row>
    <row r="72" spans="1:21" s="458" customFormat="1" ht="13.15" customHeight="1">
      <c r="B72" s="458" t="s">
        <v>1956</v>
      </c>
      <c r="D72" s="539" t="s">
        <v>2111</v>
      </c>
      <c r="E72" s="1405" t="s">
        <v>3923</v>
      </c>
      <c r="G72" s="1397">
        <v>22200</v>
      </c>
      <c r="H72" s="1398"/>
      <c r="I72" s="482"/>
      <c r="J72" s="1397">
        <v>22200</v>
      </c>
      <c r="K72" s="1398"/>
      <c r="L72" s="732"/>
      <c r="M72" s="1397"/>
      <c r="N72" s="1398"/>
      <c r="P72" s="1397"/>
      <c r="Q72" s="1398"/>
      <c r="S72" s="1397"/>
      <c r="T72" s="1398"/>
    </row>
    <row r="73" spans="1:21" s="458" customFormat="1" ht="13.15" customHeight="1" thickBot="1">
      <c r="B73" s="458" t="s">
        <v>1957</v>
      </c>
      <c r="D73" s="539" t="s">
        <v>2111</v>
      </c>
      <c r="E73" s="1405" t="s">
        <v>3923</v>
      </c>
      <c r="G73" s="1397">
        <v>22200</v>
      </c>
      <c r="H73" s="1398"/>
      <c r="I73" s="482"/>
      <c r="J73" s="1397">
        <v>22200</v>
      </c>
      <c r="K73" s="1398"/>
      <c r="L73" s="732"/>
      <c r="M73" s="1397"/>
      <c r="N73" s="1398"/>
      <c r="P73" s="1397"/>
      <c r="Q73" s="1398"/>
      <c r="S73" s="1397"/>
      <c r="T73" s="1398"/>
    </row>
    <row r="74" spans="1:21" s="458" customFormat="1" ht="13.15" customHeight="1" thickTop="1">
      <c r="F74" s="523" t="s">
        <v>249</v>
      </c>
      <c r="G74" s="899">
        <f>SUM(G70:H73)</f>
        <v>103837</v>
      </c>
      <c r="H74" s="900"/>
      <c r="J74" s="899">
        <f>SUM(J70:K73)</f>
        <v>103837</v>
      </c>
      <c r="K74" s="900"/>
      <c r="L74" s="525"/>
      <c r="M74" s="899">
        <f>SUM(M70:N73)</f>
        <v>0</v>
      </c>
      <c r="N74" s="900"/>
      <c r="P74" s="899">
        <f>SUM(P70:Q73)</f>
        <v>0</v>
      </c>
      <c r="Q74" s="900"/>
      <c r="S74" s="899">
        <f>SUM(S70:T73)</f>
        <v>0</v>
      </c>
      <c r="T74" s="900"/>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7">
        <v>9000</v>
      </c>
      <c r="H76" s="1398"/>
      <c r="J76" s="936"/>
      <c r="K76" s="936"/>
      <c r="L76" s="732"/>
      <c r="M76" s="936"/>
      <c r="N76" s="936"/>
      <c r="P76" s="936"/>
      <c r="Q76" s="936"/>
      <c r="S76" s="1397">
        <v>9000</v>
      </c>
      <c r="T76" s="1398"/>
    </row>
    <row r="77" spans="1:21" s="458" customFormat="1" ht="13.15" customHeight="1">
      <c r="B77" s="458" t="s">
        <v>1959</v>
      </c>
      <c r="G77" s="1397">
        <v>5000</v>
      </c>
      <c r="H77" s="1398"/>
      <c r="J77" s="901"/>
      <c r="K77" s="901"/>
      <c r="L77" s="732"/>
      <c r="M77" s="901"/>
      <c r="N77" s="901"/>
      <c r="P77" s="901"/>
      <c r="Q77" s="901"/>
      <c r="S77" s="1397">
        <v>5000</v>
      </c>
      <c r="T77" s="1398"/>
    </row>
    <row r="78" spans="1:21" s="458" customFormat="1" ht="13.15" customHeight="1">
      <c r="B78" s="458" t="s">
        <v>1960</v>
      </c>
      <c r="G78" s="1397">
        <v>15000</v>
      </c>
      <c r="H78" s="1398"/>
      <c r="J78" s="1397">
        <v>15000</v>
      </c>
      <c r="K78" s="1398"/>
      <c r="L78" s="732"/>
      <c r="M78" s="1397"/>
      <c r="N78" s="1398"/>
      <c r="P78" s="1397"/>
      <c r="Q78" s="1398"/>
      <c r="S78" s="1397"/>
      <c r="T78" s="1398"/>
    </row>
    <row r="79" spans="1:21" s="458" customFormat="1" ht="13.15" customHeight="1">
      <c r="B79" s="458" t="s">
        <v>1961</v>
      </c>
      <c r="G79" s="1397">
        <v>10000</v>
      </c>
      <c r="H79" s="1398"/>
      <c r="J79" s="1397">
        <v>10000</v>
      </c>
      <c r="K79" s="1398"/>
      <c r="L79" s="732"/>
      <c r="M79" s="1397"/>
      <c r="N79" s="1398"/>
      <c r="P79" s="1397"/>
      <c r="Q79" s="1398"/>
      <c r="S79" s="1397"/>
      <c r="T79" s="1398"/>
    </row>
    <row r="80" spans="1:21" s="458" customFormat="1" ht="13.15" customHeight="1">
      <c r="B80" s="458" t="s">
        <v>1962</v>
      </c>
      <c r="G80" s="1397"/>
      <c r="H80" s="1398"/>
      <c r="J80" s="1397"/>
      <c r="K80" s="1398"/>
      <c r="L80" s="732"/>
      <c r="M80" s="1397"/>
      <c r="N80" s="1398"/>
      <c r="P80" s="1397"/>
      <c r="Q80" s="1398"/>
      <c r="S80" s="1397"/>
      <c r="T80" s="1398"/>
    </row>
    <row r="81" spans="1:21" s="458" customFormat="1" ht="13.15" customHeight="1">
      <c r="B81" s="458" t="s">
        <v>3437</v>
      </c>
      <c r="G81" s="1397"/>
      <c r="H81" s="1398"/>
      <c r="J81" s="1397"/>
      <c r="K81" s="1398"/>
      <c r="L81" s="732"/>
      <c r="M81" s="1397"/>
      <c r="N81" s="1398"/>
      <c r="P81" s="1397"/>
      <c r="Q81" s="1398"/>
      <c r="S81" s="1397"/>
      <c r="T81" s="1398"/>
    </row>
    <row r="82" spans="1:21" s="458" customFormat="1" ht="13.15" customHeight="1" thickBot="1">
      <c r="A82" s="562" t="str">
        <f>IF(AND(G82&gt;0,OR(C82="",C82="&lt;Enter detailed description here; use Comments section if needed&gt;")),"X","")</f>
        <v/>
      </c>
      <c r="B82" s="458" t="s">
        <v>1230</v>
      </c>
      <c r="C82" s="1399" t="s">
        <v>3658</v>
      </c>
      <c r="D82" s="1399"/>
      <c r="E82" s="1399"/>
      <c r="F82" s="1400"/>
      <c r="G82" s="1397"/>
      <c r="H82" s="1398"/>
      <c r="J82" s="1397"/>
      <c r="K82" s="1398"/>
      <c r="L82" s="732"/>
      <c r="M82" s="1397"/>
      <c r="N82" s="1398"/>
      <c r="P82" s="1397"/>
      <c r="Q82" s="1398"/>
      <c r="S82" s="1397"/>
      <c r="T82" s="1398"/>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39000</v>
      </c>
      <c r="H83" s="900"/>
      <c r="J83" s="899">
        <f>SUM(J78:K82)</f>
        <v>25000</v>
      </c>
      <c r="K83" s="900"/>
      <c r="L83" s="525"/>
      <c r="M83" s="899">
        <f>SUM(M78:N82)</f>
        <v>0</v>
      </c>
      <c r="N83" s="900"/>
      <c r="P83" s="899">
        <f>SUM(P78:Q82)</f>
        <v>0</v>
      </c>
      <c r="Q83" s="900"/>
      <c r="S83" s="899">
        <f>SUM(S76:T82)</f>
        <v>14000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950</v>
      </c>
      <c r="B86" s="461" t="s">
        <v>1494</v>
      </c>
      <c r="H86" s="721"/>
      <c r="I86" s="721"/>
      <c r="J86" s="895" t="s">
        <v>359</v>
      </c>
      <c r="K86" s="896"/>
      <c r="L86" s="522"/>
      <c r="M86" s="943" t="s">
        <v>720</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7"/>
      <c r="H89" s="1398"/>
      <c r="J89" s="525"/>
      <c r="K89" s="525"/>
      <c r="L89" s="732"/>
      <c r="M89" s="525"/>
      <c r="N89" s="525"/>
      <c r="P89" s="525"/>
      <c r="Q89" s="525"/>
      <c r="S89" s="1397"/>
      <c r="T89" s="1398"/>
    </row>
    <row r="90" spans="1:21" s="458" customFormat="1" ht="12.6" customHeight="1">
      <c r="B90" s="458" t="s">
        <v>1858</v>
      </c>
      <c r="G90" s="1397">
        <v>3000</v>
      </c>
      <c r="H90" s="1398"/>
      <c r="J90" s="525"/>
      <c r="K90" s="525"/>
      <c r="L90" s="540"/>
      <c r="M90" s="525"/>
      <c r="N90" s="525"/>
      <c r="P90" s="525"/>
      <c r="Q90" s="525"/>
      <c r="S90" s="1397">
        <v>3000</v>
      </c>
      <c r="T90" s="1398"/>
    </row>
    <row r="91" spans="1:21" s="458" customFormat="1" ht="12.6" customHeight="1">
      <c r="B91" s="458" t="s">
        <v>2747</v>
      </c>
      <c r="G91" s="1397"/>
      <c r="H91" s="1398"/>
      <c r="J91" s="525"/>
      <c r="K91" s="525"/>
      <c r="L91" s="540"/>
      <c r="M91" s="525"/>
      <c r="N91" s="525"/>
      <c r="O91" s="721"/>
      <c r="P91" s="525"/>
      <c r="Q91" s="525"/>
      <c r="S91" s="1397"/>
      <c r="T91" s="1398"/>
    </row>
    <row r="92" spans="1:21" s="458" customFormat="1" ht="12.6" customHeight="1">
      <c r="B92" s="458" t="s">
        <v>811</v>
      </c>
      <c r="E92" s="953">
        <f>'DCA Underwriting Assumptions'!$Q$41*$J$165</f>
        <v>45406.83</v>
      </c>
      <c r="F92" s="954"/>
      <c r="G92" s="1397">
        <v>45407</v>
      </c>
      <c r="H92" s="1398"/>
      <c r="J92" s="525"/>
      <c r="K92" s="525"/>
      <c r="L92" s="732"/>
      <c r="M92" s="525"/>
      <c r="N92" s="525"/>
      <c r="O92" s="721"/>
      <c r="P92" s="525"/>
      <c r="Q92" s="525"/>
      <c r="S92" s="1397">
        <v>45407</v>
      </c>
      <c r="T92" s="1398"/>
    </row>
    <row r="93" spans="1:21" s="458" customFormat="1" ht="12.6" customHeight="1">
      <c r="B93" s="458" t="s">
        <v>1244</v>
      </c>
      <c r="E93" s="953">
        <f>'Part VI-Revenues &amp; Expenses'!$M$63*'DCA Underwriting Assumptions'!$Q$44</f>
        <v>25900</v>
      </c>
      <c r="F93" s="954"/>
      <c r="G93" s="1397">
        <v>25900</v>
      </c>
      <c r="H93" s="1398"/>
      <c r="J93" s="418"/>
      <c r="K93" s="418"/>
      <c r="L93" s="418"/>
      <c r="M93" s="418"/>
      <c r="N93" s="418"/>
      <c r="O93" s="418"/>
      <c r="P93" s="418"/>
      <c r="Q93" s="418"/>
      <c r="S93" s="1397">
        <v>25900</v>
      </c>
      <c r="T93" s="1398"/>
    </row>
    <row r="94" spans="1:21" s="458" customFormat="1" ht="12.6" customHeight="1">
      <c r="B94" s="458" t="s">
        <v>715</v>
      </c>
      <c r="G94" s="1397"/>
      <c r="H94" s="1398"/>
      <c r="J94" s="418"/>
      <c r="K94" s="418"/>
      <c r="L94" s="418"/>
      <c r="M94" s="418"/>
      <c r="N94" s="418"/>
      <c r="O94" s="418"/>
      <c r="P94" s="418"/>
      <c r="Q94" s="418"/>
      <c r="S94" s="1397"/>
      <c r="T94" s="1398"/>
    </row>
    <row r="95" spans="1:21" s="458" customFormat="1" ht="12.6" customHeight="1">
      <c r="B95" s="458" t="s">
        <v>3551</v>
      </c>
      <c r="G95" s="1397">
        <v>3000</v>
      </c>
      <c r="H95" s="1398"/>
      <c r="J95" s="418"/>
      <c r="K95" s="418"/>
      <c r="L95" s="418"/>
      <c r="M95" s="418"/>
      <c r="N95" s="418"/>
      <c r="O95" s="418"/>
      <c r="P95" s="418"/>
      <c r="Q95" s="418"/>
      <c r="S95" s="1397">
        <v>3000</v>
      </c>
      <c r="T95" s="1398"/>
    </row>
    <row r="96" spans="1:21" s="458" customFormat="1" ht="12.6" customHeight="1">
      <c r="A96" s="562" t="str">
        <f>IF(AND(G96&gt;0,OR(C96="",C96="&lt;Enter detailed description here; use Comments section if needed&gt;")),"X","")</f>
        <v/>
      </c>
      <c r="B96" s="458" t="s">
        <v>1230</v>
      </c>
      <c r="C96" s="1399" t="s">
        <v>3658</v>
      </c>
      <c r="D96" s="1399"/>
      <c r="E96" s="1399"/>
      <c r="F96" s="1400"/>
      <c r="G96" s="1397"/>
      <c r="H96" s="1398"/>
      <c r="J96" s="418"/>
      <c r="K96" s="418"/>
      <c r="L96" s="418"/>
      <c r="M96" s="418"/>
      <c r="N96" s="418"/>
      <c r="O96" s="418"/>
      <c r="P96" s="418"/>
      <c r="Q96" s="418"/>
      <c r="S96" s="1397"/>
      <c r="T96" s="1398"/>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9" t="s">
        <v>3658</v>
      </c>
      <c r="D97" s="1399"/>
      <c r="E97" s="1399"/>
      <c r="F97" s="1400"/>
      <c r="G97" s="1397"/>
      <c r="H97" s="1398"/>
      <c r="J97" s="418"/>
      <c r="K97" s="418"/>
      <c r="L97" s="418"/>
      <c r="M97" s="418"/>
      <c r="N97" s="418"/>
      <c r="O97" s="418"/>
      <c r="P97" s="418"/>
      <c r="Q97" s="418"/>
      <c r="S97" s="1397"/>
      <c r="T97" s="1398"/>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77307</v>
      </c>
      <c r="H98" s="900"/>
      <c r="J98" s="525"/>
      <c r="K98" s="525"/>
      <c r="L98" s="732"/>
      <c r="M98" s="525"/>
      <c r="N98" s="525"/>
      <c r="P98" s="525"/>
      <c r="Q98" s="525"/>
      <c r="S98" s="899">
        <f>SUM(S89:T97)</f>
        <v>77307</v>
      </c>
      <c r="T98" s="900"/>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370</v>
      </c>
      <c r="G100" s="1397">
        <v>1000</v>
      </c>
      <c r="H100" s="1398"/>
      <c r="J100" s="936"/>
      <c r="K100" s="936"/>
      <c r="L100" s="732"/>
      <c r="M100" s="936"/>
      <c r="N100" s="936"/>
      <c r="O100" s="721"/>
      <c r="P100" s="936"/>
      <c r="Q100" s="936"/>
      <c r="S100" s="1397">
        <v>1000</v>
      </c>
      <c r="T100" s="1398"/>
    </row>
    <row r="101" spans="1:21" s="458" customFormat="1" ht="12.6" customHeight="1">
      <c r="B101" s="458" t="s">
        <v>372</v>
      </c>
      <c r="G101" s="1397">
        <v>5000</v>
      </c>
      <c r="H101" s="1398"/>
      <c r="J101" s="936"/>
      <c r="K101" s="936"/>
      <c r="L101" s="732"/>
      <c r="M101" s="936"/>
      <c r="N101" s="936"/>
      <c r="O101" s="721"/>
      <c r="P101" s="936"/>
      <c r="Q101" s="936"/>
      <c r="S101" s="1397">
        <v>5000</v>
      </c>
      <c r="T101" s="1398"/>
    </row>
    <row r="102" spans="1:21" s="458" customFormat="1" ht="12.6" customHeight="1">
      <c r="B102" s="458" t="s">
        <v>3613</v>
      </c>
      <c r="G102" s="1397"/>
      <c r="H102" s="1398"/>
      <c r="J102" s="936"/>
      <c r="K102" s="936"/>
      <c r="L102" s="732"/>
      <c r="M102" s="936"/>
      <c r="N102" s="936"/>
      <c r="O102" s="721"/>
      <c r="P102" s="936"/>
      <c r="Q102" s="936"/>
      <c r="S102" s="1397"/>
      <c r="T102" s="1398"/>
    </row>
    <row r="103" spans="1:21" s="458" customFormat="1" ht="12.6" customHeight="1" thickBot="1">
      <c r="A103" s="562" t="str">
        <f>IF(AND(G103&gt;0,OR(C103="",C103="&lt;Enter detailed description here; use Comments section if needed&gt;")),"X","")</f>
        <v/>
      </c>
      <c r="B103" s="458" t="s">
        <v>1230</v>
      </c>
      <c r="C103" s="1399" t="s">
        <v>3658</v>
      </c>
      <c r="D103" s="1399"/>
      <c r="E103" s="1399"/>
      <c r="F103" s="1400"/>
      <c r="G103" s="1397"/>
      <c r="H103" s="1398"/>
      <c r="J103" s="936"/>
      <c r="K103" s="936"/>
      <c r="L103" s="732"/>
      <c r="M103" s="936"/>
      <c r="N103" s="936"/>
      <c r="O103" s="721"/>
      <c r="P103" s="936"/>
      <c r="Q103" s="936"/>
      <c r="S103" s="1397"/>
      <c r="T103" s="1398"/>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6000</v>
      </c>
      <c r="H104" s="900"/>
      <c r="J104" s="936"/>
      <c r="K104" s="936"/>
      <c r="L104" s="732"/>
      <c r="M104" s="936"/>
      <c r="N104" s="936"/>
      <c r="O104" s="721"/>
      <c r="P104" s="936"/>
      <c r="Q104" s="936"/>
      <c r="S104" s="899">
        <f>SUM(S100:T103)</f>
        <v>6000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0.2</v>
      </c>
      <c r="G106" s="1397">
        <v>167807</v>
      </c>
      <c r="H106" s="1398"/>
      <c r="J106" s="1397">
        <v>167807</v>
      </c>
      <c r="K106" s="1398"/>
      <c r="L106" s="524"/>
      <c r="M106" s="1397"/>
      <c r="N106" s="1398"/>
      <c r="P106" s="1397"/>
      <c r="Q106" s="1398"/>
      <c r="S106" s="1397"/>
      <c r="T106" s="1398"/>
    </row>
    <row r="107" spans="1:21" s="458" customFormat="1" ht="12.6" customHeight="1">
      <c r="B107" s="458" t="s">
        <v>2914</v>
      </c>
      <c r="F107" s="647">
        <f>G107/$G$109</f>
        <v>0</v>
      </c>
      <c r="G107" s="1397"/>
      <c r="H107" s="1398"/>
      <c r="J107" s="1397"/>
      <c r="K107" s="1398"/>
      <c r="L107" s="732"/>
      <c r="M107" s="1397"/>
      <c r="N107" s="1398"/>
      <c r="P107" s="1397"/>
      <c r="Q107" s="1398"/>
      <c r="S107" s="1397"/>
      <c r="T107" s="1398"/>
    </row>
    <row r="108" spans="1:21" s="458" customFormat="1" ht="12.6" customHeight="1" thickBot="1">
      <c r="B108" s="458" t="s">
        <v>2906</v>
      </c>
      <c r="F108" s="647">
        <f>G108/$G$109</f>
        <v>0.8</v>
      </c>
      <c r="G108" s="1397">
        <v>671228</v>
      </c>
      <c r="H108" s="1398"/>
      <c r="J108" s="1397">
        <v>671228</v>
      </c>
      <c r="K108" s="1398"/>
      <c r="L108" s="732"/>
      <c r="M108" s="1397"/>
      <c r="N108" s="1398"/>
      <c r="P108" s="1397"/>
      <c r="Q108" s="1398"/>
      <c r="S108" s="1397"/>
      <c r="T108" s="1398"/>
    </row>
    <row r="109" spans="1:21" s="458" customFormat="1" ht="12.6" customHeight="1" thickTop="1">
      <c r="C109" s="561" t="str">
        <f>IF(G109&lt;='DCA Underwriting Assumptions'!$Q$46,"","Developer Fee exceeds DCA Program Maximum !!!")</f>
        <v/>
      </c>
      <c r="F109" s="523" t="s">
        <v>249</v>
      </c>
      <c r="G109" s="899">
        <f>SUM(G106:H108)</f>
        <v>839035</v>
      </c>
      <c r="H109" s="900"/>
      <c r="J109" s="899">
        <f>SUM(J106:K108)</f>
        <v>839035</v>
      </c>
      <c r="K109" s="900"/>
      <c r="L109" s="732"/>
      <c r="M109" s="899">
        <f>SUM(M106:N108)</f>
        <v>0</v>
      </c>
      <c r="N109" s="900"/>
      <c r="P109" s="899">
        <f>SUM(P106:Q108)</f>
        <v>0</v>
      </c>
      <c r="Q109" s="900"/>
      <c r="S109" s="899">
        <f>SUM(S106:T108)</f>
        <v>0</v>
      </c>
      <c r="T109" s="900"/>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7">
        <v>10000</v>
      </c>
      <c r="H111" s="1398"/>
      <c r="J111" s="541"/>
      <c r="K111" s="541"/>
      <c r="L111" s="541"/>
      <c r="M111" s="541"/>
      <c r="N111" s="541"/>
      <c r="P111" s="541"/>
      <c r="Q111" s="541"/>
      <c r="S111" s="1397">
        <v>10000</v>
      </c>
      <c r="T111" s="1398"/>
    </row>
    <row r="112" spans="1:21" s="458" customFormat="1" ht="12.6" customHeight="1">
      <c r="B112" s="458" t="s">
        <v>2287</v>
      </c>
      <c r="G112" s="1397">
        <v>45000</v>
      </c>
      <c r="H112" s="1398"/>
      <c r="J112" s="936"/>
      <c r="K112" s="936"/>
      <c r="L112" s="732"/>
      <c r="M112" s="936"/>
      <c r="N112" s="936"/>
      <c r="O112" s="721"/>
      <c r="P112" s="936"/>
      <c r="Q112" s="936"/>
      <c r="R112" s="721"/>
      <c r="S112" s="1397">
        <v>45000</v>
      </c>
      <c r="T112" s="1398"/>
    </row>
    <row r="113" spans="1:21" s="458" customFormat="1" ht="12.6" customHeight="1">
      <c r="B113" s="458" t="s">
        <v>1028</v>
      </c>
      <c r="F113" s="482"/>
      <c r="G113" s="1397">
        <v>89000</v>
      </c>
      <c r="H113" s="1398"/>
      <c r="J113" s="540"/>
      <c r="K113" s="540"/>
      <c r="L113" s="540"/>
      <c r="M113" s="540"/>
      <c r="N113" s="540"/>
      <c r="O113" s="721"/>
      <c r="P113" s="540"/>
      <c r="Q113" s="540"/>
      <c r="R113" s="721"/>
      <c r="S113" s="1397">
        <v>89000</v>
      </c>
      <c r="T113" s="1398"/>
    </row>
    <row r="114" spans="1:21" s="458" customFormat="1" ht="12.6" customHeight="1">
      <c r="B114" s="458" t="s">
        <v>1922</v>
      </c>
      <c r="G114" s="1397"/>
      <c r="H114" s="1398"/>
      <c r="J114" s="541"/>
      <c r="K114" s="541"/>
      <c r="L114" s="541"/>
      <c r="M114" s="541"/>
      <c r="N114" s="541"/>
      <c r="P114" s="541"/>
      <c r="Q114" s="541"/>
      <c r="S114" s="1397"/>
      <c r="T114" s="1398"/>
    </row>
    <row r="115" spans="1:21" s="458" customFormat="1" ht="12.6" customHeight="1">
      <c r="B115" s="458" t="s">
        <v>1923</v>
      </c>
      <c r="E115" s="458" t="s">
        <v>1471</v>
      </c>
      <c r="F115" s="647">
        <f>G115/'Part VI-Revenues &amp; Expenses'!$M$63</f>
        <v>1486.4864864864865</v>
      </c>
      <c r="G115" s="1397">
        <v>55000</v>
      </c>
      <c r="H115" s="1398"/>
      <c r="J115" s="1397">
        <v>55000</v>
      </c>
      <c r="K115" s="1398"/>
      <c r="L115" s="732"/>
      <c r="M115" s="1397"/>
      <c r="N115" s="1398"/>
      <c r="P115" s="1397"/>
      <c r="Q115" s="1398"/>
      <c r="S115" s="1397"/>
      <c r="T115" s="1398"/>
    </row>
    <row r="116" spans="1:21" s="458" customFormat="1" ht="12.6" customHeight="1" thickBot="1">
      <c r="A116" s="562" t="str">
        <f>IF(AND(G116&gt;0,OR(C116="",C116="&lt;Enter detailed description here; use Comments section if needed&gt;")),"X","")</f>
        <v/>
      </c>
      <c r="B116" s="458" t="s">
        <v>1230</v>
      </c>
      <c r="C116" s="1399" t="s">
        <v>3658</v>
      </c>
      <c r="D116" s="1399"/>
      <c r="E116" s="1399"/>
      <c r="F116" s="1400"/>
      <c r="G116" s="1397"/>
      <c r="H116" s="1398"/>
      <c r="J116" s="1397"/>
      <c r="K116" s="1398"/>
      <c r="L116" s="732"/>
      <c r="M116" s="1397"/>
      <c r="N116" s="1398"/>
      <c r="P116" s="1397"/>
      <c r="Q116" s="1398"/>
      <c r="S116" s="1397"/>
      <c r="T116" s="1398"/>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199000</v>
      </c>
      <c r="H117" s="900"/>
      <c r="J117" s="899">
        <f>SUM(J115:K116)</f>
        <v>55000</v>
      </c>
      <c r="K117" s="900"/>
      <c r="L117" s="732"/>
      <c r="M117" s="899">
        <f>SUM(M115:N116)</f>
        <v>0</v>
      </c>
      <c r="N117" s="900"/>
      <c r="P117" s="899">
        <f>SUM(P115:Q116)</f>
        <v>0</v>
      </c>
      <c r="Q117" s="900"/>
      <c r="S117" s="899">
        <f>SUM(S111:T116)</f>
        <v>144000</v>
      </c>
      <c r="T117" s="900"/>
    </row>
    <row r="118" spans="1:21" s="458" customFormat="1" ht="13.15" customHeight="1">
      <c r="B118" s="461" t="s">
        <v>943</v>
      </c>
      <c r="C118" s="713"/>
      <c r="H118" s="538"/>
      <c r="I118" s="538"/>
      <c r="J118" s="522"/>
      <c r="K118" s="522"/>
      <c r="M118" s="522"/>
      <c r="N118" s="522"/>
      <c r="O118" s="524" t="str">
        <f>B118</f>
        <v>OTHER COSTS</v>
      </c>
      <c r="P118" s="522"/>
      <c r="Q118" s="522"/>
      <c r="S118" s="522"/>
      <c r="T118" s="522"/>
    </row>
    <row r="119" spans="1:21" s="458" customFormat="1" ht="12.6" customHeight="1">
      <c r="B119" s="458" t="s">
        <v>944</v>
      </c>
      <c r="C119" s="713"/>
      <c r="G119" s="1397"/>
      <c r="H119" s="1398"/>
      <c r="J119" s="1397"/>
      <c r="K119" s="1398"/>
      <c r="L119" s="524"/>
      <c r="M119" s="1397"/>
      <c r="N119" s="1398"/>
      <c r="P119" s="1397"/>
      <c r="Q119" s="1398"/>
      <c r="S119" s="1397"/>
      <c r="T119" s="1398"/>
    </row>
    <row r="120" spans="1:21" s="458" customFormat="1" ht="12.6" customHeight="1" thickBot="1">
      <c r="A120" s="562" t="str">
        <f>IF(AND(G120&gt;0,OR(C120="",C120="&lt;Enter detailed description here; use Comments section if needed&gt;")),"X","")</f>
        <v/>
      </c>
      <c r="B120" s="458" t="s">
        <v>1230</v>
      </c>
      <c r="C120" s="1399" t="s">
        <v>3658</v>
      </c>
      <c r="D120" s="1399"/>
      <c r="E120" s="1399"/>
      <c r="F120" s="1400"/>
      <c r="G120" s="1397"/>
      <c r="H120" s="1398"/>
      <c r="J120" s="1397"/>
      <c r="K120" s="1398"/>
      <c r="L120" s="732"/>
      <c r="M120" s="1397"/>
      <c r="N120" s="1398"/>
      <c r="P120" s="1397"/>
      <c r="Q120" s="1398"/>
      <c r="S120" s="1397"/>
      <c r="T120" s="1398"/>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G17+G23+G27+G32+G36+G42+G56+G68+G74+G83+G98+G104+G109+G117+G121</f>
        <v>6936803</v>
      </c>
      <c r="H123" s="931"/>
      <c r="J123" s="930">
        <f>J17+J23+J27+J32+J36+J42+J56+J68+J74+J83+J98+J104+J109+J117+J121</f>
        <v>6054948</v>
      </c>
      <c r="K123" s="931"/>
      <c r="M123" s="930">
        <f>M17+M23+M27+M32+M36+M42+M56+M68+M74+M83+M98+M104+M109+M117+M121</f>
        <v>0</v>
      </c>
      <c r="N123" s="931"/>
      <c r="P123" s="930">
        <f>P17+P23+P27+P32+P36+P42+P56+P68+P74+P83+P98+P104+P109+P117+P121</f>
        <v>0</v>
      </c>
      <c r="Q123" s="931"/>
      <c r="S123" s="930">
        <f>S17+S23+S27+S32+S36+S42+S56+S68+S74+S83+S98+S104+S109+S117+S121</f>
        <v>881856</v>
      </c>
      <c r="T123" s="931"/>
    </row>
    <row r="124" spans="1:21" s="458" customFormat="1" ht="3" customHeight="1" thickBot="1">
      <c r="C124" s="713"/>
      <c r="H124" s="538"/>
      <c r="I124" s="538"/>
      <c r="L124" s="721"/>
    </row>
    <row r="125" spans="1:21" s="458" customFormat="1" ht="13.9" customHeight="1" thickBot="1">
      <c r="B125" s="465" t="s">
        <v>3894</v>
      </c>
      <c r="D125" s="902">
        <f>IF(AND($T$155 = "Yes", 'Part IX A-Scoring Criteria'!$O$176 &gt; 0),'DCA Underwriting Assumptions'!$R$13, IF(AND('Part IV-Uses of Funds'!$T$156="Yes", 'Part IX A-Scoring Criteria'!$O$74&gt;0),'DCA Underwriting Assumptions'!$R$12, 'DCA Underwriting Assumptions'!$R$11))</f>
        <v>7605041</v>
      </c>
      <c r="E125" s="903"/>
      <c r="F125" s="461" t="s">
        <v>1038</v>
      </c>
      <c r="G125" s="932">
        <f>G123/'Part VI-Revenues &amp; Expenses'!$M$63</f>
        <v>187481.16216216216</v>
      </c>
      <c r="H125" s="933"/>
      <c r="I125" s="543"/>
      <c r="J125" s="465" t="s">
        <v>1039</v>
      </c>
      <c r="M125" s="932">
        <f>G123/'Part VI-Revenues &amp; Expenses'!$M$98</f>
        <v>135.48443359375</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1229</v>
      </c>
      <c r="B128" s="408" t="s">
        <v>2145</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3134</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6"/>
      <c r="K131" s="1407"/>
      <c r="P131" s="1406"/>
      <c r="Q131" s="1407"/>
    </row>
    <row r="132" spans="2:17" s="458" customFormat="1" ht="13.9" customHeight="1">
      <c r="B132" s="721" t="s">
        <v>3254</v>
      </c>
      <c r="D132" s="721"/>
      <c r="E132" s="721"/>
      <c r="F132" s="721"/>
      <c r="G132" s="721"/>
      <c r="H132" s="721"/>
      <c r="I132" s="545"/>
      <c r="J132" s="1406"/>
      <c r="K132" s="1407"/>
      <c r="P132" s="1406"/>
      <c r="Q132" s="1407"/>
    </row>
    <row r="133" spans="2:17" s="458" customFormat="1" ht="13.9" customHeight="1">
      <c r="B133" s="721" t="s">
        <v>2916</v>
      </c>
      <c r="D133" s="721"/>
      <c r="E133" s="721"/>
      <c r="I133" s="545"/>
      <c r="J133" s="1406"/>
      <c r="K133" s="1407"/>
      <c r="P133" s="1406"/>
      <c r="Q133" s="1407"/>
    </row>
    <row r="134" spans="2:17" s="458" customFormat="1" ht="13.9" customHeight="1">
      <c r="B134" s="721" t="s">
        <v>2917</v>
      </c>
      <c r="D134" s="721"/>
      <c r="E134" s="721"/>
      <c r="I134" s="545"/>
      <c r="J134" s="1406"/>
      <c r="K134" s="1407"/>
      <c r="P134" s="1406"/>
      <c r="Q134" s="1407"/>
    </row>
    <row r="135" spans="2:17" s="458" customFormat="1" ht="13.9" customHeight="1">
      <c r="B135" s="721" t="s">
        <v>329</v>
      </c>
      <c r="D135" s="721"/>
      <c r="E135" s="721"/>
      <c r="I135" s="545"/>
      <c r="J135" s="1406"/>
      <c r="K135" s="1407"/>
      <c r="P135" s="1406"/>
      <c r="Q135" s="1407"/>
    </row>
    <row r="136" spans="2:17" s="458" customFormat="1" ht="13.9" customHeight="1" thickBot="1">
      <c r="B136" s="721" t="s">
        <v>2363</v>
      </c>
      <c r="C136" s="1399" t="s">
        <v>3658</v>
      </c>
      <c r="D136" s="1399"/>
      <c r="E136" s="1399"/>
      <c r="F136" s="1399"/>
      <c r="G136" s="1399"/>
      <c r="H136" s="1399"/>
      <c r="I136" s="1400"/>
      <c r="J136" s="1406"/>
      <c r="K136" s="1407"/>
      <c r="P136" s="1406"/>
      <c r="Q136" s="1407"/>
    </row>
    <row r="137" spans="2:17" s="458" customFormat="1" ht="13.9" customHeight="1" thickBot="1">
      <c r="B137" s="470" t="s">
        <v>2918</v>
      </c>
      <c r="C137" s="473"/>
      <c r="J137" s="860">
        <f>SUM(J131:K136)</f>
        <v>0</v>
      </c>
      <c r="K137" s="861"/>
      <c r="P137" s="860">
        <f>SUM(P131:Q136)</f>
        <v>0</v>
      </c>
      <c r="Q137" s="861"/>
    </row>
    <row r="138" spans="2:17" s="458" customFormat="1" ht="3" customHeight="1"/>
    <row r="139" spans="2:17" s="458" customFormat="1" ht="15" customHeight="1" thickBot="1">
      <c r="B139" s="461" t="s">
        <v>3486</v>
      </c>
    </row>
    <row r="140" spans="2:17" s="458" customFormat="1" ht="13.9" customHeight="1">
      <c r="B140" s="458" t="s">
        <v>2820</v>
      </c>
      <c r="J140" s="934">
        <f>J123</f>
        <v>6054948</v>
      </c>
      <c r="K140" s="935"/>
      <c r="M140" s="938">
        <f>M123</f>
        <v>0</v>
      </c>
      <c r="N140" s="939"/>
      <c r="P140" s="934">
        <f>P123</f>
        <v>0</v>
      </c>
      <c r="Q140" s="935"/>
    </row>
    <row r="141" spans="2:17" s="458" customFormat="1" ht="13.9" customHeight="1">
      <c r="B141" s="458" t="s">
        <v>3342</v>
      </c>
      <c r="J141" s="910">
        <f>J137</f>
        <v>0</v>
      </c>
      <c r="K141" s="927"/>
      <c r="M141" s="911"/>
      <c r="N141" s="911"/>
      <c r="P141" s="910">
        <f>P137</f>
        <v>0</v>
      </c>
      <c r="Q141" s="927"/>
    </row>
    <row r="142" spans="2:17" s="458" customFormat="1" ht="13.9" customHeight="1">
      <c r="B142" s="458" t="s">
        <v>3343</v>
      </c>
      <c r="J142" s="910">
        <f>J140-J141</f>
        <v>6054948</v>
      </c>
      <c r="K142" s="927"/>
      <c r="M142" s="910">
        <f>M140</f>
        <v>0</v>
      </c>
      <c r="N142" s="927"/>
      <c r="P142" s="910">
        <f>P140-P141</f>
        <v>0</v>
      </c>
      <c r="Q142" s="927"/>
    </row>
    <row r="143" spans="2:17" s="458" customFormat="1" ht="13.9" customHeight="1">
      <c r="B143" s="458" t="s">
        <v>2228</v>
      </c>
      <c r="G143" s="716" t="s">
        <v>2734</v>
      </c>
      <c r="H143" s="1408" t="s">
        <v>4008</v>
      </c>
      <c r="I143" s="1409"/>
      <c r="J143" s="1410">
        <v>1.3</v>
      </c>
      <c r="K143" s="1411"/>
      <c r="M143" s="937"/>
      <c r="N143" s="937"/>
      <c r="P143" s="1410">
        <v>1.3</v>
      </c>
      <c r="Q143" s="1411"/>
    </row>
    <row r="144" spans="2:17" s="458" customFormat="1" ht="13.9" customHeight="1">
      <c r="B144" s="458" t="s">
        <v>3148</v>
      </c>
      <c r="J144" s="910">
        <f>J142*J143</f>
        <v>7871432.4000000004</v>
      </c>
      <c r="K144" s="927"/>
      <c r="M144" s="910">
        <f>+M142</f>
        <v>0</v>
      </c>
      <c r="N144" s="927"/>
      <c r="P144" s="910">
        <f>P142*P143</f>
        <v>0</v>
      </c>
      <c r="Q144" s="927"/>
    </row>
    <row r="145" spans="1:20" s="458" customFormat="1" ht="13.9" customHeight="1">
      <c r="B145" s="458" t="s">
        <v>3838</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3135</v>
      </c>
      <c r="J146" s="910">
        <f>J144*J145</f>
        <v>7871432.4000000004</v>
      </c>
      <c r="K146" s="927"/>
      <c r="M146" s="910">
        <f>M144*M145</f>
        <v>0</v>
      </c>
      <c r="N146" s="927"/>
      <c r="P146" s="910">
        <f>P144*P145</f>
        <v>0</v>
      </c>
      <c r="Q146" s="927"/>
    </row>
    <row r="147" spans="1:20" s="458" customFormat="1" ht="13.9" customHeight="1">
      <c r="B147" s="458" t="s">
        <v>3136</v>
      </c>
      <c r="J147" s="1410">
        <v>0.09</v>
      </c>
      <c r="K147" s="1411"/>
      <c r="M147" s="1410"/>
      <c r="N147" s="1411"/>
      <c r="P147" s="1410">
        <v>0.09</v>
      </c>
      <c r="Q147" s="1411"/>
    </row>
    <row r="148" spans="1:20" s="458" customFormat="1" ht="13.9" customHeight="1" thickBot="1">
      <c r="B148" s="458" t="s">
        <v>3839</v>
      </c>
      <c r="J148" s="912">
        <f>J146*J147</f>
        <v>708428.91599999997</v>
      </c>
      <c r="K148" s="913"/>
      <c r="M148" s="912">
        <f>M146*M147</f>
        <v>0</v>
      </c>
      <c r="N148" s="913"/>
      <c r="P148" s="912">
        <f>P146*P147</f>
        <v>0</v>
      </c>
      <c r="Q148" s="913"/>
    </row>
    <row r="149" spans="1:20" s="458" customFormat="1" ht="13.9" customHeight="1" thickBot="1">
      <c r="B149" s="458" t="s">
        <v>2143</v>
      </c>
      <c r="J149" s="860">
        <f>J148+M148+P148</f>
        <v>708428.91599999997</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1231</v>
      </c>
      <c r="B151" s="461" t="s">
        <v>2146</v>
      </c>
      <c r="I151" s="721"/>
      <c r="J151" s="925" t="s">
        <v>345</v>
      </c>
      <c r="K151" s="925"/>
      <c r="L151" s="925"/>
      <c r="M151" s="904" t="str">
        <f>IF(J153&gt;D125,"TDC exceeds PUCL!","")</f>
        <v/>
      </c>
      <c r="N151" s="905"/>
      <c r="O151" s="905"/>
      <c r="P151" s="905"/>
      <c r="Q151" s="905"/>
      <c r="R151" s="906"/>
      <c r="S151" s="917" t="s">
        <v>2650</v>
      </c>
      <c r="T151" s="918"/>
    </row>
    <row r="152" spans="1:20" s="458" customFormat="1" ht="15" customHeight="1">
      <c r="B152" s="461" t="s">
        <v>231</v>
      </c>
      <c r="I152" s="721"/>
      <c r="J152" s="942">
        <f>MIN(G123,D125)</f>
        <v>6936803</v>
      </c>
      <c r="K152" s="942"/>
      <c r="L152" s="942"/>
      <c r="M152" s="907" t="s">
        <v>3643</v>
      </c>
      <c r="N152" s="908"/>
      <c r="O152" s="908"/>
      <c r="P152" s="908"/>
      <c r="Q152" s="908"/>
      <c r="R152" s="909"/>
      <c r="S152" s="919"/>
      <c r="T152" s="920"/>
    </row>
    <row r="153" spans="1:20" s="458" customFormat="1" ht="13.9" customHeight="1">
      <c r="B153" s="458" t="s">
        <v>2649</v>
      </c>
      <c r="J153" s="1412">
        <v>6936803</v>
      </c>
      <c r="K153" s="1413"/>
      <c r="L153" s="1413"/>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450110</v>
      </c>
      <c r="K154" s="911"/>
      <c r="L154" s="911"/>
      <c r="M154" s="907"/>
      <c r="N154" s="908"/>
      <c r="O154" s="908"/>
      <c r="P154" s="908"/>
      <c r="Q154" s="908"/>
      <c r="R154" s="909"/>
      <c r="S154" s="685"/>
      <c r="T154" s="688" t="s">
        <v>344</v>
      </c>
    </row>
    <row r="155" spans="1:20" s="458" customFormat="1" ht="13.9" customHeight="1">
      <c r="B155" s="458" t="s">
        <v>3355</v>
      </c>
      <c r="J155" s="910">
        <f>+J153-J154</f>
        <v>6486693</v>
      </c>
      <c r="K155" s="911"/>
      <c r="L155" s="911"/>
      <c r="M155" s="924" t="s">
        <v>342</v>
      </c>
      <c r="N155" s="925"/>
      <c r="O155" s="925" t="s">
        <v>2652</v>
      </c>
      <c r="P155" s="925"/>
      <c r="Q155" s="925"/>
      <c r="R155" s="926"/>
      <c r="S155" s="686" t="s">
        <v>2651</v>
      </c>
      <c r="T155" s="1414"/>
    </row>
    <row r="156" spans="1:20" s="458" customFormat="1" ht="13.9" customHeight="1" thickBot="1">
      <c r="B156" s="458" t="s">
        <v>1986</v>
      </c>
      <c r="J156" s="929" t="str">
        <f>"/ 10"</f>
        <v>/ 10</v>
      </c>
      <c r="K156" s="929"/>
      <c r="L156" s="929"/>
      <c r="M156" s="1415"/>
      <c r="N156" s="1416"/>
      <c r="O156" s="1417"/>
      <c r="P156" s="1417"/>
      <c r="Q156" s="1417"/>
      <c r="R156" s="1418"/>
      <c r="S156" s="687" t="s">
        <v>343</v>
      </c>
      <c r="T156" s="1419"/>
    </row>
    <row r="157" spans="1:20" s="458" customFormat="1" ht="13.9" customHeight="1">
      <c r="B157" s="458" t="s">
        <v>1987</v>
      </c>
      <c r="J157" s="910">
        <f>J155/10</f>
        <v>648669.30000000005</v>
      </c>
      <c r="K157" s="911"/>
      <c r="L157" s="927"/>
      <c r="M157" s="482"/>
      <c r="N157" s="791" t="s">
        <v>1988</v>
      </c>
      <c r="O157" s="791"/>
      <c r="Q157" s="791" t="s">
        <v>2829</v>
      </c>
      <c r="R157" s="791"/>
    </row>
    <row r="158" spans="1:20" s="458" customFormat="1" ht="13.9" customHeight="1" thickBot="1">
      <c r="B158" s="458" t="s">
        <v>2227</v>
      </c>
      <c r="J158" s="921">
        <f>N158+Q158</f>
        <v>1</v>
      </c>
      <c r="K158" s="922"/>
      <c r="L158" s="923"/>
      <c r="M158" s="716" t="s">
        <v>1989</v>
      </c>
      <c r="N158" s="1420">
        <v>0.75</v>
      </c>
      <c r="O158" s="1421"/>
      <c r="P158" s="716" t="s">
        <v>945</v>
      </c>
      <c r="Q158" s="1420">
        <v>0.25</v>
      </c>
      <c r="R158" s="1421"/>
    </row>
    <row r="159" spans="1:20" s="458" customFormat="1" ht="13.9" customHeight="1" thickBot="1">
      <c r="B159" s="458" t="s">
        <v>2144</v>
      </c>
      <c r="J159" s="860">
        <f>IF(J158=0,"",J157/J158)</f>
        <v>648669.30000000005</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+MIN(J149,J159,'DCA Underwriting Assumptions'!$R$6)</f>
        <v>648669.30000000005</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22">
        <v>648669</v>
      </c>
      <c r="K163" s="1423"/>
      <c r="L163" s="1424"/>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2822</v>
      </c>
      <c r="B165" s="461" t="s">
        <v>449</v>
      </c>
      <c r="D165" s="482"/>
      <c r="E165" s="482"/>
      <c r="F165" s="464"/>
      <c r="J165" s="914">
        <f>+MIN(J161,J163)</f>
        <v>648669</v>
      </c>
      <c r="K165" s="915"/>
      <c r="L165" s="916"/>
      <c r="N165" s="1425"/>
      <c r="O165" s="1425"/>
      <c r="P165" s="1425"/>
      <c r="Q165" s="1425"/>
      <c r="R165" s="1425"/>
      <c r="S165" s="1425"/>
      <c r="T165" s="1425"/>
    </row>
    <row r="166" spans="1:20" ht="3" customHeight="1"/>
    <row r="167" spans="1:20" ht="6" customHeight="1"/>
    <row r="168" spans="1:20" ht="12" customHeight="1">
      <c r="A168" s="461" t="s">
        <v>2824</v>
      </c>
      <c r="B168" s="491" t="s">
        <v>879</v>
      </c>
      <c r="K168" s="461" t="s">
        <v>822</v>
      </c>
      <c r="L168" s="461" t="s">
        <v>89</v>
      </c>
    </row>
    <row r="169" spans="1:20" ht="107.45" customHeight="1">
      <c r="A169" s="1426" t="s">
        <v>4043</v>
      </c>
      <c r="B169" s="1427"/>
      <c r="C169" s="1427"/>
      <c r="D169" s="1427"/>
      <c r="E169" s="1427"/>
      <c r="F169" s="1427"/>
      <c r="G169" s="1427"/>
      <c r="H169" s="1427"/>
      <c r="I169" s="1427"/>
      <c r="J169" s="1428"/>
      <c r="K169" s="1429"/>
      <c r="L169" s="1427"/>
      <c r="M169" s="1427"/>
      <c r="N169" s="1427"/>
      <c r="O169" s="1427"/>
      <c r="P169" s="1427"/>
      <c r="Q169" s="1427"/>
      <c r="R169" s="1427"/>
      <c r="S169" s="1427"/>
      <c r="T169" s="1428"/>
    </row>
    <row r="170" spans="1:20" ht="107.45" customHeight="1">
      <c r="A170" s="1430"/>
      <c r="B170" s="1431"/>
      <c r="C170" s="1431"/>
      <c r="D170" s="1431"/>
      <c r="E170" s="1431"/>
      <c r="F170" s="1431"/>
      <c r="G170" s="1431"/>
      <c r="H170" s="1431"/>
      <c r="I170" s="1431"/>
      <c r="J170" s="1432"/>
      <c r="K170" s="1433"/>
      <c r="L170" s="1431"/>
      <c r="M170" s="1431"/>
      <c r="N170" s="1431"/>
      <c r="O170" s="1431"/>
      <c r="P170" s="1431"/>
      <c r="Q170" s="1431"/>
      <c r="R170" s="1431"/>
      <c r="S170" s="1431"/>
      <c r="T170" s="1432"/>
    </row>
    <row r="171" spans="1:20" s="458" customFormat="1" ht="107.45" customHeight="1">
      <c r="A171" s="1430"/>
      <c r="B171" s="1431"/>
      <c r="C171" s="1431"/>
      <c r="D171" s="1431"/>
      <c r="E171" s="1431"/>
      <c r="F171" s="1431"/>
      <c r="G171" s="1431"/>
      <c r="H171" s="1431"/>
      <c r="I171" s="1431"/>
      <c r="J171" s="1432"/>
      <c r="K171" s="1433"/>
      <c r="L171" s="1431"/>
      <c r="M171" s="1431"/>
      <c r="N171" s="1431"/>
      <c r="O171" s="1431"/>
      <c r="P171" s="1431"/>
      <c r="Q171" s="1431"/>
      <c r="R171" s="1431"/>
      <c r="S171" s="1431"/>
      <c r="T171" s="1432"/>
    </row>
    <row r="172" spans="1:20" ht="107.45" customHeight="1">
      <c r="A172" s="1434"/>
      <c r="B172" s="1435"/>
      <c r="C172" s="1435"/>
      <c r="D172" s="1435"/>
      <c r="E172" s="1435"/>
      <c r="F172" s="1435"/>
      <c r="G172" s="1435"/>
      <c r="H172" s="1435"/>
      <c r="I172" s="1435"/>
      <c r="J172" s="1436"/>
      <c r="K172" s="1437"/>
      <c r="L172" s="1435"/>
      <c r="M172" s="1435"/>
      <c r="N172" s="1435"/>
      <c r="O172" s="1435"/>
      <c r="P172" s="1435"/>
      <c r="Q172" s="1435"/>
      <c r="R172" s="1435"/>
      <c r="S172" s="1435"/>
      <c r="T172" s="1436"/>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7E"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L15" sqref="L15"/>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2011-038 Thomson Estates, Thomson, McDuffie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806</v>
      </c>
      <c r="I3" s="741" t="str">
        <f>VLOOKUP('Part I-Project Information'!$J$25,'Part I-Project Information'!$C$183:$D$342,2)</f>
        <v>Middle</v>
      </c>
    </row>
    <row r="4" spans="1:20" s="9" customFormat="1"/>
    <row r="5" spans="1:20" s="9" customFormat="1">
      <c r="A5" s="16" t="s">
        <v>950</v>
      </c>
      <c r="B5" s="16" t="s">
        <v>3350</v>
      </c>
      <c r="F5" s="9" t="s">
        <v>3804</v>
      </c>
      <c r="I5" s="1366" t="s">
        <v>3954</v>
      </c>
      <c r="J5" s="1367"/>
      <c r="K5" s="1367"/>
      <c r="L5" s="1367"/>
      <c r="M5" s="1368"/>
    </row>
    <row r="6" spans="1:20" s="9" customFormat="1" ht="13.15" customHeight="1">
      <c r="A6" s="16"/>
      <c r="F6" s="9" t="s">
        <v>972</v>
      </c>
      <c r="H6" s="31"/>
      <c r="I6" s="1369">
        <v>40695</v>
      </c>
      <c r="J6" s="1370"/>
      <c r="K6" s="77" t="s">
        <v>833</v>
      </c>
      <c r="L6" s="1371" t="s">
        <v>47</v>
      </c>
      <c r="M6" s="1368"/>
    </row>
    <row r="7" spans="1:20" s="9" customFormat="1" ht="6" customHeight="1">
      <c r="A7" s="16"/>
    </row>
    <row r="8" spans="1:20" s="16" customFormat="1">
      <c r="B8" s="337"/>
      <c r="C8" s="337"/>
      <c r="D8" s="337"/>
      <c r="E8" s="337"/>
      <c r="F8" s="962" t="s">
        <v>942</v>
      </c>
      <c r="G8" s="962"/>
      <c r="I8" s="961" t="s">
        <v>258</v>
      </c>
      <c r="J8" s="961"/>
      <c r="K8" s="961"/>
      <c r="L8" s="961"/>
      <c r="M8" s="961"/>
    </row>
    <row r="9" spans="1:20" s="16" customFormat="1">
      <c r="B9" s="337" t="s">
        <v>1380</v>
      </c>
      <c r="D9" s="337" t="s">
        <v>2361</v>
      </c>
      <c r="F9" s="736" t="s">
        <v>978</v>
      </c>
      <c r="G9" s="736" t="s">
        <v>2902</v>
      </c>
      <c r="I9" s="338">
        <v>0</v>
      </c>
      <c r="J9" s="339">
        <v>1</v>
      </c>
      <c r="K9" s="339">
        <v>2</v>
      </c>
      <c r="L9" s="339">
        <v>3</v>
      </c>
      <c r="M9" s="339">
        <v>4</v>
      </c>
    </row>
    <row r="10" spans="1:20" s="9" customFormat="1">
      <c r="B10" s="340" t="s">
        <v>2904</v>
      </c>
      <c r="C10" s="341"/>
      <c r="D10" s="1372" t="s">
        <v>3953</v>
      </c>
      <c r="E10" s="1373"/>
      <c r="F10" s="1374" t="s">
        <v>651</v>
      </c>
      <c r="G10" s="1374"/>
      <c r="H10" s="342"/>
      <c r="I10" s="1375"/>
      <c r="J10" s="1375"/>
      <c r="K10" s="1375"/>
      <c r="L10" s="1375">
        <v>27</v>
      </c>
      <c r="M10" s="1375">
        <v>36</v>
      </c>
    </row>
    <row r="11" spans="1:20" s="9" customFormat="1">
      <c r="B11" s="343" t="s">
        <v>686</v>
      </c>
      <c r="C11" s="344"/>
      <c r="D11" s="343" t="s">
        <v>2357</v>
      </c>
      <c r="E11" s="344"/>
      <c r="F11" s="1376" t="s">
        <v>651</v>
      </c>
      <c r="G11" s="1376"/>
      <c r="H11" s="345"/>
      <c r="I11" s="1377"/>
      <c r="J11" s="1377"/>
      <c r="K11" s="1377"/>
      <c r="L11" s="1378">
        <v>55</v>
      </c>
      <c r="M11" s="1378">
        <v>70</v>
      </c>
    </row>
    <row r="12" spans="1:20" s="9" customFormat="1">
      <c r="B12" s="343" t="s">
        <v>2358</v>
      </c>
      <c r="C12" s="344"/>
      <c r="D12" s="1379" t="s">
        <v>2357</v>
      </c>
      <c r="E12" s="1380"/>
      <c r="F12" s="1376" t="s">
        <v>651</v>
      </c>
      <c r="G12" s="1376"/>
      <c r="H12" s="345"/>
      <c r="I12" s="1377"/>
      <c r="J12" s="1377"/>
      <c r="K12" s="1377"/>
      <c r="L12" s="1378">
        <v>14</v>
      </c>
      <c r="M12" s="1378">
        <v>18</v>
      </c>
    </row>
    <row r="13" spans="1:20" s="9" customFormat="1">
      <c r="B13" s="343" t="s">
        <v>2359</v>
      </c>
      <c r="C13" s="344"/>
      <c r="D13" s="1379" t="s">
        <v>2357</v>
      </c>
      <c r="E13" s="1380"/>
      <c r="F13" s="1376" t="s">
        <v>651</v>
      </c>
      <c r="G13" s="1376"/>
      <c r="H13" s="345"/>
      <c r="I13" s="1377"/>
      <c r="J13" s="1377"/>
      <c r="K13" s="1377"/>
      <c r="L13" s="1378">
        <v>44</v>
      </c>
      <c r="M13" s="1378">
        <v>56</v>
      </c>
    </row>
    <row r="14" spans="1:20" s="9" customFormat="1">
      <c r="B14" s="343" t="s">
        <v>2360</v>
      </c>
      <c r="C14" s="344"/>
      <c r="D14" s="343" t="s">
        <v>2357</v>
      </c>
      <c r="E14" s="346"/>
      <c r="F14" s="1376" t="s">
        <v>651</v>
      </c>
      <c r="G14" s="1376"/>
      <c r="H14" s="345"/>
      <c r="I14" s="1377"/>
      <c r="J14" s="1377"/>
      <c r="K14" s="1377"/>
      <c r="L14" s="1378">
        <v>45</v>
      </c>
      <c r="M14" s="1378">
        <v>57</v>
      </c>
    </row>
    <row r="15" spans="1:20" s="9" customFormat="1">
      <c r="B15" s="343" t="s">
        <v>2072</v>
      </c>
      <c r="C15" s="344"/>
      <c r="D15" s="343" t="s">
        <v>3349</v>
      </c>
      <c r="E15" s="1381" t="s">
        <v>3924</v>
      </c>
      <c r="F15" s="1376" t="s">
        <v>651</v>
      </c>
      <c r="G15" s="1376"/>
      <c r="H15" s="345"/>
      <c r="I15" s="1377"/>
      <c r="J15" s="1377"/>
      <c r="K15" s="1377"/>
      <c r="L15" s="1378">
        <v>78</v>
      </c>
      <c r="M15" s="1378">
        <v>97</v>
      </c>
    </row>
    <row r="16" spans="1:20" s="9" customFormat="1">
      <c r="B16" s="347" t="s">
        <v>2903</v>
      </c>
      <c r="C16" s="348"/>
      <c r="D16" s="347"/>
      <c r="E16" s="315"/>
      <c r="F16" s="1382" t="s">
        <v>651</v>
      </c>
      <c r="G16" s="1382"/>
      <c r="H16" s="349"/>
      <c r="I16" s="1383"/>
      <c r="J16" s="1383"/>
      <c r="K16" s="1383"/>
      <c r="L16" s="1384">
        <v>20</v>
      </c>
      <c r="M16" s="1384">
        <v>20</v>
      </c>
    </row>
    <row r="17" spans="1:19" s="9" customFormat="1">
      <c r="B17" s="337" t="s">
        <v>1640</v>
      </c>
      <c r="D17" s="31"/>
      <c r="E17" s="31"/>
      <c r="F17" s="111"/>
      <c r="G17" s="111"/>
      <c r="I17" s="736">
        <f>SUM(I10:I16)</f>
        <v>0</v>
      </c>
      <c r="J17" s="736">
        <f>SUM(J10:J16)</f>
        <v>0</v>
      </c>
      <c r="K17" s="736">
        <f>SUM(K10:K16)</f>
        <v>0</v>
      </c>
      <c r="L17" s="736">
        <f>SUM(L10:L16)</f>
        <v>283</v>
      </c>
      <c r="M17" s="736">
        <f>SUM(M10:M16)</f>
        <v>354</v>
      </c>
    </row>
    <row r="18" spans="1:19" s="9" customFormat="1" ht="11.25" customHeight="1">
      <c r="M18" s="31"/>
      <c r="N18" s="31"/>
      <c r="O18" s="31"/>
      <c r="P18" s="31"/>
      <c r="Q18" s="31"/>
      <c r="R18" s="31"/>
      <c r="S18" s="31"/>
    </row>
    <row r="19" spans="1:19" s="9" customFormat="1">
      <c r="A19" s="16" t="s">
        <v>1229</v>
      </c>
      <c r="B19" s="16" t="s">
        <v>3351</v>
      </c>
      <c r="F19" s="9" t="s">
        <v>3804</v>
      </c>
      <c r="I19" s="1371"/>
      <c r="J19" s="1367"/>
      <c r="K19" s="1367"/>
      <c r="L19" s="1367"/>
      <c r="M19" s="1368"/>
    </row>
    <row r="20" spans="1:19" s="9" customFormat="1" ht="13.15" customHeight="1">
      <c r="A20" s="16"/>
      <c r="B20" s="16"/>
      <c r="F20" s="9" t="s">
        <v>972</v>
      </c>
      <c r="H20" s="31"/>
      <c r="I20" s="1369"/>
      <c r="J20" s="1370"/>
      <c r="K20" s="77" t="s">
        <v>833</v>
      </c>
      <c r="L20" s="1371"/>
      <c r="M20" s="1368"/>
    </row>
    <row r="21" spans="1:19" s="9" customFormat="1" ht="6" customHeight="1">
      <c r="A21" s="16"/>
    </row>
    <row r="22" spans="1:19" s="16" customFormat="1">
      <c r="B22" s="337"/>
      <c r="C22" s="337"/>
      <c r="D22" s="337"/>
      <c r="E22" s="337"/>
      <c r="F22" s="962" t="s">
        <v>942</v>
      </c>
      <c r="G22" s="962"/>
      <c r="I22" s="961" t="s">
        <v>258</v>
      </c>
      <c r="J22" s="961"/>
      <c r="K22" s="961"/>
      <c r="L22" s="961"/>
      <c r="M22" s="961"/>
    </row>
    <row r="23" spans="1:19" s="16" customFormat="1">
      <c r="B23" s="337" t="s">
        <v>1380</v>
      </c>
      <c r="D23" s="337" t="s">
        <v>2361</v>
      </c>
      <c r="F23" s="736" t="s">
        <v>978</v>
      </c>
      <c r="G23" s="736" t="s">
        <v>2902</v>
      </c>
      <c r="I23" s="338">
        <v>0</v>
      </c>
      <c r="J23" s="339">
        <v>1</v>
      </c>
      <c r="K23" s="339">
        <v>2</v>
      </c>
      <c r="L23" s="339">
        <v>3</v>
      </c>
      <c r="M23" s="339">
        <v>4</v>
      </c>
    </row>
    <row r="24" spans="1:19" s="9" customFormat="1">
      <c r="B24" s="340" t="s">
        <v>2904</v>
      </c>
      <c r="C24" s="341"/>
      <c r="D24" s="1372" t="s">
        <v>2860</v>
      </c>
      <c r="E24" s="1373"/>
      <c r="F24" s="1374"/>
      <c r="G24" s="1374"/>
      <c r="H24" s="342"/>
      <c r="I24" s="1375"/>
      <c r="J24" s="1375"/>
      <c r="K24" s="1375"/>
      <c r="L24" s="1375"/>
      <c r="M24" s="1375"/>
    </row>
    <row r="25" spans="1:19" s="9" customFormat="1">
      <c r="B25" s="343" t="s">
        <v>686</v>
      </c>
      <c r="C25" s="344"/>
      <c r="D25" s="343" t="s">
        <v>2357</v>
      </c>
      <c r="E25" s="344"/>
      <c r="F25" s="1376"/>
      <c r="G25" s="1376"/>
      <c r="H25" s="345"/>
      <c r="I25" s="1377"/>
      <c r="J25" s="1377"/>
      <c r="K25" s="1377"/>
      <c r="L25" s="1378"/>
      <c r="M25" s="1378"/>
    </row>
    <row r="26" spans="1:19" s="9" customFormat="1">
      <c r="B26" s="343" t="s">
        <v>2358</v>
      </c>
      <c r="C26" s="344"/>
      <c r="D26" s="1379" t="s">
        <v>2860</v>
      </c>
      <c r="E26" s="1380"/>
      <c r="F26" s="1376"/>
      <c r="G26" s="1376"/>
      <c r="H26" s="345"/>
      <c r="I26" s="1377"/>
      <c r="J26" s="1377"/>
      <c r="K26" s="1377"/>
      <c r="L26" s="1378"/>
      <c r="M26" s="1378"/>
    </row>
    <row r="27" spans="1:19" s="9" customFormat="1">
      <c r="B27" s="343" t="s">
        <v>2359</v>
      </c>
      <c r="C27" s="344"/>
      <c r="D27" s="1379" t="s">
        <v>2860</v>
      </c>
      <c r="E27" s="1380"/>
      <c r="F27" s="1376"/>
      <c r="G27" s="1376"/>
      <c r="H27" s="345"/>
      <c r="I27" s="1377"/>
      <c r="J27" s="1377"/>
      <c r="K27" s="1377"/>
      <c r="L27" s="1378"/>
      <c r="M27" s="1378"/>
    </row>
    <row r="28" spans="1:19" s="9" customFormat="1">
      <c r="B28" s="343" t="s">
        <v>2360</v>
      </c>
      <c r="C28" s="344"/>
      <c r="D28" s="343" t="s">
        <v>2357</v>
      </c>
      <c r="E28" s="346"/>
      <c r="F28" s="1376"/>
      <c r="G28" s="1376"/>
      <c r="H28" s="345"/>
      <c r="I28" s="1377"/>
      <c r="J28" s="1377"/>
      <c r="K28" s="1377"/>
      <c r="L28" s="1378"/>
      <c r="M28" s="1378"/>
    </row>
    <row r="29" spans="1:19" s="9" customFormat="1">
      <c r="B29" s="343" t="s">
        <v>2072</v>
      </c>
      <c r="C29" s="344"/>
      <c r="D29" s="343" t="s">
        <v>3349</v>
      </c>
      <c r="E29" s="1381" t="s">
        <v>259</v>
      </c>
      <c r="F29" s="1376"/>
      <c r="G29" s="1376"/>
      <c r="H29" s="345"/>
      <c r="I29" s="1377"/>
      <c r="J29" s="1377"/>
      <c r="K29" s="1377"/>
      <c r="L29" s="1378"/>
      <c r="M29" s="1378"/>
    </row>
    <row r="30" spans="1:19" s="9" customFormat="1">
      <c r="B30" s="347" t="s">
        <v>2903</v>
      </c>
      <c r="C30" s="348"/>
      <c r="D30" s="347"/>
      <c r="E30" s="315"/>
      <c r="F30" s="1382"/>
      <c r="G30" s="1382"/>
      <c r="H30" s="349"/>
      <c r="I30" s="1383"/>
      <c r="J30" s="1383"/>
      <c r="K30" s="1383"/>
      <c r="L30" s="1384"/>
      <c r="M30" s="1384"/>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85" t="s">
        <v>3955</v>
      </c>
      <c r="C36" s="1386"/>
      <c r="D36" s="1386"/>
      <c r="E36" s="1386"/>
      <c r="F36" s="1386"/>
      <c r="G36" s="1386"/>
      <c r="H36" s="1386"/>
      <c r="I36" s="1386"/>
      <c r="J36" s="1386"/>
      <c r="K36" s="1386"/>
      <c r="L36" s="1386"/>
      <c r="M36" s="1387"/>
      <c r="N36" s="31"/>
      <c r="O36" s="31"/>
      <c r="P36" s="31"/>
      <c r="Q36" s="31"/>
      <c r="R36" s="31"/>
      <c r="S36" s="31"/>
    </row>
    <row r="37" spans="1:19" s="9" customFormat="1" ht="12" customHeight="1">
      <c r="B37" s="1388" t="s">
        <v>3956</v>
      </c>
      <c r="C37" s="1389"/>
      <c r="D37" s="1389"/>
      <c r="E37" s="1389"/>
      <c r="F37" s="1389"/>
      <c r="G37" s="1389"/>
      <c r="H37" s="1389"/>
      <c r="I37" s="1389"/>
      <c r="J37" s="1389"/>
      <c r="K37" s="1389"/>
      <c r="L37" s="1389"/>
      <c r="M37" s="1390"/>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91"/>
      <c r="C40" s="1392"/>
      <c r="D40" s="1392"/>
      <c r="E40" s="1392"/>
      <c r="F40" s="1392"/>
      <c r="G40" s="1392"/>
      <c r="H40" s="1392"/>
      <c r="I40" s="1392"/>
      <c r="J40" s="1392"/>
      <c r="K40" s="1392"/>
      <c r="L40" s="1392"/>
      <c r="M40" s="1393"/>
      <c r="N40" s="31"/>
      <c r="O40" s="31"/>
      <c r="P40" s="31"/>
      <c r="Q40" s="31"/>
      <c r="R40" s="31"/>
      <c r="S40" s="31"/>
    </row>
    <row r="41" spans="1:19" s="9" customFormat="1" ht="12" customHeight="1">
      <c r="B41" s="1394"/>
      <c r="C41" s="1395"/>
      <c r="D41" s="1395"/>
      <c r="E41" s="1395"/>
      <c r="F41" s="1395"/>
      <c r="G41" s="1395"/>
      <c r="H41" s="1395"/>
      <c r="I41" s="1395"/>
      <c r="J41" s="1395"/>
      <c r="K41" s="1395"/>
      <c r="L41" s="1395"/>
      <c r="M41" s="1396"/>
      <c r="N41" s="31"/>
      <c r="O41" s="31"/>
      <c r="P41" s="31"/>
      <c r="Q41" s="31"/>
      <c r="R41" s="31"/>
      <c r="S41" s="31"/>
    </row>
  </sheetData>
  <sheetProtection password="DD7E" sheet="1" objects="1" scenarios="1"/>
  <mergeCells count="21">
    <mergeCell ref="B40:M40"/>
    <mergeCell ref="B41:M41"/>
    <mergeCell ref="D24:E24"/>
    <mergeCell ref="D26:E26"/>
    <mergeCell ref="D27:E27"/>
    <mergeCell ref="B37:M3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2011-06-22T21:33:41Z</cp:lastPrinted>
  <dcterms:created xsi:type="dcterms:W3CDTF">2005-09-15T20:51:37Z</dcterms:created>
  <dcterms:modified xsi:type="dcterms:W3CDTF">2011-08-16T18:48:38Z</dcterms:modified>
</cp:coreProperties>
</file>