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autoCompressPictures="0" defaultThemeVersion="124226"/>
  <bookViews>
    <workbookView xWindow="0" yWindow="0" windowWidth="15480" windowHeight="11640"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extLst>
    <ext xmlns:mx="http://schemas.microsoft.com/office/mac/excel/2008/main" uri="http://schemas.microsoft.com/office/mac/excel/2008/main">
      <mx:ArchID Flags="2"/>
    </ext>
  </extLst>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A1" i="34"/>
  <c r="R13" i="24"/>
  <c r="R12"/>
  <c r="R11"/>
  <c r="A2817" i="35"/>
  <c r="A2815"/>
  <c r="A2813"/>
  <c r="A2811"/>
  <c r="A2809"/>
  <c r="A2807"/>
  <c r="A2805"/>
  <c r="A2803"/>
  <c r="A2801"/>
  <c r="A2799"/>
  <c r="A2797"/>
  <c r="A2795"/>
  <c r="A2793"/>
  <c r="A2792"/>
  <c r="P2502"/>
  <c r="P2503"/>
  <c r="P2504"/>
  <c r="P2500"/>
  <c r="P2523"/>
  <c r="O2502"/>
  <c r="O2503"/>
  <c r="O2504"/>
  <c r="O2500"/>
  <c r="O2523"/>
  <c r="M2786"/>
  <c r="A2784"/>
  <c r="A2783"/>
  <c r="A2781"/>
  <c r="A2780"/>
  <c r="P2777"/>
  <c r="O2777"/>
  <c r="P2775"/>
  <c r="O2775"/>
  <c r="P2773"/>
  <c r="O2773"/>
  <c r="P2771"/>
  <c r="O2771"/>
  <c r="L2771"/>
  <c r="A2769"/>
  <c r="A2767"/>
  <c r="P2765"/>
  <c r="O2765"/>
  <c r="O2764"/>
  <c r="R2764"/>
  <c r="P2764"/>
  <c r="O2763"/>
  <c r="R2763"/>
  <c r="P2763"/>
  <c r="L2763"/>
  <c r="P2762"/>
  <c r="O2762"/>
  <c r="A2760"/>
  <c r="A2759"/>
  <c r="A2758"/>
  <c r="A2756"/>
  <c r="A2755"/>
  <c r="P2753"/>
  <c r="O2753"/>
  <c r="P2752"/>
  <c r="O2752"/>
  <c r="R2751"/>
  <c r="P2751"/>
  <c r="L2751"/>
  <c r="A2749"/>
  <c r="A2748"/>
  <c r="A2746"/>
  <c r="A2745"/>
  <c r="E2742"/>
  <c r="E2741"/>
  <c r="E2740"/>
  <c r="O2739"/>
  <c r="R2739"/>
  <c r="P2739"/>
  <c r="L2739"/>
  <c r="P2737"/>
  <c r="O2737"/>
  <c r="O2735"/>
  <c r="R2735"/>
  <c r="P2735"/>
  <c r="L2735"/>
  <c r="O2734"/>
  <c r="R2734"/>
  <c r="P2734"/>
  <c r="L2734"/>
  <c r="O2733"/>
  <c r="R2733"/>
  <c r="P2733"/>
  <c r="L2733"/>
  <c r="O2732"/>
  <c r="R2732"/>
  <c r="P2732"/>
  <c r="L2732"/>
  <c r="O2731"/>
  <c r="R2731"/>
  <c r="P2731"/>
  <c r="L2731"/>
  <c r="O2730"/>
  <c r="R2730"/>
  <c r="P2730"/>
  <c r="L2730"/>
  <c r="O2729"/>
  <c r="R2729"/>
  <c r="P2729"/>
  <c r="L2729"/>
  <c r="O2728"/>
  <c r="R2728"/>
  <c r="P2728"/>
  <c r="L2728"/>
  <c r="P2727"/>
  <c r="O2727"/>
  <c r="L2726"/>
  <c r="P2725"/>
  <c r="O2725"/>
  <c r="P2724"/>
  <c r="O2724"/>
  <c r="P2723"/>
  <c r="O2723"/>
  <c r="P2722"/>
  <c r="O2722"/>
  <c r="P2721"/>
  <c r="O2721"/>
  <c r="L2721"/>
  <c r="L2720"/>
  <c r="P2719"/>
  <c r="O2719"/>
  <c r="L2719"/>
  <c r="A2717"/>
  <c r="A2716"/>
  <c r="A2714"/>
  <c r="A2713"/>
  <c r="P2710"/>
  <c r="O2710"/>
  <c r="P2709"/>
  <c r="O2709"/>
  <c r="P2708"/>
  <c r="O2708"/>
  <c r="P2707"/>
  <c r="O2707"/>
  <c r="J2707"/>
  <c r="G2707"/>
  <c r="E2706"/>
  <c r="P2705"/>
  <c r="O2705"/>
  <c r="L2705"/>
  <c r="J2703"/>
  <c r="A2703"/>
  <c r="M2701"/>
  <c r="J2701"/>
  <c r="O2699" s="1"/>
  <c r="D2701"/>
  <c r="P2699"/>
  <c r="A2697"/>
  <c r="A2695"/>
  <c r="O2693"/>
  <c r="R2693"/>
  <c r="P2693"/>
  <c r="O2692"/>
  <c r="R2692"/>
  <c r="P2692"/>
  <c r="L2692"/>
  <c r="P2691"/>
  <c r="O2691"/>
  <c r="A2689"/>
  <c r="A2687"/>
  <c r="O2685"/>
  <c r="R2685"/>
  <c r="P2685"/>
  <c r="L2685"/>
  <c r="O2684"/>
  <c r="R2684"/>
  <c r="P2684"/>
  <c r="L2684"/>
  <c r="P2683"/>
  <c r="O2683"/>
  <c r="A2681"/>
  <c r="A2680"/>
  <c r="A2678"/>
  <c r="A2677"/>
  <c r="P2675"/>
  <c r="O2675"/>
  <c r="L2675"/>
  <c r="P2674"/>
  <c r="O2674"/>
  <c r="L2674"/>
  <c r="P2673"/>
  <c r="O2673"/>
  <c r="A2671"/>
  <c r="A2670"/>
  <c r="P2669"/>
  <c r="O2669"/>
  <c r="A2665"/>
  <c r="A2664"/>
  <c r="A2662"/>
  <c r="O2660"/>
  <c r="R2660"/>
  <c r="P2660"/>
  <c r="L2660"/>
  <c r="O2659"/>
  <c r="R2659"/>
  <c r="P2659"/>
  <c r="L2659"/>
  <c r="P2658"/>
  <c r="O2658"/>
  <c r="A2656"/>
  <c r="A2655"/>
  <c r="A2654"/>
  <c r="A2653"/>
  <c r="A2652"/>
  <c r="A2650"/>
  <c r="A2649"/>
  <c r="P2647"/>
  <c r="P2646"/>
  <c r="P2645"/>
  <c r="P2644"/>
  <c r="P2643"/>
  <c r="P2642"/>
  <c r="P2641"/>
  <c r="P2640"/>
  <c r="P2638"/>
  <c r="O2638"/>
  <c r="L2638"/>
  <c r="A2636"/>
  <c r="A2634"/>
  <c r="M2632"/>
  <c r="P2631"/>
  <c r="O2631"/>
  <c r="P2630"/>
  <c r="O2630"/>
  <c r="L2630"/>
  <c r="P2629"/>
  <c r="O2629"/>
  <c r="L2629"/>
  <c r="P2628"/>
  <c r="O2628"/>
  <c r="L2628"/>
  <c r="K2627"/>
  <c r="I2627"/>
  <c r="P2626"/>
  <c r="O2626"/>
  <c r="P2625"/>
  <c r="O2625"/>
  <c r="L2625"/>
  <c r="G2625"/>
  <c r="P2624"/>
  <c r="O2624"/>
  <c r="A2622"/>
  <c r="A2621"/>
  <c r="A2619"/>
  <c r="A2618"/>
  <c r="P2616"/>
  <c r="O2616"/>
  <c r="M2616"/>
  <c r="P2615"/>
  <c r="O2615"/>
  <c r="M2615"/>
  <c r="P2614"/>
  <c r="O2614"/>
  <c r="M2614"/>
  <c r="P2613"/>
  <c r="O2613"/>
  <c r="M2613"/>
  <c r="P2611"/>
  <c r="O2611"/>
  <c r="M2611"/>
  <c r="P2610"/>
  <c r="O2610"/>
  <c r="M2610"/>
  <c r="P2609"/>
  <c r="O2609"/>
  <c r="M2609"/>
  <c r="P2608"/>
  <c r="O2608"/>
  <c r="M2608"/>
  <c r="P2607"/>
  <c r="O2607"/>
  <c r="M2607"/>
  <c r="P2606"/>
  <c r="O2606"/>
  <c r="P2605"/>
  <c r="O2605"/>
  <c r="M2605"/>
  <c r="H2605"/>
  <c r="P2604"/>
  <c r="O2604"/>
  <c r="H2604"/>
  <c r="P2603"/>
  <c r="O2603"/>
  <c r="J2603"/>
  <c r="H2603"/>
  <c r="P2602"/>
  <c r="O2602"/>
  <c r="P2601"/>
  <c r="O2601"/>
  <c r="M2601"/>
  <c r="P2600"/>
  <c r="O2600"/>
  <c r="M2600"/>
  <c r="P2599"/>
  <c r="O2599"/>
  <c r="M2599"/>
  <c r="P2598"/>
  <c r="O2598"/>
  <c r="M2598"/>
  <c r="P2595"/>
  <c r="O2595"/>
  <c r="M2595"/>
  <c r="P2594"/>
  <c r="O2594"/>
  <c r="M2594"/>
  <c r="P2593"/>
  <c r="O2593"/>
  <c r="M2593"/>
  <c r="P2591"/>
  <c r="O2591"/>
  <c r="M2591"/>
  <c r="P2590"/>
  <c r="O2590"/>
  <c r="M2590"/>
  <c r="P2589"/>
  <c r="O2589"/>
  <c r="M2589"/>
  <c r="P2585"/>
  <c r="I2585"/>
  <c r="A2583"/>
  <c r="A2582"/>
  <c r="A2580"/>
  <c r="A2579"/>
  <c r="P2577"/>
  <c r="O2577"/>
  <c r="M2577"/>
  <c r="P2576"/>
  <c r="O2576"/>
  <c r="M2576"/>
  <c r="P2575"/>
  <c r="O2575"/>
  <c r="P2574"/>
  <c r="I2574"/>
  <c r="A2572"/>
  <c r="A2571"/>
  <c r="A2569"/>
  <c r="I2567"/>
  <c r="P2566"/>
  <c r="O2566"/>
  <c r="A2564"/>
  <c r="A2563"/>
  <c r="A2561"/>
  <c r="P2559"/>
  <c r="O2559"/>
  <c r="I2558"/>
  <c r="P2557"/>
  <c r="O2557"/>
  <c r="P2556"/>
  <c r="O2556"/>
  <c r="N2556"/>
  <c r="A2554"/>
  <c r="A2553"/>
  <c r="A2551"/>
  <c r="P2549"/>
  <c r="O2549"/>
  <c r="L2549"/>
  <c r="P2548"/>
  <c r="O2548"/>
  <c r="L2548"/>
  <c r="P2547"/>
  <c r="O2547"/>
  <c r="A2544"/>
  <c r="A2543"/>
  <c r="A2542"/>
  <c r="A2540"/>
  <c r="A2539"/>
  <c r="A2538"/>
  <c r="P2535"/>
  <c r="O2535"/>
  <c r="L2535"/>
  <c r="P2534"/>
  <c r="O2534"/>
  <c r="L2534"/>
  <c r="P2533"/>
  <c r="O2533"/>
  <c r="L2533"/>
  <c r="A2528"/>
  <c r="A2526"/>
  <c r="J2524"/>
  <c r="R2523"/>
  <c r="L2523"/>
  <c r="P2521"/>
  <c r="L2521"/>
  <c r="K2521"/>
  <c r="G2521"/>
  <c r="F2521"/>
  <c r="A2521"/>
  <c r="P2520"/>
  <c r="L2520"/>
  <c r="K2520"/>
  <c r="G2520"/>
  <c r="F2520"/>
  <c r="A2520"/>
  <c r="P2519"/>
  <c r="L2519"/>
  <c r="K2519"/>
  <c r="G2519"/>
  <c r="F2519"/>
  <c r="A2519"/>
  <c r="P2518"/>
  <c r="L2518"/>
  <c r="K2518"/>
  <c r="G2518"/>
  <c r="F2518"/>
  <c r="A2518"/>
  <c r="P2517"/>
  <c r="L2517"/>
  <c r="K2517"/>
  <c r="G2517"/>
  <c r="F2517"/>
  <c r="A2517"/>
  <c r="P2516"/>
  <c r="L2516"/>
  <c r="K2516"/>
  <c r="G2516"/>
  <c r="F2516"/>
  <c r="A2516"/>
  <c r="P2515"/>
  <c r="L2515"/>
  <c r="K2515"/>
  <c r="G2515"/>
  <c r="F2515"/>
  <c r="A2515"/>
  <c r="P2514"/>
  <c r="L2514"/>
  <c r="K2514"/>
  <c r="G2514"/>
  <c r="F2514"/>
  <c r="A2514"/>
  <c r="P2513"/>
  <c r="L2513"/>
  <c r="K2513"/>
  <c r="G2513"/>
  <c r="F2513"/>
  <c r="A2513"/>
  <c r="P2512"/>
  <c r="L2512"/>
  <c r="K2512"/>
  <c r="G2512"/>
  <c r="F2512"/>
  <c r="A2512"/>
  <c r="P2511"/>
  <c r="L2511"/>
  <c r="K2511"/>
  <c r="G2511"/>
  <c r="F2511"/>
  <c r="A2511"/>
  <c r="P2510"/>
  <c r="L2510"/>
  <c r="K2510"/>
  <c r="G2510"/>
  <c r="F2510"/>
  <c r="A2510"/>
  <c r="P2509"/>
  <c r="K2509"/>
  <c r="F2509"/>
  <c r="A2507"/>
  <c r="A2506"/>
  <c r="G2504"/>
  <c r="G2503"/>
  <c r="G2502"/>
  <c r="A2493"/>
  <c r="A2489"/>
  <c r="A2488"/>
  <c r="A2487"/>
  <c r="A2486"/>
  <c r="A2484"/>
  <c r="A2483"/>
  <c r="P2481"/>
  <c r="A2479"/>
  <c r="A2478"/>
  <c r="A2477"/>
  <c r="A2475"/>
  <c r="A2474"/>
  <c r="A2473"/>
  <c r="Q2471"/>
  <c r="P2471"/>
  <c r="Q2470"/>
  <c r="P2470"/>
  <c r="Q2469"/>
  <c r="P2469"/>
  <c r="P2468"/>
  <c r="A2466"/>
  <c r="A2465"/>
  <c r="A2464"/>
  <c r="A2462"/>
  <c r="A2461"/>
  <c r="Q2459"/>
  <c r="P2459"/>
  <c r="H2459"/>
  <c r="Q2458"/>
  <c r="P2458"/>
  <c r="Q2457"/>
  <c r="P2457"/>
  <c r="Q2456"/>
  <c r="P2456"/>
  <c r="Q2454"/>
  <c r="P2454"/>
  <c r="Q2453"/>
  <c r="P2453"/>
  <c r="Q2452"/>
  <c r="P2452"/>
  <c r="Q2451"/>
  <c r="P2451"/>
  <c r="Q2450"/>
  <c r="P2450"/>
  <c r="Q2448"/>
  <c r="P2448"/>
  <c r="Q2447"/>
  <c r="P2447"/>
  <c r="Q2445"/>
  <c r="P2445"/>
  <c r="Q2444"/>
  <c r="P2444"/>
  <c r="P2443"/>
  <c r="K2441"/>
  <c r="A2441"/>
  <c r="Q2439"/>
  <c r="P2439"/>
  <c r="Q2438"/>
  <c r="P2438"/>
  <c r="P2437"/>
  <c r="A2435"/>
  <c r="A2433"/>
  <c r="Q2431"/>
  <c r="P2431"/>
  <c r="H2431"/>
  <c r="Q2430"/>
  <c r="P2430"/>
  <c r="Q2429"/>
  <c r="P2429"/>
  <c r="Q2428"/>
  <c r="P2428"/>
  <c r="Q2427"/>
  <c r="P2427"/>
  <c r="P2426"/>
  <c r="A2424"/>
  <c r="A2423"/>
  <c r="A2420"/>
  <c r="A2419"/>
  <c r="Q2417"/>
  <c r="P2417"/>
  <c r="Q2416"/>
  <c r="P2416"/>
  <c r="H2416"/>
  <c r="P2415"/>
  <c r="N2415"/>
  <c r="P2414"/>
  <c r="A2412"/>
  <c r="A2410"/>
  <c r="Q2408"/>
  <c r="P2408"/>
  <c r="Q2407"/>
  <c r="P2407"/>
  <c r="Q2406"/>
  <c r="P2406"/>
  <c r="Q2405"/>
  <c r="P2405"/>
  <c r="Q2404"/>
  <c r="P2404"/>
  <c r="Q2403"/>
  <c r="P2403"/>
  <c r="Q2402"/>
  <c r="P2402"/>
  <c r="K2402"/>
  <c r="P2401"/>
  <c r="A2399"/>
  <c r="A2397"/>
  <c r="Q2395"/>
  <c r="P2395"/>
  <c r="Q2394"/>
  <c r="P2394"/>
  <c r="Q2393"/>
  <c r="P2393"/>
  <c r="Q2392"/>
  <c r="P2392"/>
  <c r="Q2391"/>
  <c r="P2391"/>
  <c r="Q2390"/>
  <c r="P2390"/>
  <c r="K2390"/>
  <c r="P2389"/>
  <c r="A2387"/>
  <c r="A2386"/>
  <c r="A2383"/>
  <c r="A2382"/>
  <c r="Q2380"/>
  <c r="P2380"/>
  <c r="Q2379"/>
  <c r="P2379"/>
  <c r="Q2378"/>
  <c r="P2378"/>
  <c r="Q2377"/>
  <c r="P2377"/>
  <c r="P2375"/>
  <c r="A2373"/>
  <c r="A2372"/>
  <c r="A2371"/>
  <c r="A2369"/>
  <c r="A2368"/>
  <c r="A2367"/>
  <c r="L2364"/>
  <c r="Q2363"/>
  <c r="P2363"/>
  <c r="L2363"/>
  <c r="Q2362"/>
  <c r="P2362"/>
  <c r="Q2361"/>
  <c r="P2361"/>
  <c r="P2359"/>
  <c r="A2357"/>
  <c r="A2356"/>
  <c r="A2354"/>
  <c r="A2353"/>
  <c r="Q2350"/>
  <c r="P2350"/>
  <c r="G2350"/>
  <c r="Q2349"/>
  <c r="P2349"/>
  <c r="G2349"/>
  <c r="Q2348"/>
  <c r="P2348"/>
  <c r="G2348"/>
  <c r="Q2347"/>
  <c r="P2347"/>
  <c r="G2347"/>
  <c r="Q2346"/>
  <c r="P2346"/>
  <c r="G2346"/>
  <c r="Q2345"/>
  <c r="P2345"/>
  <c r="G2345"/>
  <c r="Q2344"/>
  <c r="P2344"/>
  <c r="Q2342"/>
  <c r="P2342"/>
  <c r="Q2340"/>
  <c r="P2340"/>
  <c r="Q2339"/>
  <c r="P2339"/>
  <c r="P2338"/>
  <c r="A2337"/>
  <c r="A2336"/>
  <c r="A2334"/>
  <c r="A2333"/>
  <c r="Q2331"/>
  <c r="P2331"/>
  <c r="Q2330"/>
  <c r="P2330"/>
  <c r="Q2329"/>
  <c r="P2329"/>
  <c r="Q2328"/>
  <c r="P2328"/>
  <c r="Q2327"/>
  <c r="P2327"/>
  <c r="P2326"/>
  <c r="A2324"/>
  <c r="A2323"/>
  <c r="A2321"/>
  <c r="A2320"/>
  <c r="Q2318"/>
  <c r="P2318"/>
  <c r="Q2317"/>
  <c r="P2317"/>
  <c r="Q2316"/>
  <c r="P2316"/>
  <c r="P2314"/>
  <c r="A2312"/>
  <c r="A2311"/>
  <c r="A2309"/>
  <c r="A2308"/>
  <c r="Q2306"/>
  <c r="P2306"/>
  <c r="Q2305"/>
  <c r="P2305"/>
  <c r="P2303"/>
  <c r="A2301"/>
  <c r="A2300"/>
  <c r="A2298"/>
  <c r="A2297"/>
  <c r="Q2295"/>
  <c r="P2295"/>
  <c r="Q2294"/>
  <c r="P2294"/>
  <c r="P2293"/>
  <c r="M2293"/>
  <c r="P2292"/>
  <c r="M2292"/>
  <c r="P2291"/>
  <c r="M2291"/>
  <c r="P2289"/>
  <c r="A2287"/>
  <c r="A2286"/>
  <c r="A2284"/>
  <c r="A2283"/>
  <c r="Q2281"/>
  <c r="P2281"/>
  <c r="Q2280"/>
  <c r="P2280"/>
  <c r="Q2279"/>
  <c r="P2279"/>
  <c r="Q2278"/>
  <c r="P2278"/>
  <c r="Q2277"/>
  <c r="P2277"/>
  <c r="Q2275"/>
  <c r="P2275"/>
  <c r="Q2274"/>
  <c r="P2274"/>
  <c r="Q2273"/>
  <c r="P2273"/>
  <c r="Q2272"/>
  <c r="P2272"/>
  <c r="Q2271"/>
  <c r="P2271"/>
  <c r="Q2270"/>
  <c r="P2270"/>
  <c r="Q2269"/>
  <c r="P2269"/>
  <c r="Q2267"/>
  <c r="P2267"/>
  <c r="L2267"/>
  <c r="J2267"/>
  <c r="I2267"/>
  <c r="D2267"/>
  <c r="Q2266"/>
  <c r="P2266"/>
  <c r="L2266"/>
  <c r="J2266"/>
  <c r="I2266"/>
  <c r="D2266"/>
  <c r="Q2263"/>
  <c r="P2263"/>
  <c r="Q2261"/>
  <c r="P2261"/>
  <c r="Q2260"/>
  <c r="P2260"/>
  <c r="Q2259"/>
  <c r="P2259"/>
  <c r="Q2257"/>
  <c r="P2257"/>
  <c r="P2256"/>
  <c r="A2254"/>
  <c r="A2253"/>
  <c r="A2250"/>
  <c r="A2249"/>
  <c r="Q2247"/>
  <c r="P2247"/>
  <c r="Q2246"/>
  <c r="P2246"/>
  <c r="Q2245"/>
  <c r="P2245"/>
  <c r="Q2244"/>
  <c r="P2244"/>
  <c r="P2242"/>
  <c r="A2240"/>
  <c r="A2238"/>
  <c r="Q2236"/>
  <c r="P2236"/>
  <c r="J2236"/>
  <c r="Q2235"/>
  <c r="P2235"/>
  <c r="J2235"/>
  <c r="Q2234"/>
  <c r="P2234"/>
  <c r="Q2233"/>
  <c r="P2233"/>
  <c r="P2231"/>
  <c r="A2229"/>
  <c r="A2227"/>
  <c r="Q2225"/>
  <c r="P2225"/>
  <c r="J2225"/>
  <c r="Q2224"/>
  <c r="P2224"/>
  <c r="J2224"/>
  <c r="P2223"/>
  <c r="A2221"/>
  <c r="A2220"/>
  <c r="A2218"/>
  <c r="A2217"/>
  <c r="Q2215"/>
  <c r="P2215"/>
  <c r="Q2214"/>
  <c r="P2214"/>
  <c r="Q2213"/>
  <c r="P2213"/>
  <c r="Q2212"/>
  <c r="P2212"/>
  <c r="Q2211"/>
  <c r="P2211"/>
  <c r="P2210"/>
  <c r="A2208"/>
  <c r="A2207"/>
  <c r="A2205"/>
  <c r="A2204"/>
  <c r="Q2202"/>
  <c r="P2202"/>
  <c r="Q2201"/>
  <c r="P2201"/>
  <c r="P2200"/>
  <c r="A2198"/>
  <c r="A2197"/>
  <c r="A2195"/>
  <c r="A2194"/>
  <c r="Q2192"/>
  <c r="P2192"/>
  <c r="K2192"/>
  <c r="P2191"/>
  <c r="N2191"/>
  <c r="Q2190"/>
  <c r="P2190"/>
  <c r="P2189"/>
  <c r="A2187"/>
  <c r="A2186"/>
  <c r="A2185"/>
  <c r="A2183"/>
  <c r="A2182"/>
  <c r="A2181"/>
  <c r="Q2178"/>
  <c r="P2178"/>
  <c r="Q2177"/>
  <c r="P2177"/>
  <c r="Q2176"/>
  <c r="P2176"/>
  <c r="Q2175"/>
  <c r="P2175"/>
  <c r="Q2174"/>
  <c r="P2174"/>
  <c r="J2173"/>
  <c r="O2172"/>
  <c r="N2172"/>
  <c r="K2172"/>
  <c r="J2172"/>
  <c r="G2172"/>
  <c r="F2172"/>
  <c r="O2171"/>
  <c r="N2171"/>
  <c r="K2171"/>
  <c r="J2171"/>
  <c r="G2171"/>
  <c r="F2171"/>
  <c r="Q2170"/>
  <c r="P2170"/>
  <c r="Q2169"/>
  <c r="P2169"/>
  <c r="Q2168"/>
  <c r="P2168"/>
  <c r="Q2167"/>
  <c r="P2167"/>
  <c r="Q2166"/>
  <c r="P2166"/>
  <c r="Q2165"/>
  <c r="P2165"/>
  <c r="Q2164"/>
  <c r="P2164"/>
  <c r="Q2163"/>
  <c r="P2163"/>
  <c r="Q2162"/>
  <c r="P2162"/>
  <c r="Q2161"/>
  <c r="P2161"/>
  <c r="Q2160"/>
  <c r="P2160"/>
  <c r="C2158"/>
  <c r="Q2156"/>
  <c r="P2156"/>
  <c r="Q2155"/>
  <c r="P2155"/>
  <c r="Q2154"/>
  <c r="P2154"/>
  <c r="Q2153"/>
  <c r="M2153"/>
  <c r="P2151"/>
  <c r="A2149"/>
  <c r="A2148"/>
  <c r="A2146"/>
  <c r="A2145"/>
  <c r="Q2143"/>
  <c r="P2143"/>
  <c r="Q2142"/>
  <c r="P2142"/>
  <c r="Q2141"/>
  <c r="P2141"/>
  <c r="Q2139"/>
  <c r="P2139"/>
  <c r="Q2138"/>
  <c r="P2138"/>
  <c r="Q2137"/>
  <c r="P2137"/>
  <c r="Q2136"/>
  <c r="P2136"/>
  <c r="Q2135"/>
  <c r="M2135"/>
  <c r="Q2134"/>
  <c r="P2134"/>
  <c r="Q2133"/>
  <c r="P2133"/>
  <c r="P2131"/>
  <c r="A2130"/>
  <c r="A2129"/>
  <c r="A2127"/>
  <c r="A2126"/>
  <c r="Q2124"/>
  <c r="P2124"/>
  <c r="M2123"/>
  <c r="L2123"/>
  <c r="I2123"/>
  <c r="H2123"/>
  <c r="E2123"/>
  <c r="D2123"/>
  <c r="M2122"/>
  <c r="L2122"/>
  <c r="I2122"/>
  <c r="H2122"/>
  <c r="E2122"/>
  <c r="D2122"/>
  <c r="M2121"/>
  <c r="L2121"/>
  <c r="I2121"/>
  <c r="H2121"/>
  <c r="E2121"/>
  <c r="D2121"/>
  <c r="Q2119"/>
  <c r="P2119"/>
  <c r="Q2118"/>
  <c r="M2118"/>
  <c r="Q2117"/>
  <c r="M2117"/>
  <c r="Q2116"/>
  <c r="M2116"/>
  <c r="Q2115"/>
  <c r="P2113"/>
  <c r="A2111"/>
  <c r="A2110"/>
  <c r="A2108"/>
  <c r="A2107"/>
  <c r="Q2105"/>
  <c r="L2105"/>
  <c r="Q2104"/>
  <c r="P2104"/>
  <c r="Q2103"/>
  <c r="P2103"/>
  <c r="Q2101"/>
  <c r="P2101"/>
  <c r="P2099"/>
  <c r="K2097"/>
  <c r="A2097"/>
  <c r="Q2095"/>
  <c r="P2095"/>
  <c r="P2093"/>
  <c r="A2091"/>
  <c r="A2090"/>
  <c r="A2089"/>
  <c r="A2088"/>
  <c r="A2087"/>
  <c r="A2086"/>
  <c r="A2084"/>
  <c r="A2083"/>
  <c r="A2082"/>
  <c r="J2080"/>
  <c r="Q2079"/>
  <c r="P2079"/>
  <c r="P2077"/>
  <c r="A2075"/>
  <c r="A2074"/>
  <c r="A2073"/>
  <c r="A2072"/>
  <c r="A2071"/>
  <c r="A2070"/>
  <c r="A2069"/>
  <c r="A2068"/>
  <c r="A2067"/>
  <c r="A2066"/>
  <c r="A2065"/>
  <c r="A2064"/>
  <c r="A2063"/>
  <c r="A2062"/>
  <c r="A2061"/>
  <c r="A2060"/>
  <c r="A2059"/>
  <c r="A2058"/>
  <c r="A2057"/>
  <c r="A2056"/>
  <c r="P2054"/>
  <c r="A2051"/>
  <c r="H2051"/>
  <c r="A2049"/>
  <c r="G2046"/>
  <c r="A2046"/>
  <c r="G2045"/>
  <c r="A2045"/>
  <c r="G2044"/>
  <c r="A2044"/>
  <c r="G2043"/>
  <c r="A2043"/>
  <c r="A2036"/>
  <c r="A2035"/>
  <c r="A2034"/>
  <c r="F2013"/>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08"/>
  <c r="F2009"/>
  <c r="F2010"/>
  <c r="F2011"/>
  <c r="F2012"/>
  <c r="F2014"/>
  <c r="F2033"/>
  <c r="E2013"/>
  <c r="E2007"/>
  <c r="E2008"/>
  <c r="E2009"/>
  <c r="E2010"/>
  <c r="E2011"/>
  <c r="E2012"/>
  <c r="E2014"/>
  <c r="E2033"/>
  <c r="D2013"/>
  <c r="D2007"/>
  <c r="D2008"/>
  <c r="D2009"/>
  <c r="D2010"/>
  <c r="D2011"/>
  <c r="D2012"/>
  <c r="D2014"/>
  <c r="D2033"/>
  <c r="C2013"/>
  <c r="C2007"/>
  <c r="C2008"/>
  <c r="C2009"/>
  <c r="C2010"/>
  <c r="C2011"/>
  <c r="C2012"/>
  <c r="C2014"/>
  <c r="C2033"/>
  <c r="B2013"/>
  <c r="B2007"/>
  <c r="B2008"/>
  <c r="B2009"/>
  <c r="B2010"/>
  <c r="B2011"/>
  <c r="B2012"/>
  <c r="B2014"/>
  <c r="B2033"/>
  <c r="A1962"/>
  <c r="A1997"/>
  <c r="A2032"/>
  <c r="A1961"/>
  <c r="A1996"/>
  <c r="A2031"/>
  <c r="A1925"/>
  <c r="A1960"/>
  <c r="A1995"/>
  <c r="A2030"/>
  <c r="A1924"/>
  <c r="A1959"/>
  <c r="A1994"/>
  <c r="A2029"/>
  <c r="F2017"/>
  <c r="E2017"/>
  <c r="D2017"/>
  <c r="C2017"/>
  <c r="B2017"/>
  <c r="A1923"/>
  <c r="A1958"/>
  <c r="A1993"/>
  <c r="A2028"/>
  <c r="A1922"/>
  <c r="A1957"/>
  <c r="A1992"/>
  <c r="A2027"/>
  <c r="F2015"/>
  <c r="F2026"/>
  <c r="E2015"/>
  <c r="E2026"/>
  <c r="D2015"/>
  <c r="D2026"/>
  <c r="C2015"/>
  <c r="C2026"/>
  <c r="B2015"/>
  <c r="B2026"/>
  <c r="F2022"/>
  <c r="E2022"/>
  <c r="D2022"/>
  <c r="C2022"/>
  <c r="B2022"/>
  <c r="A1951"/>
  <c r="A1986"/>
  <c r="A2021"/>
  <c r="A1950"/>
  <c r="A1985"/>
  <c r="A2020"/>
  <c r="A1914"/>
  <c r="A1949"/>
  <c r="A1984"/>
  <c r="A2019"/>
  <c r="A1913"/>
  <c r="A1948"/>
  <c r="A1983"/>
  <c r="A2018"/>
  <c r="A1912"/>
  <c r="A1947"/>
  <c r="A1982"/>
  <c r="A2017"/>
  <c r="A1911"/>
  <c r="A1946"/>
  <c r="A1981"/>
  <c r="A2016"/>
  <c r="A2001"/>
  <c r="A2000"/>
  <c r="A1999"/>
  <c r="K1978"/>
  <c r="K1972"/>
  <c r="K1973"/>
  <c r="K1974"/>
  <c r="K1975"/>
  <c r="K1976"/>
  <c r="K1977"/>
  <c r="K1979"/>
  <c r="K1998"/>
  <c r="J1978"/>
  <c r="J1972"/>
  <c r="J1973"/>
  <c r="J1974"/>
  <c r="J1975"/>
  <c r="J1976"/>
  <c r="J1977"/>
  <c r="J1979"/>
  <c r="J1998"/>
  <c r="I1978"/>
  <c r="I1972"/>
  <c r="I1973"/>
  <c r="I1974"/>
  <c r="I1975"/>
  <c r="I1976"/>
  <c r="I1977"/>
  <c r="I1979"/>
  <c r="I1998"/>
  <c r="H1978"/>
  <c r="H1972"/>
  <c r="H1973"/>
  <c r="H1974"/>
  <c r="H1975"/>
  <c r="H1976"/>
  <c r="H1977"/>
  <c r="H1979"/>
  <c r="H1998"/>
  <c r="G1978"/>
  <c r="G1972"/>
  <c r="G1973"/>
  <c r="G1974"/>
  <c r="G1975"/>
  <c r="G1976"/>
  <c r="G1977"/>
  <c r="G1979"/>
  <c r="G1998"/>
  <c r="F1978"/>
  <c r="F1972"/>
  <c r="F1973"/>
  <c r="F1974"/>
  <c r="F1975"/>
  <c r="F1976"/>
  <c r="F1977"/>
  <c r="F1979"/>
  <c r="F1998"/>
  <c r="E1978"/>
  <c r="E1972"/>
  <c r="E1973"/>
  <c r="E1974"/>
  <c r="E1975"/>
  <c r="E1976"/>
  <c r="E1977"/>
  <c r="E1979"/>
  <c r="E1998"/>
  <c r="D1978"/>
  <c r="D1972"/>
  <c r="D1973"/>
  <c r="D1974"/>
  <c r="D1975"/>
  <c r="D1976"/>
  <c r="D1977"/>
  <c r="D1979"/>
  <c r="D1998"/>
  <c r="C1978"/>
  <c r="C1972"/>
  <c r="C1973"/>
  <c r="C1974"/>
  <c r="C1975"/>
  <c r="C1976"/>
  <c r="C1977"/>
  <c r="C1979"/>
  <c r="C1998"/>
  <c r="B1978"/>
  <c r="B1972"/>
  <c r="B1973"/>
  <c r="B1974"/>
  <c r="B1975"/>
  <c r="B1976"/>
  <c r="B1977"/>
  <c r="B1979"/>
  <c r="B1998"/>
  <c r="K1982"/>
  <c r="J1982"/>
  <c r="I1982"/>
  <c r="H1982"/>
  <c r="G1982"/>
  <c r="F1982"/>
  <c r="E1982"/>
  <c r="D1982"/>
  <c r="C1982"/>
  <c r="B1982"/>
  <c r="K1980"/>
  <c r="K1991"/>
  <c r="J1980"/>
  <c r="J1991"/>
  <c r="I1980"/>
  <c r="I1991"/>
  <c r="H1980"/>
  <c r="H1991"/>
  <c r="G1980"/>
  <c r="G1991"/>
  <c r="F1980"/>
  <c r="F1991"/>
  <c r="E1980"/>
  <c r="E1991"/>
  <c r="D1980"/>
  <c r="D1991"/>
  <c r="C1980"/>
  <c r="C1991"/>
  <c r="B1980"/>
  <c r="B1991"/>
  <c r="K1987"/>
  <c r="J1987"/>
  <c r="I1987"/>
  <c r="H1987"/>
  <c r="G1987"/>
  <c r="F1987"/>
  <c r="E1987"/>
  <c r="D1987"/>
  <c r="C1987"/>
  <c r="B1987"/>
  <c r="A1966"/>
  <c r="K1965"/>
  <c r="J1965"/>
  <c r="I1965"/>
  <c r="H1965"/>
  <c r="G1965"/>
  <c r="F1965"/>
  <c r="E1965"/>
  <c r="D1965"/>
  <c r="C1965"/>
  <c r="B1965"/>
  <c r="A1965"/>
  <c r="A1964"/>
  <c r="K1943"/>
  <c r="K1937"/>
  <c r="K1938"/>
  <c r="K1939"/>
  <c r="K1940"/>
  <c r="K1941"/>
  <c r="K1942"/>
  <c r="K1944"/>
  <c r="K1963"/>
  <c r="J1943"/>
  <c r="J1937"/>
  <c r="J1938"/>
  <c r="J1939"/>
  <c r="J1940"/>
  <c r="J1941"/>
  <c r="J1942"/>
  <c r="J1944"/>
  <c r="J1963"/>
  <c r="I1943"/>
  <c r="I1937"/>
  <c r="I1938"/>
  <c r="I1939"/>
  <c r="I1940"/>
  <c r="I1941"/>
  <c r="I1942"/>
  <c r="I1944"/>
  <c r="I1963"/>
  <c r="H1943"/>
  <c r="H1937"/>
  <c r="H1938"/>
  <c r="H1939"/>
  <c r="H1940"/>
  <c r="H1941"/>
  <c r="H1942"/>
  <c r="H1944"/>
  <c r="H1963"/>
  <c r="G1943"/>
  <c r="G1937"/>
  <c r="G1938"/>
  <c r="G1939"/>
  <c r="G1940"/>
  <c r="G1941"/>
  <c r="G1942"/>
  <c r="G1944"/>
  <c r="G1963"/>
  <c r="F1943"/>
  <c r="F1937"/>
  <c r="F1938"/>
  <c r="F1939"/>
  <c r="F1940"/>
  <c r="F1941"/>
  <c r="F1942"/>
  <c r="F1944"/>
  <c r="F1963"/>
  <c r="E1943"/>
  <c r="E1937"/>
  <c r="E1938"/>
  <c r="E1939"/>
  <c r="E1940"/>
  <c r="E1941"/>
  <c r="E1942"/>
  <c r="E1944"/>
  <c r="E1963"/>
  <c r="D1943"/>
  <c r="D1937"/>
  <c r="D1938"/>
  <c r="D1939"/>
  <c r="D1940"/>
  <c r="D1941"/>
  <c r="D1942"/>
  <c r="D1944"/>
  <c r="D1963"/>
  <c r="C1943"/>
  <c r="C1937"/>
  <c r="C1938"/>
  <c r="C1939"/>
  <c r="C1940"/>
  <c r="C1941"/>
  <c r="C1942"/>
  <c r="C1944"/>
  <c r="C1963"/>
  <c r="B1943"/>
  <c r="B1937"/>
  <c r="B1938"/>
  <c r="B1939"/>
  <c r="B1940"/>
  <c r="B1941"/>
  <c r="B1942"/>
  <c r="B1944"/>
  <c r="B1963"/>
  <c r="K1948"/>
  <c r="K1947"/>
  <c r="J1948"/>
  <c r="J1947"/>
  <c r="I1948"/>
  <c r="I1947"/>
  <c r="H1948"/>
  <c r="H1947"/>
  <c r="G1948"/>
  <c r="G1947"/>
  <c r="F1948"/>
  <c r="F1947"/>
  <c r="E1948"/>
  <c r="E1947"/>
  <c r="D1948"/>
  <c r="D1947"/>
  <c r="C1948"/>
  <c r="C1947"/>
  <c r="B1948"/>
  <c r="B1947"/>
  <c r="K1945"/>
  <c r="K1956"/>
  <c r="J1945"/>
  <c r="J1956"/>
  <c r="I1945"/>
  <c r="I1956"/>
  <c r="H1945"/>
  <c r="H1956"/>
  <c r="G1945"/>
  <c r="G1956"/>
  <c r="F1945"/>
  <c r="F1956"/>
  <c r="E1945"/>
  <c r="E1956"/>
  <c r="D1945"/>
  <c r="D1956"/>
  <c r="C1945"/>
  <c r="C1956"/>
  <c r="B1945"/>
  <c r="B1956"/>
  <c r="K1954"/>
  <c r="J1954"/>
  <c r="I1954"/>
  <c r="H1954"/>
  <c r="G1954"/>
  <c r="F1954"/>
  <c r="E1954"/>
  <c r="D1954"/>
  <c r="C1954"/>
  <c r="B1954"/>
  <c r="K1952"/>
  <c r="J1952"/>
  <c r="I1952"/>
  <c r="H1952"/>
  <c r="G1952"/>
  <c r="F1952"/>
  <c r="E1952"/>
  <c r="D1952"/>
  <c r="C1952"/>
  <c r="B1952"/>
  <c r="A1931"/>
  <c r="K1930"/>
  <c r="J1930"/>
  <c r="I1930"/>
  <c r="H1930"/>
  <c r="G1930"/>
  <c r="F1930"/>
  <c r="E1930"/>
  <c r="D1930"/>
  <c r="C1930"/>
  <c r="B1930"/>
  <c r="A1930"/>
  <c r="A1929"/>
  <c r="K1908"/>
  <c r="K1902"/>
  <c r="K1903"/>
  <c r="K1904"/>
  <c r="K1905"/>
  <c r="K1906"/>
  <c r="K1907"/>
  <c r="K1909"/>
  <c r="K1928"/>
  <c r="J1908"/>
  <c r="J1902"/>
  <c r="J1903"/>
  <c r="J1904"/>
  <c r="J1905"/>
  <c r="J1906"/>
  <c r="J1907"/>
  <c r="J1909"/>
  <c r="J1928"/>
  <c r="I1908"/>
  <c r="I1902"/>
  <c r="I1903"/>
  <c r="I1904"/>
  <c r="I1905"/>
  <c r="I1906"/>
  <c r="I1907"/>
  <c r="I1909"/>
  <c r="I1928"/>
  <c r="H1908"/>
  <c r="H1902"/>
  <c r="H1903"/>
  <c r="H1904"/>
  <c r="H1905"/>
  <c r="H1906"/>
  <c r="H1907"/>
  <c r="H1909"/>
  <c r="H1928"/>
  <c r="G1908"/>
  <c r="G1902"/>
  <c r="G1903"/>
  <c r="G1904"/>
  <c r="G1905"/>
  <c r="G1906"/>
  <c r="G1907"/>
  <c r="G1909"/>
  <c r="G1928"/>
  <c r="F1908"/>
  <c r="F1902"/>
  <c r="F1903"/>
  <c r="F1904"/>
  <c r="F1905"/>
  <c r="F1906"/>
  <c r="F1907"/>
  <c r="F1909"/>
  <c r="F1928"/>
  <c r="E1908"/>
  <c r="E1902"/>
  <c r="E1903"/>
  <c r="E1904"/>
  <c r="E1905"/>
  <c r="E1906"/>
  <c r="E1907"/>
  <c r="E1909"/>
  <c r="E1928"/>
  <c r="D1908"/>
  <c r="D1902"/>
  <c r="D1903"/>
  <c r="D1904"/>
  <c r="D1905"/>
  <c r="D1906"/>
  <c r="D1907"/>
  <c r="D1909"/>
  <c r="D1928"/>
  <c r="C1908"/>
  <c r="C1902"/>
  <c r="C1903"/>
  <c r="C1904"/>
  <c r="C1905"/>
  <c r="C1906"/>
  <c r="C1907"/>
  <c r="C1909"/>
  <c r="C1928"/>
  <c r="B1908"/>
  <c r="B1902"/>
  <c r="B1903"/>
  <c r="B1904"/>
  <c r="B1905"/>
  <c r="B1906"/>
  <c r="B1907"/>
  <c r="B1909"/>
  <c r="B1928"/>
  <c r="K1913"/>
  <c r="K1912"/>
  <c r="J1913"/>
  <c r="J1912"/>
  <c r="I1913"/>
  <c r="I1912"/>
  <c r="H1913"/>
  <c r="H1912"/>
  <c r="G1913"/>
  <c r="G1912"/>
  <c r="F1913"/>
  <c r="F1912"/>
  <c r="E1913"/>
  <c r="E1912"/>
  <c r="D1913"/>
  <c r="D1912"/>
  <c r="C1913"/>
  <c r="C1912"/>
  <c r="B1913"/>
  <c r="B1912"/>
  <c r="K1910"/>
  <c r="K1921"/>
  <c r="J1910"/>
  <c r="J1921"/>
  <c r="I1910"/>
  <c r="I1921"/>
  <c r="H1910"/>
  <c r="H1921"/>
  <c r="G1910"/>
  <c r="G1921"/>
  <c r="F1910"/>
  <c r="F1921"/>
  <c r="E1910"/>
  <c r="E1921"/>
  <c r="D1910"/>
  <c r="D1921"/>
  <c r="C1910"/>
  <c r="C1921"/>
  <c r="J1919"/>
  <c r="I1919"/>
  <c r="H1919"/>
  <c r="G1919"/>
  <c r="F1919"/>
  <c r="E1919"/>
  <c r="D1919"/>
  <c r="C1919"/>
  <c r="B1919"/>
  <c r="K1917"/>
  <c r="J1917"/>
  <c r="I1917"/>
  <c r="H1917"/>
  <c r="G1917"/>
  <c r="F1917"/>
  <c r="E1917"/>
  <c r="D1917"/>
  <c r="C1917"/>
  <c r="B1917"/>
  <c r="B1910"/>
  <c r="K1897"/>
  <c r="G1897"/>
  <c r="K1896"/>
  <c r="G1896"/>
  <c r="B1896"/>
  <c r="K1895"/>
  <c r="K1894"/>
  <c r="G1894"/>
  <c r="K1893"/>
  <c r="G1893"/>
  <c r="A1889"/>
  <c r="K1886"/>
  <c r="A1886"/>
  <c r="K1885"/>
  <c r="A1885"/>
  <c r="K1884"/>
  <c r="A1884"/>
  <c r="F1857"/>
  <c r="F1858"/>
  <c r="F1859"/>
  <c r="F1860"/>
  <c r="F1861"/>
  <c r="F1864"/>
  <c r="F1865"/>
  <c r="F1866"/>
  <c r="F1867"/>
  <c r="F1868"/>
  <c r="F1869"/>
  <c r="F1870"/>
  <c r="F1873"/>
  <c r="F1874"/>
  <c r="F1875"/>
  <c r="F1876"/>
  <c r="F1877"/>
  <c r="F1878"/>
  <c r="F1879"/>
  <c r="F1880"/>
  <c r="F1881"/>
  <c r="K1857"/>
  <c r="K1858"/>
  <c r="K1859"/>
  <c r="K1864"/>
  <c r="K1865"/>
  <c r="K1866"/>
  <c r="K1867"/>
  <c r="K1868"/>
  <c r="K1873"/>
  <c r="K1874"/>
  <c r="K1875"/>
  <c r="K1876"/>
  <c r="K1877"/>
  <c r="K1878"/>
  <c r="P1857"/>
  <c r="P1858"/>
  <c r="P1859"/>
  <c r="P1860"/>
  <c r="B1880"/>
  <c r="P1877"/>
  <c r="I1877"/>
  <c r="C1725"/>
  <c r="B1725"/>
  <c r="M1725"/>
  <c r="T1725"/>
  <c r="C1726"/>
  <c r="B1726"/>
  <c r="M1726"/>
  <c r="T1726"/>
  <c r="C1727"/>
  <c r="B1727"/>
  <c r="M1727"/>
  <c r="T1727"/>
  <c r="C1728"/>
  <c r="B1728"/>
  <c r="M1728"/>
  <c r="T1728"/>
  <c r="C1729"/>
  <c r="B1729"/>
  <c r="M1729"/>
  <c r="T1729"/>
  <c r="C1730"/>
  <c r="B1730"/>
  <c r="M1730"/>
  <c r="T1730"/>
  <c r="C1731"/>
  <c r="B1731"/>
  <c r="M1731"/>
  <c r="T1731"/>
  <c r="C1732"/>
  <c r="B1732"/>
  <c r="M1732"/>
  <c r="T1732"/>
  <c r="C1733"/>
  <c r="B1733"/>
  <c r="M1733"/>
  <c r="T1733"/>
  <c r="C1734"/>
  <c r="B1734"/>
  <c r="M1734"/>
  <c r="T1734"/>
  <c r="C1735"/>
  <c r="B1735"/>
  <c r="M1735"/>
  <c r="T1735"/>
  <c r="C1736"/>
  <c r="B1736"/>
  <c r="M1736"/>
  <c r="T1736"/>
  <c r="C1737"/>
  <c r="B1737"/>
  <c r="M1737"/>
  <c r="T1737"/>
  <c r="C1738"/>
  <c r="B1738"/>
  <c r="M1738"/>
  <c r="T1738"/>
  <c r="C1739"/>
  <c r="B1739"/>
  <c r="M1739"/>
  <c r="T1739"/>
  <c r="C1740"/>
  <c r="B1740"/>
  <c r="M1740"/>
  <c r="T1740"/>
  <c r="C1741"/>
  <c r="B1741"/>
  <c r="M1741"/>
  <c r="T1741"/>
  <c r="C1742"/>
  <c r="B1742"/>
  <c r="M1742"/>
  <c r="T1742"/>
  <c r="C1743"/>
  <c r="B1743"/>
  <c r="M1743"/>
  <c r="T1743"/>
  <c r="C1744"/>
  <c r="B1744"/>
  <c r="M1744"/>
  <c r="T1744"/>
  <c r="C1745"/>
  <c r="B1745"/>
  <c r="M1745"/>
  <c r="T1745"/>
  <c r="C1746"/>
  <c r="B1746"/>
  <c r="M1746"/>
  <c r="T1746"/>
  <c r="C1747"/>
  <c r="B1747"/>
  <c r="M1747"/>
  <c r="T1747"/>
  <c r="C1748"/>
  <c r="B1748"/>
  <c r="M1748"/>
  <c r="T1748"/>
  <c r="C1749"/>
  <c r="B1749"/>
  <c r="M1749"/>
  <c r="T1749"/>
  <c r="C1750"/>
  <c r="B1750"/>
  <c r="M1750"/>
  <c r="T1750"/>
  <c r="C1751"/>
  <c r="B1751"/>
  <c r="M1751"/>
  <c r="T1751"/>
  <c r="C1752"/>
  <c r="B1752"/>
  <c r="M1752"/>
  <c r="T1752"/>
  <c r="C1753"/>
  <c r="B1753"/>
  <c r="M1753"/>
  <c r="T1753"/>
  <c r="C1754"/>
  <c r="B1754"/>
  <c r="M1754"/>
  <c r="T1754"/>
  <c r="C1755"/>
  <c r="B1755"/>
  <c r="M1755"/>
  <c r="T1755"/>
  <c r="C1756"/>
  <c r="B1756"/>
  <c r="M1756"/>
  <c r="T1756"/>
  <c r="C1757"/>
  <c r="B1757"/>
  <c r="M1757"/>
  <c r="T1757"/>
  <c r="C1758"/>
  <c r="B1758"/>
  <c r="M1758"/>
  <c r="T1758"/>
  <c r="C1759"/>
  <c r="B1759"/>
  <c r="M1759"/>
  <c r="T1759"/>
  <c r="C1760"/>
  <c r="B1760"/>
  <c r="M1760"/>
  <c r="T1760"/>
  <c r="C1761"/>
  <c r="B1761"/>
  <c r="M1761"/>
  <c r="T1761"/>
  <c r="C1762"/>
  <c r="B1762"/>
  <c r="M1762"/>
  <c r="T1762"/>
  <c r="T1763"/>
  <c r="H1772"/>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Y1763"/>
  <c r="H1773"/>
  <c r="H1774"/>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AI1763"/>
  <c r="H1775"/>
  <c r="H1776"/>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BR1763"/>
  <c r="H1777"/>
  <c r="H1778"/>
  <c r="U1725"/>
  <c r="U1726"/>
  <c r="U1727"/>
  <c r="U1728"/>
  <c r="E1729"/>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U1763"/>
  <c r="I1772"/>
  <c r="Z1725"/>
  <c r="E1726"/>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Z1763"/>
  <c r="I1773"/>
  <c r="I1774"/>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AJ1763"/>
  <c r="I1775"/>
  <c r="I1776"/>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BS1763"/>
  <c r="I1777"/>
  <c r="I1778"/>
  <c r="V1725"/>
  <c r="V1726"/>
  <c r="V1727"/>
  <c r="V1728"/>
  <c r="V1729"/>
  <c r="E1730"/>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V1763"/>
  <c r="J1772"/>
  <c r="AA1725"/>
  <c r="AA1726"/>
  <c r="E1727"/>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A1763"/>
  <c r="J1773"/>
  <c r="J1774"/>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AK1763"/>
  <c r="J1775"/>
  <c r="J1776"/>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BT1763"/>
  <c r="J1777"/>
  <c r="J1778"/>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W1763"/>
  <c r="K177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B1763"/>
  <c r="K1773"/>
  <c r="K1774"/>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AL1763"/>
  <c r="K1775"/>
  <c r="K1776"/>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BU1763"/>
  <c r="K1777"/>
  <c r="K1778"/>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X1763"/>
  <c r="L177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C1763"/>
  <c r="L1773"/>
  <c r="L1774"/>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AM1763"/>
  <c r="L1775"/>
  <c r="L1776"/>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BV1763"/>
  <c r="L1777"/>
  <c r="L1778"/>
  <c r="M1778"/>
  <c r="P1876"/>
  <c r="J1875"/>
  <c r="J1874"/>
  <c r="N1873"/>
  <c r="J1873"/>
  <c r="B1869"/>
  <c r="I1867"/>
  <c r="B1860"/>
  <c r="N1859"/>
  <c r="P1849"/>
  <c r="P1850"/>
  <c r="P1851"/>
  <c r="P1852"/>
  <c r="O1849"/>
  <c r="O1850"/>
  <c r="O1851"/>
  <c r="O1852"/>
  <c r="N1849"/>
  <c r="N1850"/>
  <c r="N1851"/>
  <c r="N1852"/>
  <c r="M1849"/>
  <c r="M1850"/>
  <c r="M1851"/>
  <c r="M1852"/>
  <c r="L1849"/>
  <c r="L1850"/>
  <c r="L1851"/>
  <c r="L1852"/>
  <c r="K1849"/>
  <c r="K1850"/>
  <c r="K1851"/>
  <c r="K1852"/>
  <c r="J1849"/>
  <c r="J1850"/>
  <c r="J1851"/>
  <c r="J1852"/>
  <c r="I1849"/>
  <c r="I1850"/>
  <c r="I1851"/>
  <c r="I1852"/>
  <c r="H1849"/>
  <c r="H1850"/>
  <c r="H1851"/>
  <c r="H1852"/>
  <c r="G1849"/>
  <c r="G1850"/>
  <c r="G1851"/>
  <c r="G1852"/>
  <c r="C1851"/>
  <c r="P1844"/>
  <c r="P1845"/>
  <c r="P1846"/>
  <c r="O1844"/>
  <c r="O1845"/>
  <c r="O1846"/>
  <c r="N1844"/>
  <c r="N1845"/>
  <c r="N1846"/>
  <c r="M1844"/>
  <c r="M1845"/>
  <c r="M1846"/>
  <c r="L1844"/>
  <c r="L1845"/>
  <c r="L1846"/>
  <c r="K1844"/>
  <c r="K1845"/>
  <c r="K1846"/>
  <c r="J1844"/>
  <c r="J1845"/>
  <c r="J1846"/>
  <c r="I1844"/>
  <c r="I1845"/>
  <c r="I1846"/>
  <c r="H1844"/>
  <c r="H1845"/>
  <c r="H1846"/>
  <c r="G1844"/>
  <c r="G1845"/>
  <c r="G1846"/>
  <c r="C1845"/>
  <c r="P1838"/>
  <c r="P1839"/>
  <c r="P1840"/>
  <c r="P1841"/>
  <c r="O1838"/>
  <c r="O1839"/>
  <c r="O1840"/>
  <c r="O1841"/>
  <c r="N1838"/>
  <c r="N1839"/>
  <c r="N1840"/>
  <c r="N1841"/>
  <c r="M1838"/>
  <c r="M1839"/>
  <c r="M1840"/>
  <c r="M1841"/>
  <c r="L1838"/>
  <c r="L1839"/>
  <c r="L1840"/>
  <c r="L1841"/>
  <c r="K1838"/>
  <c r="K1839"/>
  <c r="K1840"/>
  <c r="K1841"/>
  <c r="J1838"/>
  <c r="J1839"/>
  <c r="J1840"/>
  <c r="J1841"/>
  <c r="I1838"/>
  <c r="I1839"/>
  <c r="I1840"/>
  <c r="I1841"/>
  <c r="H1838"/>
  <c r="H1839"/>
  <c r="H1840"/>
  <c r="H1841"/>
  <c r="G1838"/>
  <c r="G1839"/>
  <c r="G1840"/>
  <c r="G1841"/>
  <c r="C1840"/>
  <c r="P1833"/>
  <c r="P1834"/>
  <c r="P1835"/>
  <c r="O1833"/>
  <c r="O1834"/>
  <c r="O1835"/>
  <c r="N1833"/>
  <c r="N1834"/>
  <c r="N1835"/>
  <c r="M1833"/>
  <c r="M1834"/>
  <c r="M1835"/>
  <c r="L1833"/>
  <c r="L1834"/>
  <c r="L1835"/>
  <c r="K1833"/>
  <c r="K1834"/>
  <c r="K1835"/>
  <c r="J1833"/>
  <c r="J1834"/>
  <c r="J1835"/>
  <c r="I1833"/>
  <c r="I1834"/>
  <c r="I1835"/>
  <c r="H1833"/>
  <c r="H1834"/>
  <c r="H1835"/>
  <c r="G1833"/>
  <c r="G1834"/>
  <c r="G1835"/>
  <c r="C1834"/>
  <c r="P1827"/>
  <c r="P1828"/>
  <c r="P1829"/>
  <c r="P1830"/>
  <c r="O1827"/>
  <c r="O1828"/>
  <c r="O1829"/>
  <c r="O1830"/>
  <c r="N1827"/>
  <c r="N1828"/>
  <c r="N1829"/>
  <c r="N1830"/>
  <c r="M1827"/>
  <c r="M1828"/>
  <c r="M1829"/>
  <c r="M1830"/>
  <c r="L1827"/>
  <c r="L1828"/>
  <c r="L1829"/>
  <c r="L1830"/>
  <c r="K1827"/>
  <c r="K1828"/>
  <c r="K1829"/>
  <c r="K1830"/>
  <c r="J1827"/>
  <c r="J1828"/>
  <c r="J1829"/>
  <c r="J1830"/>
  <c r="I1827"/>
  <c r="I1828"/>
  <c r="I1829"/>
  <c r="I1830"/>
  <c r="H1827"/>
  <c r="H1828"/>
  <c r="H1829"/>
  <c r="H1830"/>
  <c r="G1827"/>
  <c r="G1828"/>
  <c r="G1829"/>
  <c r="G1830"/>
  <c r="C1829"/>
  <c r="P1822"/>
  <c r="P1823"/>
  <c r="P1824"/>
  <c r="O1822"/>
  <c r="O1823"/>
  <c r="O1824"/>
  <c r="N1822"/>
  <c r="N1823"/>
  <c r="N1824"/>
  <c r="M1822"/>
  <c r="M1823"/>
  <c r="M1824"/>
  <c r="L1822"/>
  <c r="L1823"/>
  <c r="L1824"/>
  <c r="K1822"/>
  <c r="K1823"/>
  <c r="K1824"/>
  <c r="J1822"/>
  <c r="J1823"/>
  <c r="J1824"/>
  <c r="I1822"/>
  <c r="I1823"/>
  <c r="I1824"/>
  <c r="H1822"/>
  <c r="H1823"/>
  <c r="H1824"/>
  <c r="G1822"/>
  <c r="G1823"/>
  <c r="G1824"/>
  <c r="C1823"/>
  <c r="E1725"/>
  <c r="H1725"/>
  <c r="I1725"/>
  <c r="K1725"/>
  <c r="L1725"/>
  <c r="H1726"/>
  <c r="I1726"/>
  <c r="K1726"/>
  <c r="L1726"/>
  <c r="H1727"/>
  <c r="I1727"/>
  <c r="K1727"/>
  <c r="L1727"/>
  <c r="E1728"/>
  <c r="H1728"/>
  <c r="I1728"/>
  <c r="K1728"/>
  <c r="L1728"/>
  <c r="H1729"/>
  <c r="I1729"/>
  <c r="K1729"/>
  <c r="L1729"/>
  <c r="H1730"/>
  <c r="I1730"/>
  <c r="K1730"/>
  <c r="L1730"/>
  <c r="E1731"/>
  <c r="H1731"/>
  <c r="I1731"/>
  <c r="K1731"/>
  <c r="L1731"/>
  <c r="E1732"/>
  <c r="H1732"/>
  <c r="I1732"/>
  <c r="K1732"/>
  <c r="L1732"/>
  <c r="E1733"/>
  <c r="H1733"/>
  <c r="I1733"/>
  <c r="K1733"/>
  <c r="L1733"/>
  <c r="E1734"/>
  <c r="H1734"/>
  <c r="I1734"/>
  <c r="K1734"/>
  <c r="L1734"/>
  <c r="E1735"/>
  <c r="H1735"/>
  <c r="I1735"/>
  <c r="K1735"/>
  <c r="L1735"/>
  <c r="E1736"/>
  <c r="H1736"/>
  <c r="I1736"/>
  <c r="K1736"/>
  <c r="L1736"/>
  <c r="E1737"/>
  <c r="H1737"/>
  <c r="I1737"/>
  <c r="K1737"/>
  <c r="L1737"/>
  <c r="E1738"/>
  <c r="H1738"/>
  <c r="I1738"/>
  <c r="K1738"/>
  <c r="L1738"/>
  <c r="E1739"/>
  <c r="H1739"/>
  <c r="I1739"/>
  <c r="K1739"/>
  <c r="L1739"/>
  <c r="E1740"/>
  <c r="H1740"/>
  <c r="I1740"/>
  <c r="K1740"/>
  <c r="L1740"/>
  <c r="E1741"/>
  <c r="H1741"/>
  <c r="I1741"/>
  <c r="K1741"/>
  <c r="L1741"/>
  <c r="E1742"/>
  <c r="H1742"/>
  <c r="I1742"/>
  <c r="K1742"/>
  <c r="L1742"/>
  <c r="E1743"/>
  <c r="H1743"/>
  <c r="I1743"/>
  <c r="K1743"/>
  <c r="L1743"/>
  <c r="E1744"/>
  <c r="H1744"/>
  <c r="I1744"/>
  <c r="K1744"/>
  <c r="L1744"/>
  <c r="E1745"/>
  <c r="H1745"/>
  <c r="I1745"/>
  <c r="K1745"/>
  <c r="L1745"/>
  <c r="E1746"/>
  <c r="H1746"/>
  <c r="I1746"/>
  <c r="K1746"/>
  <c r="L1746"/>
  <c r="E1747"/>
  <c r="H1747"/>
  <c r="I1747"/>
  <c r="K1747"/>
  <c r="L1747"/>
  <c r="E1748"/>
  <c r="H1748"/>
  <c r="I1748"/>
  <c r="K1748"/>
  <c r="L1748"/>
  <c r="E1749"/>
  <c r="H1749"/>
  <c r="I1749"/>
  <c r="K1749"/>
  <c r="L1749"/>
  <c r="E1750"/>
  <c r="H1750"/>
  <c r="I1750"/>
  <c r="K1750"/>
  <c r="L1750"/>
  <c r="E1751"/>
  <c r="H1751"/>
  <c r="I1751"/>
  <c r="K1751"/>
  <c r="L1751"/>
  <c r="E1752"/>
  <c r="H1752"/>
  <c r="I1752"/>
  <c r="K1752"/>
  <c r="L1752"/>
  <c r="E1753"/>
  <c r="H1753"/>
  <c r="I1753"/>
  <c r="K1753"/>
  <c r="L1753"/>
  <c r="E1754"/>
  <c r="H1754"/>
  <c r="I1754"/>
  <c r="K1754"/>
  <c r="L1754"/>
  <c r="E1755"/>
  <c r="H1755"/>
  <c r="I1755"/>
  <c r="K1755"/>
  <c r="L1755"/>
  <c r="E1756"/>
  <c r="H1756"/>
  <c r="I1756"/>
  <c r="K1756"/>
  <c r="L1756"/>
  <c r="E1757"/>
  <c r="H1757"/>
  <c r="I1757"/>
  <c r="K1757"/>
  <c r="L1757"/>
  <c r="E1758"/>
  <c r="H1758"/>
  <c r="I1758"/>
  <c r="K1758"/>
  <c r="L1758"/>
  <c r="E1759"/>
  <c r="H1759"/>
  <c r="I1759"/>
  <c r="K1759"/>
  <c r="L1759"/>
  <c r="E1760"/>
  <c r="H1760"/>
  <c r="I1760"/>
  <c r="K1760"/>
  <c r="L1760"/>
  <c r="E1761"/>
  <c r="H1761"/>
  <c r="I1761"/>
  <c r="K1761"/>
  <c r="L1761"/>
  <c r="E1762"/>
  <c r="H1762"/>
  <c r="I1762"/>
  <c r="K1762"/>
  <c r="L1762"/>
  <c r="L1763"/>
  <c r="L1764"/>
  <c r="G1817"/>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BW1763"/>
  <c r="Y1807"/>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B1763"/>
  <c r="Y1808"/>
  <c r="Y1809"/>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L1763"/>
  <c r="Y1810"/>
  <c r="Y1811"/>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CV1763"/>
  <c r="Y1812"/>
  <c r="Y1813"/>
  <c r="BX1725"/>
  <c r="BX1726"/>
  <c r="BX1727"/>
  <c r="BX1728"/>
  <c r="F1729"/>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BX1763"/>
  <c r="Z1807"/>
  <c r="CC1725"/>
  <c r="F1726"/>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C1763"/>
  <c r="Z1808"/>
  <c r="Z1809"/>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M1763"/>
  <c r="Z1810"/>
  <c r="Z1811"/>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CW1763"/>
  <c r="Z1812"/>
  <c r="Z1813"/>
  <c r="BY1725"/>
  <c r="BY1726"/>
  <c r="BY1727"/>
  <c r="BY1728"/>
  <c r="BY1729"/>
  <c r="F1730"/>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BY1763"/>
  <c r="AA1807"/>
  <c r="CD1725"/>
  <c r="CD1726"/>
  <c r="F1727"/>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D1763"/>
  <c r="AA1808"/>
  <c r="AA1809"/>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N1763"/>
  <c r="AA1810"/>
  <c r="AA1811"/>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CX1763"/>
  <c r="AA1812"/>
  <c r="AA1813"/>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BZ1763"/>
  <c r="AB1807"/>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E1763"/>
  <c r="AB1808"/>
  <c r="AB1809"/>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O1763"/>
  <c r="AB1810"/>
  <c r="AB1811"/>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Y1763"/>
  <c r="AB1812"/>
  <c r="AB1813"/>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A1763"/>
  <c r="AC1807"/>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F1763"/>
  <c r="AC1808"/>
  <c r="AC1809"/>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P1763"/>
  <c r="AC1810"/>
  <c r="AC1811"/>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CZ1763"/>
  <c r="AC1812"/>
  <c r="AC1813"/>
  <c r="AD1813"/>
  <c r="H1807"/>
  <c r="H1808"/>
  <c r="H1809"/>
  <c r="H1810"/>
  <c r="H1811"/>
  <c r="H1812"/>
  <c r="H1813"/>
  <c r="I1807"/>
  <c r="I1808"/>
  <c r="I1809"/>
  <c r="I1810"/>
  <c r="I1811"/>
  <c r="I1812"/>
  <c r="I1813"/>
  <c r="J1807"/>
  <c r="J1808"/>
  <c r="J1809"/>
  <c r="J1810"/>
  <c r="J1811"/>
  <c r="J1812"/>
  <c r="J1813"/>
  <c r="K1807"/>
  <c r="K1808"/>
  <c r="K1809"/>
  <c r="K1810"/>
  <c r="K1811"/>
  <c r="K1812"/>
  <c r="K1813"/>
  <c r="L1807"/>
  <c r="L1808"/>
  <c r="L1809"/>
  <c r="L1810"/>
  <c r="L1811"/>
  <c r="L1812"/>
  <c r="L1813"/>
  <c r="M1813"/>
  <c r="Q1813"/>
  <c r="AD1812"/>
  <c r="M1812"/>
  <c r="Q1812"/>
  <c r="AD1811"/>
  <c r="M1811"/>
  <c r="Q1811"/>
  <c r="AD1810"/>
  <c r="M1810"/>
  <c r="Q1810"/>
  <c r="AD1809"/>
  <c r="M1809"/>
  <c r="Q1809"/>
  <c r="AD1808"/>
  <c r="M1808"/>
  <c r="Q1808"/>
  <c r="AD1807"/>
  <c r="M1807"/>
  <c r="Q1807"/>
  <c r="N1725"/>
  <c r="FD1725"/>
  <c r="N1726"/>
  <c r="FD1726"/>
  <c r="N1727"/>
  <c r="FD1727"/>
  <c r="N1728"/>
  <c r="FD1728"/>
  <c r="N1729"/>
  <c r="FD1729"/>
  <c r="N1730"/>
  <c r="FD1730"/>
  <c r="N1731"/>
  <c r="FD1731"/>
  <c r="N1732"/>
  <c r="FD1732"/>
  <c r="N1733"/>
  <c r="FD1733"/>
  <c r="N1734"/>
  <c r="FD1734"/>
  <c r="N1735"/>
  <c r="FD1735"/>
  <c r="N1736"/>
  <c r="FD1736"/>
  <c r="N1737"/>
  <c r="FD1737"/>
  <c r="N1738"/>
  <c r="FD1738"/>
  <c r="N1739"/>
  <c r="FD1739"/>
  <c r="N1740"/>
  <c r="FD1740"/>
  <c r="N1741"/>
  <c r="FD1741"/>
  <c r="N1742"/>
  <c r="FD1742"/>
  <c r="N1743"/>
  <c r="FD1743"/>
  <c r="N1744"/>
  <c r="FD1744"/>
  <c r="N1745"/>
  <c r="FD1745"/>
  <c r="N1746"/>
  <c r="FD1746"/>
  <c r="N1747"/>
  <c r="FD1747"/>
  <c r="N1748"/>
  <c r="FD1748"/>
  <c r="N1749"/>
  <c r="FD1749"/>
  <c r="N1750"/>
  <c r="FD1750"/>
  <c r="N1751"/>
  <c r="FD1751"/>
  <c r="N1752"/>
  <c r="FD1752"/>
  <c r="N1753"/>
  <c r="FD1753"/>
  <c r="N1754"/>
  <c r="FD1754"/>
  <c r="N1755"/>
  <c r="FD1755"/>
  <c r="N1756"/>
  <c r="FD1756"/>
  <c r="N1757"/>
  <c r="FD1757"/>
  <c r="N1758"/>
  <c r="FD1758"/>
  <c r="N1759"/>
  <c r="FD1759"/>
  <c r="N1760"/>
  <c r="FD1760"/>
  <c r="N1761"/>
  <c r="FD1761"/>
  <c r="N1762"/>
  <c r="FD1762"/>
  <c r="FD1763"/>
  <c r="Y1804"/>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E1763"/>
  <c r="Z1804"/>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F1763"/>
  <c r="AA1804"/>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G1763"/>
  <c r="AB1804"/>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H1763"/>
  <c r="AC1804"/>
  <c r="AD1804"/>
  <c r="H1804"/>
  <c r="I1804"/>
  <c r="J1804"/>
  <c r="K1804"/>
  <c r="L1804"/>
  <c r="M1804"/>
  <c r="Q1804"/>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I1763"/>
  <c r="Y1803"/>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J1763"/>
  <c r="Z1803"/>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K1763"/>
  <c r="AA1803"/>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L1763"/>
  <c r="AB1803"/>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M1763"/>
  <c r="AC1803"/>
  <c r="AD1803"/>
  <c r="H1803"/>
  <c r="I1803"/>
  <c r="J1803"/>
  <c r="K1803"/>
  <c r="L1803"/>
  <c r="M1803"/>
  <c r="Q1803"/>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N1763"/>
  <c r="Y180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O1763"/>
  <c r="Z180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P1763"/>
  <c r="AA180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Q1763"/>
  <c r="AB180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FR1763"/>
  <c r="AC1802"/>
  <c r="AD1802"/>
  <c r="H1802"/>
  <c r="I1802"/>
  <c r="J1802"/>
  <c r="K1802"/>
  <c r="L1802"/>
  <c r="M1802"/>
  <c r="Q180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Y1763"/>
  <c r="Y1801"/>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EZ1763"/>
  <c r="Z1801"/>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A1763"/>
  <c r="AA1801"/>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B1763"/>
  <c r="AB1801"/>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FC1763"/>
  <c r="AC1801"/>
  <c r="AD1801"/>
  <c r="H1801"/>
  <c r="I1801"/>
  <c r="J1801"/>
  <c r="K1801"/>
  <c r="L1801"/>
  <c r="M1801"/>
  <c r="Q1801"/>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T1763"/>
  <c r="Y1800"/>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U1763"/>
  <c r="Z1800"/>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V1763"/>
  <c r="AA1800"/>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W1763"/>
  <c r="AB1800"/>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EX1763"/>
  <c r="AC1800"/>
  <c r="AD1800"/>
  <c r="H1800"/>
  <c r="I1800"/>
  <c r="J1800"/>
  <c r="K1800"/>
  <c r="L1800"/>
  <c r="M1800"/>
  <c r="Q1800"/>
  <c r="H1798"/>
  <c r="I1798"/>
  <c r="J1798"/>
  <c r="K1798"/>
  <c r="L1798"/>
  <c r="M1798"/>
  <c r="H1797"/>
  <c r="I1797"/>
  <c r="J1797"/>
  <c r="K1797"/>
  <c r="L1797"/>
  <c r="M1797"/>
  <c r="O1725"/>
  <c r="EE1725"/>
  <c r="O1726"/>
  <c r="EE1726"/>
  <c r="O1727"/>
  <c r="EE1727"/>
  <c r="O1728"/>
  <c r="EE1728"/>
  <c r="O1729"/>
  <c r="EE1729"/>
  <c r="O1730"/>
  <c r="EE1730"/>
  <c r="O1731"/>
  <c r="EE1731"/>
  <c r="O1732"/>
  <c r="EE1732"/>
  <c r="O1733"/>
  <c r="EE1733"/>
  <c r="O1734"/>
  <c r="EE1734"/>
  <c r="O1735"/>
  <c r="EE1735"/>
  <c r="O1736"/>
  <c r="EE1736"/>
  <c r="O1737"/>
  <c r="EE1737"/>
  <c r="O1738"/>
  <c r="EE1738"/>
  <c r="O1739"/>
  <c r="EE1739"/>
  <c r="O1740"/>
  <c r="EE1740"/>
  <c r="O1741"/>
  <c r="EE1741"/>
  <c r="O1742"/>
  <c r="EE1742"/>
  <c r="O1743"/>
  <c r="EE1743"/>
  <c r="O1744"/>
  <c r="EE1744"/>
  <c r="O1745"/>
  <c r="EE1745"/>
  <c r="O1746"/>
  <c r="EE1746"/>
  <c r="O1747"/>
  <c r="EE1747"/>
  <c r="O1748"/>
  <c r="EE1748"/>
  <c r="O1749"/>
  <c r="EE1749"/>
  <c r="O1750"/>
  <c r="EE1750"/>
  <c r="O1751"/>
  <c r="EE1751"/>
  <c r="O1752"/>
  <c r="EE1752"/>
  <c r="O1753"/>
  <c r="EE1753"/>
  <c r="O1754"/>
  <c r="EE1754"/>
  <c r="O1755"/>
  <c r="EE1755"/>
  <c r="O1756"/>
  <c r="EE1756"/>
  <c r="O1757"/>
  <c r="EE1757"/>
  <c r="O1758"/>
  <c r="EE1758"/>
  <c r="O1759"/>
  <c r="EE1759"/>
  <c r="O1760"/>
  <c r="EE1760"/>
  <c r="O1761"/>
  <c r="EE1761"/>
  <c r="O1762"/>
  <c r="EE1762"/>
  <c r="EE1763"/>
  <c r="Y1794"/>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J1763"/>
  <c r="Y1795"/>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O1763"/>
  <c r="Y1796"/>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F1763"/>
  <c r="Z1794"/>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K1763"/>
  <c r="Z1795"/>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P1763"/>
  <c r="Z1796"/>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G1763"/>
  <c r="AA1794"/>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L1763"/>
  <c r="AA1795"/>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Q1763"/>
  <c r="AA1796"/>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H1763"/>
  <c r="AB1794"/>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M1763"/>
  <c r="AB1795"/>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R1763"/>
  <c r="AB1796"/>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I1763"/>
  <c r="AC1794"/>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N1763"/>
  <c r="AC1795"/>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ES1763"/>
  <c r="AC1796"/>
  <c r="AD1796"/>
  <c r="H1794"/>
  <c r="H1795"/>
  <c r="H1796"/>
  <c r="I1794"/>
  <c r="I1795"/>
  <c r="I1796"/>
  <c r="J1794"/>
  <c r="J1795"/>
  <c r="J1796"/>
  <c r="K1794"/>
  <c r="K1795"/>
  <c r="K1796"/>
  <c r="L1794"/>
  <c r="L1795"/>
  <c r="L1796"/>
  <c r="M1796"/>
  <c r="Q1796"/>
  <c r="AD1795"/>
  <c r="M1795"/>
  <c r="Q1795"/>
  <c r="AD1794"/>
  <c r="M1794"/>
  <c r="Q1794"/>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P1763"/>
  <c r="Y1791"/>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U1763"/>
  <c r="Y179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Z1763"/>
  <c r="Y1793"/>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Q1763"/>
  <c r="Z1791"/>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DV1763"/>
  <c r="Z179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EA1763"/>
  <c r="Z1793"/>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R1763"/>
  <c r="AA1791"/>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DW1763"/>
  <c r="AA179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EB1763"/>
  <c r="AA1793"/>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S1763"/>
  <c r="AB1791"/>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DX1763"/>
  <c r="AB179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EC1763"/>
  <c r="AB1793"/>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T1763"/>
  <c r="AC1791"/>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DY1763"/>
  <c r="AC179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ED1763"/>
  <c r="AC1793"/>
  <c r="AD1793"/>
  <c r="H1791"/>
  <c r="H1792"/>
  <c r="H1793"/>
  <c r="I1791"/>
  <c r="I1792"/>
  <c r="I1793"/>
  <c r="J1791"/>
  <c r="J1792"/>
  <c r="J1793"/>
  <c r="K1791"/>
  <c r="K1792"/>
  <c r="K1793"/>
  <c r="L1791"/>
  <c r="L1792"/>
  <c r="L1793"/>
  <c r="M1793"/>
  <c r="Q1793"/>
  <c r="AD1792"/>
  <c r="M1792"/>
  <c r="Q1792"/>
  <c r="AD1791"/>
  <c r="M1791"/>
  <c r="Q1791"/>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A1763"/>
  <c r="Y1788"/>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F1763"/>
  <c r="Y1789"/>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K1763"/>
  <c r="Y1790"/>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B1763"/>
  <c r="Z1788"/>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G1763"/>
  <c r="Z1789"/>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L1763"/>
  <c r="Z1790"/>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C1763"/>
  <c r="AA1788"/>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H1763"/>
  <c r="AA1789"/>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M1763"/>
  <c r="AA1790"/>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D1763"/>
  <c r="AB1788"/>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I1763"/>
  <c r="AB1789"/>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N1763"/>
  <c r="AB1790"/>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E1763"/>
  <c r="AC1788"/>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J1763"/>
  <c r="AC1789"/>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DO1763"/>
  <c r="AC1790"/>
  <c r="AD1790"/>
  <c r="H1788"/>
  <c r="H1789"/>
  <c r="H1790"/>
  <c r="I1788"/>
  <c r="I1789"/>
  <c r="I1790"/>
  <c r="J1788"/>
  <c r="J1789"/>
  <c r="J1790"/>
  <c r="K1788"/>
  <c r="K1789"/>
  <c r="K1790"/>
  <c r="L1788"/>
  <c r="L1789"/>
  <c r="L1790"/>
  <c r="M1790"/>
  <c r="Q1790"/>
  <c r="AD1789"/>
  <c r="M1789"/>
  <c r="Q1789"/>
  <c r="AD1788"/>
  <c r="M1788"/>
  <c r="Q1788"/>
  <c r="J1725"/>
  <c r="BM1725"/>
  <c r="J1726"/>
  <c r="BM1726"/>
  <c r="J1727"/>
  <c r="BM1727"/>
  <c r="J1728"/>
  <c r="BM1728"/>
  <c r="J1729"/>
  <c r="BM1729"/>
  <c r="J1730"/>
  <c r="BM1730"/>
  <c r="J1731"/>
  <c r="BM1731"/>
  <c r="J1732"/>
  <c r="BM1732"/>
  <c r="J1733"/>
  <c r="BM1733"/>
  <c r="J1734"/>
  <c r="BM1734"/>
  <c r="J1735"/>
  <c r="BM1735"/>
  <c r="J1736"/>
  <c r="BM1736"/>
  <c r="J1737"/>
  <c r="BM1737"/>
  <c r="J1738"/>
  <c r="BM1738"/>
  <c r="J1739"/>
  <c r="BM1739"/>
  <c r="J1740"/>
  <c r="BM1740"/>
  <c r="J1741"/>
  <c r="BM1741"/>
  <c r="J1742"/>
  <c r="BM1742"/>
  <c r="J1743"/>
  <c r="BM1743"/>
  <c r="J1744"/>
  <c r="BM1744"/>
  <c r="J1745"/>
  <c r="BM1745"/>
  <c r="J1746"/>
  <c r="BM1746"/>
  <c r="J1747"/>
  <c r="BM1747"/>
  <c r="J1748"/>
  <c r="BM1748"/>
  <c r="J1749"/>
  <c r="BM1749"/>
  <c r="J1750"/>
  <c r="BM1750"/>
  <c r="J1751"/>
  <c r="BM1751"/>
  <c r="J1752"/>
  <c r="BM1752"/>
  <c r="J1753"/>
  <c r="BM1753"/>
  <c r="J1754"/>
  <c r="BM1754"/>
  <c r="J1755"/>
  <c r="BM1755"/>
  <c r="J1756"/>
  <c r="BM1756"/>
  <c r="J1757"/>
  <c r="BM1757"/>
  <c r="J1758"/>
  <c r="BM1758"/>
  <c r="J1759"/>
  <c r="BM1759"/>
  <c r="J1760"/>
  <c r="BM1760"/>
  <c r="J1761"/>
  <c r="BM1761"/>
  <c r="J1762"/>
  <c r="BM1762"/>
  <c r="BM1763"/>
  <c r="Y1784"/>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H1763"/>
  <c r="Y1785"/>
  <c r="Y1786"/>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N1763"/>
  <c r="Z1784"/>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I1763"/>
  <c r="Z1785"/>
  <c r="Z1786"/>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O1763"/>
  <c r="AA1784"/>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J1763"/>
  <c r="AA1785"/>
  <c r="AA1786"/>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P1763"/>
  <c r="AB1784"/>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K1763"/>
  <c r="AB1785"/>
  <c r="AB1786"/>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Q1763"/>
  <c r="AC1784"/>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BL1763"/>
  <c r="AC1785"/>
  <c r="AC1786"/>
  <c r="AD1786"/>
  <c r="H1784"/>
  <c r="H1785"/>
  <c r="H1786"/>
  <c r="I1784"/>
  <c r="I1785"/>
  <c r="I1786"/>
  <c r="J1784"/>
  <c r="J1785"/>
  <c r="J1786"/>
  <c r="K1784"/>
  <c r="K1785"/>
  <c r="K1786"/>
  <c r="L1784"/>
  <c r="L1785"/>
  <c r="L1786"/>
  <c r="M1786"/>
  <c r="Q1786"/>
  <c r="AD1785"/>
  <c r="M1785"/>
  <c r="Q1785"/>
  <c r="AD1784"/>
  <c r="M1784"/>
  <c r="Q1784"/>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X1763"/>
  <c r="Y1780"/>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S1763"/>
  <c r="Y1781"/>
  <c r="Y178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Y1763"/>
  <c r="Z1780"/>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T1763"/>
  <c r="Z1781"/>
  <c r="Z178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Z1763"/>
  <c r="AA1780"/>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AU1763"/>
  <c r="AA1781"/>
  <c r="AA178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BA1763"/>
  <c r="AB1780"/>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AV1763"/>
  <c r="AB1781"/>
  <c r="AB178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BB1763"/>
  <c r="AC1780"/>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AW1763"/>
  <c r="AC1781"/>
  <c r="AC1782"/>
  <c r="AD1782"/>
  <c r="H1780"/>
  <c r="H1781"/>
  <c r="H1782"/>
  <c r="I1780"/>
  <c r="I1781"/>
  <c r="I1782"/>
  <c r="J1780"/>
  <c r="J1781"/>
  <c r="J1782"/>
  <c r="K1780"/>
  <c r="K1781"/>
  <c r="K1782"/>
  <c r="L1780"/>
  <c r="L1781"/>
  <c r="L1782"/>
  <c r="M1782"/>
  <c r="Q1782"/>
  <c r="AD1781"/>
  <c r="M1781"/>
  <c r="Q1781"/>
  <c r="AD1780"/>
  <c r="M1780"/>
  <c r="Q1780"/>
  <c r="Y1772"/>
  <c r="Y1773"/>
  <c r="Y1774"/>
  <c r="Y1775"/>
  <c r="Y1776"/>
  <c r="Y1777"/>
  <c r="Y1778"/>
  <c r="Z1772"/>
  <c r="Z1773"/>
  <c r="Z1774"/>
  <c r="Z1775"/>
  <c r="Z1776"/>
  <c r="Z1777"/>
  <c r="Z1778"/>
  <c r="AA1772"/>
  <c r="AA1773"/>
  <c r="AA1774"/>
  <c r="AA1775"/>
  <c r="AA1776"/>
  <c r="AA1777"/>
  <c r="AA1778"/>
  <c r="AB1772"/>
  <c r="AB1773"/>
  <c r="AB1774"/>
  <c r="AB1775"/>
  <c r="AB1776"/>
  <c r="AB1777"/>
  <c r="AB1778"/>
  <c r="AC1772"/>
  <c r="AC1773"/>
  <c r="AC1774"/>
  <c r="AC1775"/>
  <c r="AC1776"/>
  <c r="AC1777"/>
  <c r="AC1778"/>
  <c r="AD1778"/>
  <c r="Q1778"/>
  <c r="AD1777"/>
  <c r="M1777"/>
  <c r="Q1777"/>
  <c r="AD1776"/>
  <c r="M1776"/>
  <c r="Q1776"/>
  <c r="AD1775"/>
  <c r="M1775"/>
  <c r="Q1775"/>
  <c r="AD1774"/>
  <c r="M1774"/>
  <c r="Q1774"/>
  <c r="AD1773"/>
  <c r="M1773"/>
  <c r="Q1773"/>
  <c r="AD1772"/>
  <c r="M1772"/>
  <c r="Q1772"/>
  <c r="Q1769"/>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K1763"/>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J1763"/>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I1763"/>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H1763"/>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G1763"/>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F1763"/>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E1763"/>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D1763"/>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C1763"/>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B1763"/>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HA1763"/>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Z1763"/>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Y1763"/>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X1763"/>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W1763"/>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V1763"/>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U1763"/>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T1763"/>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S1763"/>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R1763"/>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Q1763"/>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P1763"/>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O1763"/>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N1763"/>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M1763"/>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L1763"/>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K1763"/>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J1763"/>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I1763"/>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H1763"/>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G1763"/>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F1763"/>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E1763"/>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D1763"/>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C1763"/>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B1763"/>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GA1763"/>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Z1763"/>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Y1763"/>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X1763"/>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W1763"/>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V1763"/>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U1763"/>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T1763"/>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FS1763"/>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U1763"/>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T1763"/>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S1763"/>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R1763"/>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Q1763"/>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K1763"/>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J1763"/>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I1763"/>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H1763"/>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CG1763"/>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G1763"/>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F1763"/>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E1763"/>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D1763"/>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BC1763"/>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R1763"/>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Q1763"/>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P1763"/>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O1763"/>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N1763"/>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H1763"/>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G1763"/>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F1763"/>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E1763"/>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AD1763"/>
  <c r="F1725"/>
  <c r="F1728"/>
  <c r="F1731"/>
  <c r="F1732"/>
  <c r="F1733"/>
  <c r="F1734"/>
  <c r="F1735"/>
  <c r="F1736"/>
  <c r="F1737"/>
  <c r="F1738"/>
  <c r="F1739"/>
  <c r="F1740"/>
  <c r="F1741"/>
  <c r="F1742"/>
  <c r="F1743"/>
  <c r="F1744"/>
  <c r="F1745"/>
  <c r="F1746"/>
  <c r="F1747"/>
  <c r="F1748"/>
  <c r="F1749"/>
  <c r="F1750"/>
  <c r="F1751"/>
  <c r="F1752"/>
  <c r="F1753"/>
  <c r="F1754"/>
  <c r="F1755"/>
  <c r="F1756"/>
  <c r="F1757"/>
  <c r="F1758"/>
  <c r="F1759"/>
  <c r="F1760"/>
  <c r="F1761"/>
  <c r="F1762"/>
  <c r="F1763"/>
  <c r="E1763"/>
  <c r="D1725"/>
  <c r="G1725"/>
  <c r="A1725"/>
  <c r="D1726"/>
  <c r="G1726"/>
  <c r="A1726"/>
  <c r="D1727"/>
  <c r="G1727"/>
  <c r="A1727"/>
  <c r="D1728"/>
  <c r="G1728"/>
  <c r="A1728"/>
  <c r="D1729"/>
  <c r="G1729"/>
  <c r="A1729"/>
  <c r="D1730"/>
  <c r="G1730"/>
  <c r="A1730"/>
  <c r="D1731"/>
  <c r="G1731"/>
  <c r="A1731"/>
  <c r="D1732"/>
  <c r="G1732"/>
  <c r="A1732"/>
  <c r="D1733"/>
  <c r="G1733"/>
  <c r="A1733"/>
  <c r="D1734"/>
  <c r="G1734"/>
  <c r="A1734"/>
  <c r="D1735"/>
  <c r="G1735"/>
  <c r="A1735"/>
  <c r="D1736"/>
  <c r="G1736"/>
  <c r="A1736"/>
  <c r="D1737"/>
  <c r="G1737"/>
  <c r="A1737"/>
  <c r="D1738"/>
  <c r="G1738"/>
  <c r="A1738"/>
  <c r="D1739"/>
  <c r="G1739"/>
  <c r="A1739"/>
  <c r="D1740"/>
  <c r="G1740"/>
  <c r="A1740"/>
  <c r="D1741"/>
  <c r="G1741"/>
  <c r="A1741"/>
  <c r="D1742"/>
  <c r="G1742"/>
  <c r="A1742"/>
  <c r="D1743"/>
  <c r="G1743"/>
  <c r="A1743"/>
  <c r="D1744"/>
  <c r="G1744"/>
  <c r="A1744"/>
  <c r="D1745"/>
  <c r="G1745"/>
  <c r="A1745"/>
  <c r="D1746"/>
  <c r="G1746"/>
  <c r="A1746"/>
  <c r="D1747"/>
  <c r="G1747"/>
  <c r="A1747"/>
  <c r="D1748"/>
  <c r="G1748"/>
  <c r="A1748"/>
  <c r="D1749"/>
  <c r="G1749"/>
  <c r="A1749"/>
  <c r="D1750"/>
  <c r="G1750"/>
  <c r="A1750"/>
  <c r="D1751"/>
  <c r="G1751"/>
  <c r="A1751"/>
  <c r="D1752"/>
  <c r="G1752"/>
  <c r="A1752"/>
  <c r="D1753"/>
  <c r="G1753"/>
  <c r="A1753"/>
  <c r="D1754"/>
  <c r="G1754"/>
  <c r="A1754"/>
  <c r="A1763"/>
  <c r="R1762"/>
  <c r="G1762"/>
  <c r="D1762"/>
  <c r="A1762"/>
  <c r="R1761"/>
  <c r="G1761"/>
  <c r="D1761"/>
  <c r="A1761"/>
  <c r="R1760"/>
  <c r="G1760"/>
  <c r="D1760"/>
  <c r="A1760"/>
  <c r="R1759"/>
  <c r="G1759"/>
  <c r="D1759"/>
  <c r="A1759"/>
  <c r="R1758"/>
  <c r="G1758"/>
  <c r="D1758"/>
  <c r="A1758"/>
  <c r="R1757"/>
  <c r="G1757"/>
  <c r="D1757"/>
  <c r="A1757"/>
  <c r="R1756"/>
  <c r="G1756"/>
  <c r="D1756"/>
  <c r="A1756"/>
  <c r="R1755"/>
  <c r="G1755"/>
  <c r="D1755"/>
  <c r="A1755"/>
  <c r="R1754"/>
  <c r="R1753"/>
  <c r="R1752"/>
  <c r="R1751"/>
  <c r="R1750"/>
  <c r="R1749"/>
  <c r="R1748"/>
  <c r="R1747"/>
  <c r="R1746"/>
  <c r="R1745"/>
  <c r="R1744"/>
  <c r="R1743"/>
  <c r="R1742"/>
  <c r="R1741"/>
  <c r="R1740"/>
  <c r="R1739"/>
  <c r="R1738"/>
  <c r="R1737"/>
  <c r="R1736"/>
  <c r="R1735"/>
  <c r="R1734"/>
  <c r="R1733"/>
  <c r="R1732"/>
  <c r="R1731"/>
  <c r="R1730"/>
  <c r="R1729"/>
  <c r="R1728"/>
  <c r="R1727"/>
  <c r="R1726"/>
  <c r="R1725"/>
  <c r="A1722"/>
  <c r="G1721"/>
  <c r="G1720"/>
  <c r="A1716"/>
  <c r="B1713"/>
  <c r="B1712"/>
  <c r="B1709"/>
  <c r="B1708"/>
  <c r="M1696"/>
  <c r="M1697"/>
  <c r="M1698"/>
  <c r="M1699"/>
  <c r="M1700"/>
  <c r="M1701"/>
  <c r="M1702"/>
  <c r="M1703"/>
  <c r="L1696"/>
  <c r="L1697"/>
  <c r="L1698"/>
  <c r="L1699"/>
  <c r="L1700"/>
  <c r="L1701"/>
  <c r="L1702"/>
  <c r="L1703"/>
  <c r="K1696"/>
  <c r="K1697"/>
  <c r="K1698"/>
  <c r="K1699"/>
  <c r="K1700"/>
  <c r="K1701"/>
  <c r="K1702"/>
  <c r="K1703"/>
  <c r="J1696"/>
  <c r="J1697"/>
  <c r="J1698"/>
  <c r="J1699"/>
  <c r="J1700"/>
  <c r="J1701"/>
  <c r="J1702"/>
  <c r="J1703"/>
  <c r="I1696"/>
  <c r="I1697"/>
  <c r="I1698"/>
  <c r="I1699"/>
  <c r="I1700"/>
  <c r="I1701"/>
  <c r="I1702"/>
  <c r="I1703"/>
  <c r="G1702"/>
  <c r="F1702"/>
  <c r="G1701"/>
  <c r="F1701"/>
  <c r="E1701"/>
  <c r="G1700"/>
  <c r="F1700"/>
  <c r="G1699"/>
  <c r="F1699"/>
  <c r="D1699"/>
  <c r="G1698"/>
  <c r="F1698"/>
  <c r="D1698"/>
  <c r="G1697"/>
  <c r="F1697"/>
  <c r="G1696"/>
  <c r="F1696"/>
  <c r="D1696"/>
  <c r="L1692"/>
  <c r="I1692"/>
  <c r="I1691"/>
  <c r="M1682"/>
  <c r="M1683"/>
  <c r="M1684"/>
  <c r="M1685"/>
  <c r="M1686"/>
  <c r="M1687"/>
  <c r="M1688"/>
  <c r="M1689"/>
  <c r="L1682"/>
  <c r="L1683"/>
  <c r="L1684"/>
  <c r="L1685"/>
  <c r="L1686"/>
  <c r="L1687"/>
  <c r="L1688"/>
  <c r="L1689"/>
  <c r="K1682"/>
  <c r="K1683"/>
  <c r="K1684"/>
  <c r="K1685"/>
  <c r="K1686"/>
  <c r="K1687"/>
  <c r="K1688"/>
  <c r="K1689"/>
  <c r="J1682"/>
  <c r="J1683"/>
  <c r="J1684"/>
  <c r="J1685"/>
  <c r="J1686"/>
  <c r="J1687"/>
  <c r="J1688"/>
  <c r="J1689"/>
  <c r="I1682"/>
  <c r="I1683"/>
  <c r="I1684"/>
  <c r="I1685"/>
  <c r="I1686"/>
  <c r="I1687"/>
  <c r="I1688"/>
  <c r="I1689"/>
  <c r="G1688"/>
  <c r="F1688"/>
  <c r="G1687"/>
  <c r="F1687"/>
  <c r="E1687"/>
  <c r="G1686"/>
  <c r="F1686"/>
  <c r="G1685"/>
  <c r="F1685"/>
  <c r="D1685"/>
  <c r="G1684"/>
  <c r="F1684"/>
  <c r="D1684"/>
  <c r="G1683"/>
  <c r="F1683"/>
  <c r="G1682"/>
  <c r="F1682"/>
  <c r="D1682"/>
  <c r="L1678"/>
  <c r="I1678"/>
  <c r="I1677"/>
  <c r="A1673"/>
  <c r="K1668"/>
  <c r="A1668"/>
  <c r="K1667"/>
  <c r="A1667"/>
  <c r="K1666"/>
  <c r="A1666"/>
  <c r="K1665"/>
  <c r="A1665"/>
  <c r="J1659"/>
  <c r="Q1654"/>
  <c r="N1654"/>
  <c r="J1654"/>
  <c r="T1652"/>
  <c r="O1652"/>
  <c r="M1652"/>
  <c r="J1652"/>
  <c r="T1651"/>
  <c r="J1649"/>
  <c r="G1599"/>
  <c r="G1596"/>
  <c r="G1597"/>
  <c r="G1598"/>
  <c r="G1600"/>
  <c r="G1504"/>
  <c r="G1505"/>
  <c r="G1506"/>
  <c r="G1507"/>
  <c r="G1508"/>
  <c r="G1509"/>
  <c r="G1510"/>
  <c r="G1511"/>
  <c r="G1512"/>
  <c r="G1513"/>
  <c r="G1515"/>
  <c r="G1516"/>
  <c r="G1517"/>
  <c r="G1518"/>
  <c r="G1519"/>
  <c r="G1521"/>
  <c r="G1522"/>
  <c r="G1523"/>
  <c r="G1525"/>
  <c r="G1526"/>
  <c r="G1527"/>
  <c r="G1528"/>
  <c r="G1530"/>
  <c r="G1531"/>
  <c r="G1532"/>
  <c r="G1538"/>
  <c r="G1544"/>
  <c r="G1545"/>
  <c r="G1546"/>
  <c r="G1547"/>
  <c r="G1548"/>
  <c r="G1549"/>
  <c r="G1550"/>
  <c r="G1551"/>
  <c r="G1552"/>
  <c r="G1554"/>
  <c r="G1555"/>
  <c r="G1556"/>
  <c r="G1557"/>
  <c r="G1558"/>
  <c r="G1559"/>
  <c r="G1560"/>
  <c r="G1561"/>
  <c r="G1562"/>
  <c r="G1563"/>
  <c r="G1564"/>
  <c r="G1566"/>
  <c r="G1567"/>
  <c r="G1568"/>
  <c r="G1569"/>
  <c r="G1570"/>
  <c r="G1572"/>
  <c r="G1573"/>
  <c r="G1574"/>
  <c r="G1575"/>
  <c r="G1576"/>
  <c r="G1577"/>
  <c r="G1578"/>
  <c r="G1579"/>
  <c r="G1585"/>
  <c r="G1586"/>
  <c r="G1587"/>
  <c r="G1588"/>
  <c r="G1589"/>
  <c r="G1590"/>
  <c r="G1591"/>
  <c r="G1592"/>
  <c r="G1593"/>
  <c r="G1594"/>
  <c r="G1602"/>
  <c r="G1603"/>
  <c r="G1604"/>
  <c r="G1605"/>
  <c r="G1607"/>
  <c r="G1608"/>
  <c r="G1609"/>
  <c r="G1610"/>
  <c r="G1611"/>
  <c r="G1612"/>
  <c r="G1613"/>
  <c r="G1615"/>
  <c r="G1616"/>
  <c r="G1617"/>
  <c r="G1619"/>
  <c r="J1504"/>
  <c r="J1505"/>
  <c r="J1506"/>
  <c r="J1507"/>
  <c r="J1508"/>
  <c r="J1509"/>
  <c r="J1510"/>
  <c r="J1511"/>
  <c r="J1512"/>
  <c r="J1513"/>
  <c r="J1521"/>
  <c r="J1522"/>
  <c r="J1523"/>
  <c r="J1525"/>
  <c r="J1526"/>
  <c r="J1527"/>
  <c r="J1528"/>
  <c r="J1530"/>
  <c r="J1531"/>
  <c r="J1532"/>
  <c r="J1538"/>
  <c r="J1544"/>
  <c r="J1545"/>
  <c r="J1546"/>
  <c r="J1547"/>
  <c r="J1548"/>
  <c r="J1549"/>
  <c r="J1550"/>
  <c r="J1551"/>
  <c r="J1552"/>
  <c r="J1554"/>
  <c r="J1555"/>
  <c r="J1556"/>
  <c r="J1557"/>
  <c r="J1558"/>
  <c r="J1559"/>
  <c r="J1560"/>
  <c r="J1561"/>
  <c r="J1562"/>
  <c r="J1563"/>
  <c r="J1564"/>
  <c r="J1566"/>
  <c r="J1567"/>
  <c r="J1568"/>
  <c r="J1569"/>
  <c r="J1570"/>
  <c r="J1574"/>
  <c r="J1575"/>
  <c r="J1576"/>
  <c r="J1577"/>
  <c r="J1578"/>
  <c r="J1579"/>
  <c r="J1602"/>
  <c r="J1603"/>
  <c r="J1604"/>
  <c r="J1605"/>
  <c r="J1611"/>
  <c r="J1612"/>
  <c r="J1613"/>
  <c r="J1615"/>
  <c r="J1616"/>
  <c r="J1617"/>
  <c r="J1619"/>
  <c r="J1636"/>
  <c r="J1627"/>
  <c r="J1628"/>
  <c r="J1629"/>
  <c r="J1630"/>
  <c r="J1631"/>
  <c r="J1632"/>
  <c r="J1633"/>
  <c r="J1637"/>
  <c r="J1638"/>
  <c r="J1639"/>
  <c r="J1640"/>
  <c r="P1504"/>
  <c r="P1505"/>
  <c r="P1506"/>
  <c r="P1507"/>
  <c r="P1508"/>
  <c r="P1509"/>
  <c r="P1510"/>
  <c r="P1511"/>
  <c r="P1512"/>
  <c r="P1513"/>
  <c r="P1521"/>
  <c r="P1523"/>
  <c r="P1525"/>
  <c r="P1526"/>
  <c r="P1527"/>
  <c r="P1528"/>
  <c r="P1530"/>
  <c r="P1531"/>
  <c r="P1532"/>
  <c r="P1538"/>
  <c r="P1544"/>
  <c r="P1545"/>
  <c r="P1546"/>
  <c r="P1547"/>
  <c r="P1548"/>
  <c r="P1549"/>
  <c r="P1550"/>
  <c r="P1551"/>
  <c r="P1552"/>
  <c r="P1554"/>
  <c r="P1555"/>
  <c r="P1556"/>
  <c r="P1557"/>
  <c r="P1558"/>
  <c r="P1559"/>
  <c r="P1560"/>
  <c r="P1561"/>
  <c r="P1562"/>
  <c r="P1563"/>
  <c r="P1564"/>
  <c r="P1566"/>
  <c r="P1567"/>
  <c r="P1568"/>
  <c r="P1569"/>
  <c r="P1570"/>
  <c r="P1574"/>
  <c r="P1575"/>
  <c r="P1576"/>
  <c r="P1577"/>
  <c r="P1578"/>
  <c r="P1579"/>
  <c r="P1602"/>
  <c r="P1603"/>
  <c r="P1604"/>
  <c r="P1605"/>
  <c r="P1611"/>
  <c r="P1612"/>
  <c r="P1613"/>
  <c r="P1615"/>
  <c r="P1616"/>
  <c r="P1617"/>
  <c r="P1619"/>
  <c r="P1636"/>
  <c r="P1627"/>
  <c r="P1628"/>
  <c r="P1629"/>
  <c r="P1630"/>
  <c r="P1631"/>
  <c r="P1632"/>
  <c r="P1633"/>
  <c r="P1637"/>
  <c r="P1638"/>
  <c r="P1639"/>
  <c r="P1640"/>
  <c r="M1504"/>
  <c r="M1505"/>
  <c r="M1506"/>
  <c r="M1507"/>
  <c r="M1508"/>
  <c r="M1509"/>
  <c r="M1510"/>
  <c r="M1511"/>
  <c r="M1512"/>
  <c r="M1513"/>
  <c r="M1517"/>
  <c r="M1518"/>
  <c r="M1519"/>
  <c r="M1521"/>
  <c r="M1523"/>
  <c r="M1525"/>
  <c r="M1526"/>
  <c r="M1527"/>
  <c r="M1528"/>
  <c r="M1530"/>
  <c r="M1531"/>
  <c r="M1532"/>
  <c r="M1538"/>
  <c r="M1544"/>
  <c r="M1545"/>
  <c r="M1546"/>
  <c r="M1547"/>
  <c r="M1548"/>
  <c r="M1549"/>
  <c r="M1550"/>
  <c r="M1551"/>
  <c r="M1552"/>
  <c r="M1554"/>
  <c r="M1555"/>
  <c r="M1556"/>
  <c r="M1557"/>
  <c r="M1558"/>
  <c r="M1559"/>
  <c r="M1560"/>
  <c r="M1561"/>
  <c r="M1562"/>
  <c r="M1563"/>
  <c r="M1564"/>
  <c r="M1566"/>
  <c r="M1567"/>
  <c r="M1568"/>
  <c r="M1569"/>
  <c r="M1570"/>
  <c r="M1574"/>
  <c r="M1575"/>
  <c r="M1576"/>
  <c r="M1577"/>
  <c r="M1578"/>
  <c r="M1579"/>
  <c r="M1602"/>
  <c r="M1603"/>
  <c r="M1604"/>
  <c r="M1605"/>
  <c r="M1611"/>
  <c r="M1612"/>
  <c r="M1613"/>
  <c r="M1615"/>
  <c r="M1616"/>
  <c r="M1617"/>
  <c r="M1619"/>
  <c r="M1636"/>
  <c r="M1638"/>
  <c r="M1640"/>
  <c r="P1643"/>
  <c r="M1643"/>
  <c r="J1643"/>
  <c r="H1639"/>
  <c r="C1632"/>
  <c r="S1504"/>
  <c r="S1505"/>
  <c r="S1506"/>
  <c r="S1507"/>
  <c r="S1508"/>
  <c r="S1509"/>
  <c r="S1510"/>
  <c r="S1511"/>
  <c r="S1512"/>
  <c r="S1513"/>
  <c r="S1515"/>
  <c r="S1516"/>
  <c r="S1517"/>
  <c r="S1518"/>
  <c r="S1519"/>
  <c r="S1521"/>
  <c r="S1522"/>
  <c r="S1523"/>
  <c r="S1525"/>
  <c r="S1526"/>
  <c r="S1527"/>
  <c r="S1528"/>
  <c r="S1530"/>
  <c r="S1531"/>
  <c r="S1532"/>
  <c r="S1538"/>
  <c r="S1544"/>
  <c r="S1545"/>
  <c r="S1546"/>
  <c r="S1547"/>
  <c r="S1548"/>
  <c r="S1549"/>
  <c r="S1550"/>
  <c r="S1551"/>
  <c r="S1552"/>
  <c r="S1554"/>
  <c r="S1555"/>
  <c r="S1556"/>
  <c r="S1557"/>
  <c r="S1558"/>
  <c r="S1559"/>
  <c r="S1560"/>
  <c r="S1561"/>
  <c r="S1562"/>
  <c r="S1563"/>
  <c r="S1564"/>
  <c r="S1566"/>
  <c r="S1567"/>
  <c r="S1568"/>
  <c r="S1569"/>
  <c r="S1570"/>
  <c r="S1572"/>
  <c r="S1573"/>
  <c r="S1574"/>
  <c r="S1575"/>
  <c r="S1576"/>
  <c r="S1577"/>
  <c r="S1578"/>
  <c r="S1579"/>
  <c r="S1585"/>
  <c r="S1586"/>
  <c r="S1587"/>
  <c r="S1588"/>
  <c r="S1589"/>
  <c r="S1590"/>
  <c r="S1591"/>
  <c r="S1592"/>
  <c r="S1593"/>
  <c r="S1594"/>
  <c r="S1596"/>
  <c r="S1597"/>
  <c r="S1598"/>
  <c r="S1599"/>
  <c r="S1600"/>
  <c r="S1602"/>
  <c r="S1603"/>
  <c r="S1604"/>
  <c r="S1605"/>
  <c r="S1607"/>
  <c r="S1608"/>
  <c r="S1609"/>
  <c r="S1610"/>
  <c r="S1611"/>
  <c r="S1612"/>
  <c r="S1613"/>
  <c r="S1615"/>
  <c r="S1616"/>
  <c r="S1617"/>
  <c r="S1619"/>
  <c r="C1616"/>
  <c r="U1616"/>
  <c r="A1616"/>
  <c r="O1614"/>
  <c r="C1612"/>
  <c r="U1612"/>
  <c r="A1612"/>
  <c r="O1606"/>
  <c r="C1605"/>
  <c r="F1604"/>
  <c r="F1603"/>
  <c r="F1602"/>
  <c r="O1601"/>
  <c r="C1599"/>
  <c r="U1599"/>
  <c r="A1599"/>
  <c r="O1595"/>
  <c r="C1593"/>
  <c r="U1593"/>
  <c r="A1593"/>
  <c r="C1592"/>
  <c r="U1592"/>
  <c r="A1592"/>
  <c r="E1588"/>
  <c r="O1584"/>
  <c r="C1578"/>
  <c r="U1578"/>
  <c r="A1578"/>
  <c r="O1571"/>
  <c r="E1569"/>
  <c r="E1568"/>
  <c r="O1565"/>
  <c r="C1563"/>
  <c r="U1563"/>
  <c r="A1563"/>
  <c r="O1553"/>
  <c r="C1551"/>
  <c r="U1551"/>
  <c r="A1551"/>
  <c r="O1543"/>
  <c r="F1538"/>
  <c r="O1537"/>
  <c r="B1535"/>
  <c r="E1531"/>
  <c r="F1531"/>
  <c r="E1530"/>
  <c r="F1530"/>
  <c r="O1529"/>
  <c r="E1529"/>
  <c r="O1524"/>
  <c r="O1520"/>
  <c r="O1514"/>
  <c r="C1512"/>
  <c r="U1512"/>
  <c r="A1512"/>
  <c r="C1511"/>
  <c r="U1511"/>
  <c r="A1511"/>
  <c r="C1510"/>
  <c r="U1510"/>
  <c r="A1510"/>
  <c r="O1503"/>
  <c r="A1497"/>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D963"/>
  <c r="E1013"/>
  <c r="F1005"/>
  <c r="E1005"/>
  <c r="C1005"/>
  <c r="D972"/>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5"/>
  <c r="D966"/>
  <c r="D967"/>
  <c r="D968"/>
  <c r="D974"/>
  <c r="D976"/>
  <c r="D978"/>
  <c r="D970"/>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22"/>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C418"/>
  <c r="E418"/>
  <c r="E424"/>
  <c r="E425"/>
  <c r="D418"/>
  <c r="D424"/>
  <c r="D425"/>
  <c r="C420"/>
  <c r="C423"/>
  <c r="C424"/>
  <c r="C425"/>
  <c r="K411"/>
  <c r="A411"/>
  <c r="K410"/>
  <c r="A410"/>
  <c r="K409"/>
  <c r="A409"/>
  <c r="K408"/>
  <c r="A408"/>
  <c r="Q404"/>
  <c r="P404"/>
  <c r="O404"/>
  <c r="N404"/>
  <c r="M404"/>
  <c r="H399"/>
  <c r="H390"/>
  <c r="Q402"/>
  <c r="P402"/>
  <c r="O402"/>
  <c r="N402"/>
  <c r="M402"/>
  <c r="H401"/>
  <c r="E401"/>
  <c r="C401"/>
  <c r="Q400"/>
  <c r="P400"/>
  <c r="O400"/>
  <c r="N400"/>
  <c r="M400"/>
  <c r="H400"/>
  <c r="E400"/>
  <c r="C400"/>
  <c r="E399"/>
  <c r="C399"/>
  <c r="Q398"/>
  <c r="P398"/>
  <c r="O398"/>
  <c r="N398"/>
  <c r="M398"/>
  <c r="H398"/>
  <c r="E398"/>
  <c r="H397"/>
  <c r="E397"/>
  <c r="Q396"/>
  <c r="P396"/>
  <c r="O396"/>
  <c r="N396"/>
  <c r="H396"/>
  <c r="E396"/>
  <c r="H395"/>
  <c r="E395"/>
  <c r="H394"/>
  <c r="E394"/>
  <c r="H393"/>
  <c r="E393"/>
  <c r="H392"/>
  <c r="E392"/>
  <c r="H391"/>
  <c r="E391"/>
  <c r="Q390"/>
  <c r="O390"/>
  <c r="M390"/>
  <c r="L390"/>
  <c r="K390"/>
  <c r="J390"/>
  <c r="E390"/>
  <c r="Q389"/>
  <c r="O389"/>
  <c r="L389"/>
  <c r="K389"/>
  <c r="J389"/>
  <c r="H389"/>
  <c r="E389"/>
  <c r="Q388"/>
  <c r="O388"/>
  <c r="L388"/>
  <c r="K388"/>
  <c r="J388"/>
  <c r="H388"/>
  <c r="E388"/>
  <c r="C388"/>
  <c r="Q387"/>
  <c r="O387"/>
  <c r="L387"/>
  <c r="K387"/>
  <c r="J387"/>
  <c r="H387"/>
  <c r="E387"/>
  <c r="E385"/>
  <c r="B387"/>
  <c r="Q386"/>
  <c r="O386"/>
  <c r="M386"/>
  <c r="L386"/>
  <c r="K386"/>
  <c r="J386"/>
  <c r="H386"/>
  <c r="E386"/>
  <c r="B386"/>
  <c r="Q385"/>
  <c r="O385"/>
  <c r="B385"/>
  <c r="L367"/>
  <c r="L368"/>
  <c r="L369"/>
  <c r="L370"/>
  <c r="L371"/>
  <c r="L372"/>
  <c r="L373"/>
  <c r="L374"/>
  <c r="L375"/>
  <c r="L376"/>
  <c r="L377"/>
  <c r="L378"/>
  <c r="H377"/>
  <c r="D377"/>
  <c r="H376"/>
  <c r="D376"/>
  <c r="H375"/>
  <c r="D375"/>
  <c r="H374"/>
  <c r="H373"/>
  <c r="H372"/>
  <c r="H371"/>
  <c r="H370"/>
  <c r="P369"/>
  <c r="N369"/>
  <c r="H369"/>
  <c r="P368"/>
  <c r="N368"/>
  <c r="H368"/>
  <c r="P367"/>
  <c r="N367"/>
  <c r="H367"/>
  <c r="M361"/>
  <c r="J361"/>
  <c r="H361"/>
  <c r="E361"/>
  <c r="B361"/>
  <c r="P360"/>
  <c r="M360"/>
  <c r="J360"/>
  <c r="E360"/>
  <c r="B360"/>
  <c r="M359"/>
  <c r="J359"/>
  <c r="E359"/>
  <c r="B359"/>
  <c r="M358"/>
  <c r="J358"/>
  <c r="E358"/>
  <c r="B358"/>
  <c r="N351"/>
  <c r="A351"/>
  <c r="N350"/>
  <c r="A350"/>
  <c r="N349"/>
  <c r="A349"/>
  <c r="R332"/>
  <c r="R333"/>
  <c r="R334"/>
  <c r="R335"/>
  <c r="R336"/>
  <c r="R337"/>
  <c r="R338"/>
  <c r="R339"/>
  <c r="R340"/>
  <c r="R341"/>
  <c r="R342"/>
  <c r="R343"/>
  <c r="R344"/>
  <c r="R345"/>
  <c r="P344"/>
  <c r="N344"/>
  <c r="L344"/>
  <c r="J344"/>
  <c r="G344"/>
  <c r="F344"/>
  <c r="E344"/>
  <c r="P343"/>
  <c r="N343"/>
  <c r="L343"/>
  <c r="J343"/>
  <c r="G343"/>
  <c r="F343"/>
  <c r="E343"/>
  <c r="P342"/>
  <c r="N342"/>
  <c r="L342"/>
  <c r="J342"/>
  <c r="G342"/>
  <c r="F342"/>
  <c r="E342"/>
  <c r="P341"/>
  <c r="N341"/>
  <c r="L341"/>
  <c r="J341"/>
  <c r="G341"/>
  <c r="F341"/>
  <c r="E341"/>
  <c r="P340"/>
  <c r="N340"/>
  <c r="L340"/>
  <c r="J340"/>
  <c r="G340"/>
  <c r="F340"/>
  <c r="E340"/>
  <c r="P339"/>
  <c r="N339"/>
  <c r="L339"/>
  <c r="J339"/>
  <c r="G339"/>
  <c r="F339"/>
  <c r="E339"/>
  <c r="P338"/>
  <c r="N338"/>
  <c r="L338"/>
  <c r="J338"/>
  <c r="G338"/>
  <c r="F338"/>
  <c r="E338"/>
  <c r="P337"/>
  <c r="N337"/>
  <c r="L337"/>
  <c r="J337"/>
  <c r="G337"/>
  <c r="F337"/>
  <c r="E337"/>
  <c r="P336"/>
  <c r="N336"/>
  <c r="L336"/>
  <c r="J336"/>
  <c r="G336"/>
  <c r="F336"/>
  <c r="E336"/>
  <c r="P335"/>
  <c r="N335"/>
  <c r="L335"/>
  <c r="J335"/>
  <c r="G335"/>
  <c r="F335"/>
  <c r="E335"/>
  <c r="P334"/>
  <c r="N334"/>
  <c r="L334"/>
  <c r="J334"/>
  <c r="G334"/>
  <c r="F334"/>
  <c r="E334"/>
  <c r="P333"/>
  <c r="N333"/>
  <c r="L333"/>
  <c r="J333"/>
  <c r="G333"/>
  <c r="F333"/>
  <c r="E333"/>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L230"/>
  <c r="J230"/>
  <c r="H230"/>
  <c r="Q229"/>
  <c r="H229"/>
  <c r="Q228"/>
  <c r="H228"/>
  <c r="Q227"/>
  <c r="H227"/>
  <c r="Q226"/>
  <c r="H226"/>
  <c r="O224"/>
  <c r="L224"/>
  <c r="J224"/>
  <c r="H224"/>
  <c r="Q223"/>
  <c r="N223"/>
  <c r="J223"/>
  <c r="H223"/>
  <c r="Q222"/>
  <c r="H222"/>
  <c r="Q221"/>
  <c r="H221"/>
  <c r="Q220"/>
  <c r="H220"/>
  <c r="O213"/>
  <c r="L213"/>
  <c r="J213"/>
  <c r="H213"/>
  <c r="Q212"/>
  <c r="N212"/>
  <c r="J212"/>
  <c r="H212"/>
  <c r="Q211"/>
  <c r="L211"/>
  <c r="H211"/>
  <c r="Q210"/>
  <c r="H210"/>
  <c r="Q209"/>
  <c r="H209"/>
  <c r="A205"/>
  <c r="K202"/>
  <c r="A202"/>
  <c r="K201"/>
  <c r="A201"/>
  <c r="K200"/>
  <c r="A200"/>
  <c r="I197"/>
  <c r="I196"/>
  <c r="I195"/>
  <c r="I192"/>
  <c r="E192"/>
  <c r="O191"/>
  <c r="I191"/>
  <c r="I190"/>
  <c r="P189"/>
  <c r="I189"/>
  <c r="P188"/>
  <c r="I188"/>
  <c r="P187"/>
  <c r="I187"/>
  <c r="P186"/>
  <c r="I186"/>
  <c r="I181"/>
  <c r="I182"/>
  <c r="I183"/>
  <c r="I180"/>
  <c r="I178"/>
  <c r="P176"/>
  <c r="L176"/>
  <c r="I176"/>
  <c r="M174"/>
  <c r="I174"/>
  <c r="E174"/>
  <c r="M173"/>
  <c r="J173"/>
  <c r="E173"/>
  <c r="M172"/>
  <c r="E172"/>
  <c r="M171"/>
  <c r="E171"/>
  <c r="K170"/>
  <c r="K169"/>
  <c r="K168"/>
  <c r="H163"/>
  <c r="O162"/>
  <c r="H162"/>
  <c r="H159"/>
  <c r="H157"/>
  <c r="O156"/>
  <c r="H156"/>
  <c r="O155"/>
  <c r="H155"/>
  <c r="H154"/>
  <c r="H153"/>
  <c r="H152"/>
  <c r="H150"/>
  <c r="M148"/>
  <c r="J148"/>
  <c r="F148"/>
  <c r="C148"/>
  <c r="M147"/>
  <c r="J147"/>
  <c r="F147"/>
  <c r="C147"/>
  <c r="M146"/>
  <c r="J146"/>
  <c r="F146"/>
  <c r="C146"/>
  <c r="M145"/>
  <c r="J145"/>
  <c r="F145"/>
  <c r="C145"/>
  <c r="M144"/>
  <c r="J144"/>
  <c r="F144"/>
  <c r="C144"/>
  <c r="M143"/>
  <c r="J143"/>
  <c r="F143"/>
  <c r="C143"/>
  <c r="M142"/>
  <c r="J142"/>
  <c r="F142"/>
  <c r="C142"/>
  <c r="M137"/>
  <c r="J137"/>
  <c r="F137"/>
  <c r="C137"/>
  <c r="M136"/>
  <c r="J136"/>
  <c r="F136"/>
  <c r="C136"/>
  <c r="M135"/>
  <c r="J135"/>
  <c r="F135"/>
  <c r="C135"/>
  <c r="M134"/>
  <c r="J134"/>
  <c r="F134"/>
  <c r="C134"/>
  <c r="M133"/>
  <c r="J133"/>
  <c r="F133"/>
  <c r="C133"/>
  <c r="M132"/>
  <c r="J132"/>
  <c r="F132"/>
  <c r="C132"/>
  <c r="M131"/>
  <c r="J131"/>
  <c r="F131"/>
  <c r="C131"/>
  <c r="H127"/>
  <c r="H125"/>
  <c r="O119"/>
  <c r="L119"/>
  <c r="I119"/>
  <c r="E119"/>
  <c r="M118"/>
  <c r="I118"/>
  <c r="E118"/>
  <c r="K117"/>
  <c r="I117"/>
  <c r="E117"/>
  <c r="O116"/>
  <c r="E116"/>
  <c r="O115"/>
  <c r="E115"/>
  <c r="K111"/>
  <c r="H111"/>
  <c r="E111"/>
  <c r="K110"/>
  <c r="H110"/>
  <c r="E110"/>
  <c r="P106"/>
  <c r="H104"/>
  <c r="H100"/>
  <c r="H98"/>
  <c r="H96"/>
  <c r="N94"/>
  <c r="H94"/>
  <c r="H90"/>
  <c r="H86"/>
  <c r="H87"/>
  <c r="H88"/>
  <c r="P86"/>
  <c r="L73"/>
  <c r="F68"/>
  <c r="M64"/>
  <c r="I64"/>
  <c r="F64"/>
  <c r="L63"/>
  <c r="F63"/>
  <c r="L62"/>
  <c r="F62"/>
  <c r="F61"/>
  <c r="J59"/>
  <c r="H59"/>
  <c r="F59"/>
  <c r="J58"/>
  <c r="H58"/>
  <c r="F58"/>
  <c r="P55"/>
  <c r="N55"/>
  <c r="F55"/>
  <c r="O54"/>
  <c r="F54"/>
  <c r="O53"/>
  <c r="F51"/>
  <c r="F53"/>
  <c r="J53"/>
  <c r="L53"/>
  <c r="O52"/>
  <c r="F52"/>
  <c r="O51"/>
  <c r="L46"/>
  <c r="J46"/>
  <c r="F46"/>
  <c r="O45"/>
  <c r="J45"/>
  <c r="F45"/>
  <c r="O44"/>
  <c r="F44"/>
  <c r="O43"/>
  <c r="F43"/>
  <c r="N42"/>
  <c r="F42"/>
  <c r="J38"/>
  <c r="F38"/>
  <c r="J36"/>
  <c r="J35"/>
  <c r="O33"/>
  <c r="A30"/>
  <c r="A27"/>
  <c r="A25"/>
  <c r="A23"/>
  <c r="A21"/>
  <c r="A19"/>
  <c r="A17"/>
  <c r="A15"/>
  <c r="A13"/>
  <c r="A11"/>
  <c r="A9"/>
  <c r="A7"/>
  <c r="A5"/>
  <c r="A2"/>
  <c r="K1989"/>
  <c r="J1989"/>
  <c r="I1989"/>
  <c r="H1989"/>
  <c r="G1989"/>
  <c r="F1989"/>
  <c r="E1989"/>
  <c r="D1989"/>
  <c r="C1989"/>
  <c r="B1989"/>
  <c r="K1919"/>
  <c r="K1983"/>
  <c r="J1983"/>
  <c r="I1983"/>
  <c r="H1983"/>
  <c r="G1983"/>
  <c r="F1983"/>
  <c r="E1983"/>
  <c r="D1983"/>
  <c r="C1983"/>
  <c r="B1983"/>
  <c r="B2000"/>
  <c r="C2000"/>
  <c r="D2000"/>
  <c r="E2000"/>
  <c r="F2024"/>
  <c r="E2024"/>
  <c r="D2024"/>
  <c r="C2024"/>
  <c r="B2024"/>
  <c r="F2018"/>
  <c r="E2018"/>
  <c r="D2018"/>
  <c r="C2018"/>
  <c r="B2018"/>
  <c r="P2672"/>
  <c r="O2668"/>
  <c r="L2668"/>
  <c r="P2668"/>
  <c r="P2667"/>
  <c r="A2588"/>
  <c r="O2585"/>
  <c r="O2574"/>
  <c r="R2574"/>
  <c r="P2532"/>
  <c r="M2524"/>
  <c r="P2530"/>
  <c r="P2786"/>
  <c r="P2498"/>
  <c r="P1730"/>
  <c r="P1729"/>
  <c r="P1727"/>
  <c r="P1726"/>
  <c r="P1721"/>
  <c r="O1718"/>
  <c r="I1675"/>
  <c r="D1621"/>
  <c r="J1648"/>
  <c r="M1647"/>
  <c r="P1641"/>
  <c r="P1642"/>
  <c r="P1644"/>
  <c r="M1641"/>
  <c r="M1642"/>
  <c r="M1644"/>
  <c r="M1621"/>
  <c r="G1621"/>
  <c r="F1611"/>
  <c r="E1589"/>
  <c r="D1535"/>
  <c r="D1534"/>
  <c r="A1008"/>
  <c r="A959"/>
  <c r="G471"/>
  <c r="A471"/>
  <c r="A414"/>
  <c r="A354"/>
  <c r="P170"/>
  <c r="P169"/>
  <c r="P100"/>
  <c r="P98"/>
  <c r="P96"/>
  <c r="P79"/>
  <c r="P81"/>
  <c r="P78"/>
  <c r="P80"/>
  <c r="P82"/>
  <c r="P87"/>
  <c r="H80"/>
  <c r="H81"/>
  <c r="H83"/>
  <c r="H79"/>
  <c r="H78"/>
  <c r="H82"/>
  <c r="H84"/>
  <c r="I80"/>
  <c r="I79"/>
  <c r="F75"/>
  <c r="F74"/>
  <c r="F73"/>
  <c r="F72"/>
  <c r="F71"/>
  <c r="J55"/>
  <c r="J54"/>
  <c r="A3"/>
  <c r="F2025"/>
  <c r="E2025"/>
  <c r="D2025"/>
  <c r="C2025"/>
  <c r="B2025"/>
  <c r="K1990"/>
  <c r="J1990"/>
  <c r="I1990"/>
  <c r="H1990"/>
  <c r="G1990"/>
  <c r="F1990"/>
  <c r="E1990"/>
  <c r="D1990"/>
  <c r="C1990"/>
  <c r="B1990"/>
  <c r="K1955"/>
  <c r="J1955"/>
  <c r="I1955"/>
  <c r="H1955"/>
  <c r="G1955"/>
  <c r="F1955"/>
  <c r="E1955"/>
  <c r="D1955"/>
  <c r="C1955"/>
  <c r="B1955"/>
  <c r="K1920"/>
  <c r="J1920"/>
  <c r="I1920"/>
  <c r="H1920"/>
  <c r="G1920"/>
  <c r="F1920"/>
  <c r="E1920"/>
  <c r="D1920"/>
  <c r="C1920"/>
  <c r="B1920"/>
  <c r="C1918"/>
  <c r="D1918"/>
  <c r="E1918"/>
  <c r="F1918"/>
  <c r="G1918"/>
  <c r="H1918"/>
  <c r="I1918"/>
  <c r="J1918"/>
  <c r="K1918"/>
  <c r="B1918"/>
  <c r="B1953"/>
  <c r="C1953"/>
  <c r="D1953"/>
  <c r="E1953"/>
  <c r="F1953"/>
  <c r="G1953"/>
  <c r="H1953"/>
  <c r="I1953"/>
  <c r="J1953"/>
  <c r="K1953"/>
  <c r="B1988"/>
  <c r="C1988"/>
  <c r="D1988"/>
  <c r="E1988"/>
  <c r="F1988"/>
  <c r="G1988"/>
  <c r="H1988"/>
  <c r="I1988"/>
  <c r="J1988"/>
  <c r="K1988"/>
  <c r="B2023"/>
  <c r="C2023"/>
  <c r="D2023"/>
  <c r="E2023"/>
  <c r="F2023"/>
  <c r="O2532"/>
  <c r="O2672"/>
  <c r="R2672"/>
  <c r="O2667"/>
  <c r="O2530"/>
  <c r="J1641"/>
  <c r="J1642"/>
  <c r="J1644"/>
  <c r="J1645"/>
  <c r="L379"/>
  <c r="L380"/>
  <c r="H403"/>
  <c r="S394"/>
  <c r="S393"/>
  <c r="S395"/>
  <c r="A2612"/>
  <c r="A2604"/>
  <c r="A2603"/>
  <c r="A2597"/>
  <c r="A2592"/>
  <c r="P1762"/>
  <c r="P1761"/>
  <c r="P1760"/>
  <c r="P1759"/>
  <c r="P1758"/>
  <c r="P1757"/>
  <c r="P1756"/>
  <c r="P1755"/>
  <c r="P1754"/>
  <c r="P1753"/>
  <c r="P1752"/>
  <c r="P1751"/>
  <c r="P1750"/>
  <c r="P1749"/>
  <c r="P1748"/>
  <c r="P1747"/>
  <c r="P1746"/>
  <c r="P1745"/>
  <c r="P1744"/>
  <c r="P1743"/>
  <c r="P1742"/>
  <c r="P1741"/>
  <c r="P1740"/>
  <c r="P1739"/>
  <c r="P1738"/>
  <c r="P1737"/>
  <c r="P1736"/>
  <c r="P1735"/>
  <c r="P1734"/>
  <c r="P1733"/>
  <c r="P1732"/>
  <c r="P1731"/>
  <c r="P1728"/>
  <c r="P1725"/>
  <c r="M389"/>
  <c r="M388"/>
  <c r="M387"/>
  <c r="I154" i="7"/>
  <c r="H59"/>
  <c r="J25"/>
  <c r="J26"/>
  <c r="L24"/>
  <c r="J7"/>
  <c r="A1"/>
  <c r="P141"/>
  <c r="P140"/>
  <c r="P71"/>
  <c r="P69"/>
  <c r="P67"/>
  <c r="P50"/>
  <c r="P52"/>
  <c r="P49"/>
  <c r="P51"/>
  <c r="P53"/>
  <c r="P58"/>
  <c r="H51"/>
  <c r="H52"/>
  <c r="H54"/>
  <c r="H50"/>
  <c r="H49"/>
  <c r="H53"/>
  <c r="H55"/>
  <c r="I51"/>
  <c r="I50"/>
  <c r="F46"/>
  <c r="F45"/>
  <c r="F44"/>
  <c r="F43"/>
  <c r="F42"/>
  <c r="R141" i="18"/>
  <c r="A1"/>
  <c r="H32" i="3"/>
  <c r="H385" i="35" s="1"/>
  <c r="H402" s="1"/>
  <c r="H404" s="1"/>
  <c r="H49" i="3"/>
  <c r="M36"/>
  <c r="M35"/>
  <c r="M34"/>
  <c r="B34"/>
  <c r="B33"/>
  <c r="M32"/>
  <c r="L32"/>
  <c r="L385" i="35" s="1"/>
  <c r="K32" i="3"/>
  <c r="K385" i="35" s="1"/>
  <c r="J32" i="3"/>
  <c r="J385" i="35" s="1"/>
  <c r="B32" i="3"/>
  <c r="L25"/>
  <c r="A1"/>
  <c r="D37"/>
  <c r="D390" i="35" s="1"/>
  <c r="L26" i="3"/>
  <c r="L27"/>
  <c r="H50"/>
  <c r="H51"/>
  <c r="S41"/>
  <c r="S40"/>
  <c r="S42"/>
  <c r="K543" i="26"/>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J476"/>
  <c r="I476"/>
  <c r="H476"/>
  <c r="E476"/>
  <c r="D476"/>
  <c r="C476"/>
  <c r="B476"/>
  <c r="K475"/>
  <c r="J475"/>
  <c r="I475"/>
  <c r="H475"/>
  <c r="E475"/>
  <c r="D475"/>
  <c r="C475"/>
  <c r="B475"/>
  <c r="K474"/>
  <c r="J474"/>
  <c r="I474"/>
  <c r="H474"/>
  <c r="E474"/>
  <c r="D474"/>
  <c r="C474"/>
  <c r="B474"/>
  <c r="K473"/>
  <c r="J473"/>
  <c r="I473"/>
  <c r="H473"/>
  <c r="E473"/>
  <c r="D473"/>
  <c r="C473"/>
  <c r="B473"/>
  <c r="K472"/>
  <c r="J472"/>
  <c r="I472"/>
  <c r="H472"/>
  <c r="E472"/>
  <c r="D472"/>
  <c r="C472"/>
  <c r="B472"/>
  <c r="K471"/>
  <c r="J471"/>
  <c r="I471"/>
  <c r="H471"/>
  <c r="E471"/>
  <c r="D471"/>
  <c r="C471"/>
  <c r="B471"/>
  <c r="K470"/>
  <c r="J470"/>
  <c r="I470"/>
  <c r="H470"/>
  <c r="E470"/>
  <c r="D470"/>
  <c r="C470"/>
  <c r="B470"/>
  <c r="K469"/>
  <c r="J469"/>
  <c r="I469"/>
  <c r="H469"/>
  <c r="E469"/>
  <c r="D469"/>
  <c r="C469"/>
  <c r="B469"/>
  <c r="K468"/>
  <c r="J468"/>
  <c r="I468"/>
  <c r="H468"/>
  <c r="E468"/>
  <c r="D468"/>
  <c r="C468"/>
  <c r="B468"/>
  <c r="K467"/>
  <c r="J467"/>
  <c r="I467"/>
  <c r="H467"/>
  <c r="E467"/>
  <c r="D467"/>
  <c r="C467"/>
  <c r="B467"/>
  <c r="K466"/>
  <c r="J466"/>
  <c r="I466"/>
  <c r="H466"/>
  <c r="E466"/>
  <c r="D466"/>
  <c r="C466"/>
  <c r="B466"/>
  <c r="K465"/>
  <c r="J465"/>
  <c r="I465"/>
  <c r="H465"/>
  <c r="E465"/>
  <c r="D465"/>
  <c r="C465"/>
  <c r="B465"/>
  <c r="K464"/>
  <c r="J464"/>
  <c r="I464"/>
  <c r="H464"/>
  <c r="E464"/>
  <c r="D464"/>
  <c r="C464"/>
  <c r="B464"/>
  <c r="K463"/>
  <c r="J463"/>
  <c r="I463"/>
  <c r="H463"/>
  <c r="E463"/>
  <c r="D463"/>
  <c r="C463"/>
  <c r="B463"/>
  <c r="K462"/>
  <c r="J462"/>
  <c r="I462"/>
  <c r="H462"/>
  <c r="E462"/>
  <c r="D462"/>
  <c r="C462"/>
  <c r="B462"/>
  <c r="K461"/>
  <c r="J461"/>
  <c r="I461"/>
  <c r="H461"/>
  <c r="E461"/>
  <c r="D461"/>
  <c r="C461"/>
  <c r="B461"/>
  <c r="K460"/>
  <c r="J460"/>
  <c r="I460"/>
  <c r="H460"/>
  <c r="E460"/>
  <c r="D460"/>
  <c r="C460"/>
  <c r="B460"/>
  <c r="K459"/>
  <c r="J459"/>
  <c r="I459"/>
  <c r="H459"/>
  <c r="E459"/>
  <c r="D459"/>
  <c r="C459"/>
  <c r="B459"/>
  <c r="K458"/>
  <c r="J458"/>
  <c r="I458"/>
  <c r="H458"/>
  <c r="E458"/>
  <c r="D458"/>
  <c r="C458"/>
  <c r="B458"/>
  <c r="K457"/>
  <c r="J457"/>
  <c r="I457"/>
  <c r="H457"/>
  <c r="E457"/>
  <c r="D457"/>
  <c r="C457"/>
  <c r="B457"/>
  <c r="K456"/>
  <c r="J456"/>
  <c r="I456"/>
  <c r="H456"/>
  <c r="E456"/>
  <c r="D456"/>
  <c r="C456"/>
  <c r="B456"/>
  <c r="K455"/>
  <c r="J455"/>
  <c r="I455"/>
  <c r="H455"/>
  <c r="E455"/>
  <c r="D455"/>
  <c r="C455"/>
  <c r="B455"/>
  <c r="K454"/>
  <c r="J454"/>
  <c r="I454"/>
  <c r="H454"/>
  <c r="E454"/>
  <c r="D454"/>
  <c r="C454"/>
  <c r="B454"/>
  <c r="K453"/>
  <c r="J453"/>
  <c r="I453"/>
  <c r="H453"/>
  <c r="E453"/>
  <c r="D453"/>
  <c r="C453"/>
  <c r="B453"/>
  <c r="K452"/>
  <c r="J452"/>
  <c r="I452"/>
  <c r="H452"/>
  <c r="E452"/>
  <c r="D452"/>
  <c r="C452"/>
  <c r="B452"/>
  <c r="K451"/>
  <c r="J451"/>
  <c r="I451"/>
  <c r="H451"/>
  <c r="E451"/>
  <c r="D451"/>
  <c r="C451"/>
  <c r="B451"/>
  <c r="K450"/>
  <c r="J450"/>
  <c r="I450"/>
  <c r="H450"/>
  <c r="E450"/>
  <c r="D450"/>
  <c r="C450"/>
  <c r="B450"/>
  <c r="K449"/>
  <c r="J449"/>
  <c r="I449"/>
  <c r="H449"/>
  <c r="E449"/>
  <c r="D449"/>
  <c r="C449"/>
  <c r="B449"/>
  <c r="K448"/>
  <c r="J448"/>
  <c r="I448"/>
  <c r="H448"/>
  <c r="E448"/>
  <c r="D448"/>
  <c r="C448"/>
  <c r="B448"/>
  <c r="K447"/>
  <c r="J447"/>
  <c r="I447"/>
  <c r="H447"/>
  <c r="E447"/>
  <c r="D447"/>
  <c r="C447"/>
  <c r="B447"/>
  <c r="K446"/>
  <c r="J446"/>
  <c r="I446"/>
  <c r="H446"/>
  <c r="E446"/>
  <c r="D446"/>
  <c r="C446"/>
  <c r="B446"/>
  <c r="K445"/>
  <c r="J445"/>
  <c r="I445"/>
  <c r="H445"/>
  <c r="E445"/>
  <c r="D445"/>
  <c r="C445"/>
  <c r="B445"/>
  <c r="K444"/>
  <c r="J444"/>
  <c r="I444"/>
  <c r="H444"/>
  <c r="E444"/>
  <c r="D444"/>
  <c r="C444"/>
  <c r="B444"/>
  <c r="K443"/>
  <c r="J443"/>
  <c r="I443"/>
  <c r="H443"/>
  <c r="E443"/>
  <c r="D443"/>
  <c r="C443"/>
  <c r="B443"/>
  <c r="K442"/>
  <c r="J442"/>
  <c r="I442"/>
  <c r="H442"/>
  <c r="E442"/>
  <c r="D442"/>
  <c r="C442"/>
  <c r="B442"/>
  <c r="K441"/>
  <c r="J441"/>
  <c r="I441"/>
  <c r="H441"/>
  <c r="E441"/>
  <c r="D441"/>
  <c r="C441"/>
  <c r="B441"/>
  <c r="K440"/>
  <c r="J440"/>
  <c r="I440"/>
  <c r="H440"/>
  <c r="E440"/>
  <c r="D440"/>
  <c r="C440"/>
  <c r="B440"/>
  <c r="K439"/>
  <c r="J439"/>
  <c r="I439"/>
  <c r="H439"/>
  <c r="E439"/>
  <c r="D439"/>
  <c r="C439"/>
  <c r="B439"/>
  <c r="K438"/>
  <c r="J438"/>
  <c r="I438"/>
  <c r="H438"/>
  <c r="E438"/>
  <c r="D438"/>
  <c r="C438"/>
  <c r="B438"/>
  <c r="K437"/>
  <c r="J437"/>
  <c r="I437"/>
  <c r="H437"/>
  <c r="E437"/>
  <c r="D437"/>
  <c r="C437"/>
  <c r="B437"/>
  <c r="K436"/>
  <c r="J436"/>
  <c r="I436"/>
  <c r="H436"/>
  <c r="E436"/>
  <c r="D436"/>
  <c r="C436"/>
  <c r="B436"/>
  <c r="K435"/>
  <c r="J435"/>
  <c r="I435"/>
  <c r="H435"/>
  <c r="E435"/>
  <c r="D435"/>
  <c r="C435"/>
  <c r="B435"/>
  <c r="K434"/>
  <c r="J434"/>
  <c r="I434"/>
  <c r="H434"/>
  <c r="E434"/>
  <c r="D434"/>
  <c r="C434"/>
  <c r="B434"/>
  <c r="K433"/>
  <c r="J433"/>
  <c r="I433"/>
  <c r="H433"/>
  <c r="E433"/>
  <c r="D433"/>
  <c r="C433"/>
  <c r="B433"/>
  <c r="K432"/>
  <c r="J432"/>
  <c r="I432"/>
  <c r="H432"/>
  <c r="E432"/>
  <c r="D432"/>
  <c r="C432"/>
  <c r="B432"/>
  <c r="K431"/>
  <c r="J431"/>
  <c r="I431"/>
  <c r="H431"/>
  <c r="E431"/>
  <c r="D431"/>
  <c r="C431"/>
  <c r="B431"/>
  <c r="K430"/>
  <c r="J430"/>
  <c r="I430"/>
  <c r="H430"/>
  <c r="E430"/>
  <c r="D430"/>
  <c r="C430"/>
  <c r="B430"/>
  <c r="K429"/>
  <c r="J429"/>
  <c r="I429"/>
  <c r="H429"/>
  <c r="E429"/>
  <c r="D429"/>
  <c r="C429"/>
  <c r="B429"/>
  <c r="K428"/>
  <c r="J428"/>
  <c r="I428"/>
  <c r="H428"/>
  <c r="E428"/>
  <c r="D428"/>
  <c r="C428"/>
  <c r="B428"/>
  <c r="K427"/>
  <c r="J427"/>
  <c r="I427"/>
  <c r="H427"/>
  <c r="E427"/>
  <c r="D427"/>
  <c r="C427"/>
  <c r="B427"/>
  <c r="K426"/>
  <c r="J426"/>
  <c r="I426"/>
  <c r="H426"/>
  <c r="E426"/>
  <c r="D426"/>
  <c r="C426"/>
  <c r="B426"/>
  <c r="K425"/>
  <c r="J425"/>
  <c r="I425"/>
  <c r="H425"/>
  <c r="E425"/>
  <c r="D425"/>
  <c r="C425"/>
  <c r="B425"/>
  <c r="K424"/>
  <c r="J424"/>
  <c r="I424"/>
  <c r="H424"/>
  <c r="E424"/>
  <c r="D424"/>
  <c r="C424"/>
  <c r="B424"/>
  <c r="K423"/>
  <c r="J423"/>
  <c r="I423"/>
  <c r="H423"/>
  <c r="E423"/>
  <c r="D423"/>
  <c r="C423"/>
  <c r="B423"/>
  <c r="K422"/>
  <c r="J422"/>
  <c r="I422"/>
  <c r="H422"/>
  <c r="E422"/>
  <c r="D422"/>
  <c r="C422"/>
  <c r="B422"/>
  <c r="K421"/>
  <c r="J421"/>
  <c r="I421"/>
  <c r="H421"/>
  <c r="E421"/>
  <c r="D421"/>
  <c r="C421"/>
  <c r="B421"/>
  <c r="K420"/>
  <c r="J420"/>
  <c r="I420"/>
  <c r="H420"/>
  <c r="E420"/>
  <c r="D420"/>
  <c r="C420"/>
  <c r="B420"/>
  <c r="K419"/>
  <c r="J419"/>
  <c r="I419"/>
  <c r="H419"/>
  <c r="E419"/>
  <c r="D419"/>
  <c r="C419"/>
  <c r="B419"/>
  <c r="K418"/>
  <c r="J418"/>
  <c r="I418"/>
  <c r="H418"/>
  <c r="E418"/>
  <c r="D418"/>
  <c r="C418"/>
  <c r="B418"/>
  <c r="K417"/>
  <c r="J417"/>
  <c r="I417"/>
  <c r="H417"/>
  <c r="E417"/>
  <c r="D417"/>
  <c r="C417"/>
  <c r="B417"/>
  <c r="K416"/>
  <c r="J416"/>
  <c r="I416"/>
  <c r="H416"/>
  <c r="E416"/>
  <c r="D416"/>
  <c r="C416"/>
  <c r="B416"/>
  <c r="K415"/>
  <c r="J415"/>
  <c r="I415"/>
  <c r="H415"/>
  <c r="E415"/>
  <c r="D415"/>
  <c r="C415"/>
  <c r="B415"/>
  <c r="K414"/>
  <c r="J414"/>
  <c r="I414"/>
  <c r="H414"/>
  <c r="E414"/>
  <c r="D414"/>
  <c r="C414"/>
  <c r="B414"/>
  <c r="K413"/>
  <c r="J413"/>
  <c r="I413"/>
  <c r="H413"/>
  <c r="E413"/>
  <c r="D413"/>
  <c r="C413"/>
  <c r="B413"/>
  <c r="K412"/>
  <c r="J412"/>
  <c r="I412"/>
  <c r="H412"/>
  <c r="E412"/>
  <c r="D412"/>
  <c r="C412"/>
  <c r="B412"/>
  <c r="K411"/>
  <c r="J411"/>
  <c r="I411"/>
  <c r="H411"/>
  <c r="E411"/>
  <c r="D411"/>
  <c r="C411"/>
  <c r="B411"/>
  <c r="K410"/>
  <c r="J410"/>
  <c r="I410"/>
  <c r="H410"/>
  <c r="E410"/>
  <c r="D410"/>
  <c r="C410"/>
  <c r="B410"/>
  <c r="K409"/>
  <c r="J409"/>
  <c r="I409"/>
  <c r="H409"/>
  <c r="E409"/>
  <c r="D409"/>
  <c r="C409"/>
  <c r="B409"/>
  <c r="K408"/>
  <c r="J408"/>
  <c r="I408"/>
  <c r="H408"/>
  <c r="E408"/>
  <c r="D408"/>
  <c r="C408"/>
  <c r="B408"/>
  <c r="K407"/>
  <c r="J407"/>
  <c r="I407"/>
  <c r="H407"/>
  <c r="E407"/>
  <c r="D407"/>
  <c r="C407"/>
  <c r="B407"/>
  <c r="K406"/>
  <c r="J406"/>
  <c r="I406"/>
  <c r="H406"/>
  <c r="E406"/>
  <c r="D406"/>
  <c r="C406"/>
  <c r="B406"/>
  <c r="K405"/>
  <c r="J405"/>
  <c r="I405"/>
  <c r="H405"/>
  <c r="E405"/>
  <c r="D405"/>
  <c r="C405"/>
  <c r="B405"/>
  <c r="K404"/>
  <c r="J404"/>
  <c r="I404"/>
  <c r="H404"/>
  <c r="E404"/>
  <c r="D404"/>
  <c r="C404"/>
  <c r="B404"/>
  <c r="K403"/>
  <c r="J403"/>
  <c r="I403"/>
  <c r="H403"/>
  <c r="E403"/>
  <c r="D403"/>
  <c r="C403"/>
  <c r="B403"/>
  <c r="K402"/>
  <c r="J402"/>
  <c r="I402"/>
  <c r="H402"/>
  <c r="E402"/>
  <c r="D402"/>
  <c r="C402"/>
  <c r="B402"/>
  <c r="K401"/>
  <c r="J401"/>
  <c r="I401"/>
  <c r="H401"/>
  <c r="E401"/>
  <c r="D401"/>
  <c r="C401"/>
  <c r="B401"/>
  <c r="K400"/>
  <c r="J400"/>
  <c r="I400"/>
  <c r="H400"/>
  <c r="E400"/>
  <c r="D400"/>
  <c r="C400"/>
  <c r="B400"/>
  <c r="K399"/>
  <c r="J399"/>
  <c r="I399"/>
  <c r="H399"/>
  <c r="E399"/>
  <c r="D399"/>
  <c r="C399"/>
  <c r="B399"/>
  <c r="K398"/>
  <c r="J398"/>
  <c r="I398"/>
  <c r="H398"/>
  <c r="E398"/>
  <c r="D398"/>
  <c r="C398"/>
  <c r="B398"/>
  <c r="K397"/>
  <c r="J397"/>
  <c r="I397"/>
  <c r="H397"/>
  <c r="E397"/>
  <c r="D397"/>
  <c r="C397"/>
  <c r="B397"/>
  <c r="K396"/>
  <c r="J396"/>
  <c r="I396"/>
  <c r="H396"/>
  <c r="E396"/>
  <c r="D396"/>
  <c r="C396"/>
  <c r="B396"/>
  <c r="K395"/>
  <c r="J395"/>
  <c r="I395"/>
  <c r="H395"/>
  <c r="E395"/>
  <c r="D395"/>
  <c r="C395"/>
  <c r="B395"/>
  <c r="K394"/>
  <c r="J394"/>
  <c r="I394"/>
  <c r="H394"/>
  <c r="E394"/>
  <c r="D394"/>
  <c r="C394"/>
  <c r="B394"/>
  <c r="K393"/>
  <c r="J393"/>
  <c r="I393"/>
  <c r="H393"/>
  <c r="E393"/>
  <c r="D393"/>
  <c r="C393"/>
  <c r="B393"/>
  <c r="K392"/>
  <c r="J392"/>
  <c r="I392"/>
  <c r="H392"/>
  <c r="E392"/>
  <c r="D392"/>
  <c r="C392"/>
  <c r="B392"/>
  <c r="K391"/>
  <c r="J391"/>
  <c r="I391"/>
  <c r="H391"/>
  <c r="E391"/>
  <c r="D391"/>
  <c r="C391"/>
  <c r="B391"/>
  <c r="K390"/>
  <c r="J390"/>
  <c r="I390"/>
  <c r="H390"/>
  <c r="E390"/>
  <c r="D390"/>
  <c r="C390"/>
  <c r="B390"/>
  <c r="K389"/>
  <c r="J389"/>
  <c r="I389"/>
  <c r="H389"/>
  <c r="E389"/>
  <c r="D389"/>
  <c r="C389"/>
  <c r="B389"/>
  <c r="K388"/>
  <c r="J388"/>
  <c r="I388"/>
  <c r="H388"/>
  <c r="E388"/>
  <c r="D388"/>
  <c r="C388"/>
  <c r="B388"/>
  <c r="K387"/>
  <c r="J387"/>
  <c r="I387"/>
  <c r="H387"/>
  <c r="E387"/>
  <c r="D387"/>
  <c r="C387"/>
  <c r="B387"/>
  <c r="K386"/>
  <c r="J386"/>
  <c r="I386"/>
  <c r="H386"/>
  <c r="E386"/>
  <c r="D386"/>
  <c r="C386"/>
  <c r="B386"/>
  <c r="K385"/>
  <c r="J385"/>
  <c r="I385"/>
  <c r="H385"/>
  <c r="E385"/>
  <c r="D385"/>
  <c r="C385"/>
  <c r="B385"/>
  <c r="K384"/>
  <c r="J384"/>
  <c r="I384"/>
  <c r="H384"/>
  <c r="E384"/>
  <c r="D384"/>
  <c r="C384"/>
  <c r="B384"/>
  <c r="K383"/>
  <c r="J383"/>
  <c r="I383"/>
  <c r="H383"/>
  <c r="E383"/>
  <c r="D383"/>
  <c r="C383"/>
  <c r="B383"/>
  <c r="K382"/>
  <c r="J382"/>
  <c r="I382"/>
  <c r="H382"/>
  <c r="E382"/>
  <c r="D382"/>
  <c r="C382"/>
  <c r="B382"/>
  <c r="K381"/>
  <c r="J381"/>
  <c r="I381"/>
  <c r="H381"/>
  <c r="E381"/>
  <c r="D381"/>
  <c r="C381"/>
  <c r="B381"/>
  <c r="K380"/>
  <c r="J380"/>
  <c r="I380"/>
  <c r="H380"/>
  <c r="E380"/>
  <c r="D380"/>
  <c r="C380"/>
  <c r="B380"/>
  <c r="K379"/>
  <c r="J379"/>
  <c r="I379"/>
  <c r="H379"/>
  <c r="E379"/>
  <c r="D379"/>
  <c r="C379"/>
  <c r="B379"/>
  <c r="K378"/>
  <c r="J378"/>
  <c r="I378"/>
  <c r="H378"/>
  <c r="E378"/>
  <c r="D378"/>
  <c r="C378"/>
  <c r="B378"/>
  <c r="K377"/>
  <c r="J377"/>
  <c r="I377"/>
  <c r="H377"/>
  <c r="E377"/>
  <c r="D377"/>
  <c r="C377"/>
  <c r="B377"/>
  <c r="K376"/>
  <c r="J376"/>
  <c r="I376"/>
  <c r="H376"/>
  <c r="E376"/>
  <c r="D376"/>
  <c r="C376"/>
  <c r="B376"/>
  <c r="K375"/>
  <c r="J375"/>
  <c r="I375"/>
  <c r="H375"/>
  <c r="E375"/>
  <c r="D375"/>
  <c r="C375"/>
  <c r="B375"/>
  <c r="K374"/>
  <c r="J374"/>
  <c r="I374"/>
  <c r="H374"/>
  <c r="E374"/>
  <c r="D374"/>
  <c r="C374"/>
  <c r="B374"/>
  <c r="K373"/>
  <c r="J373"/>
  <c r="I373"/>
  <c r="H373"/>
  <c r="E373"/>
  <c r="D373"/>
  <c r="C373"/>
  <c r="B373"/>
  <c r="K372"/>
  <c r="J372"/>
  <c r="I372"/>
  <c r="H372"/>
  <c r="E372"/>
  <c r="D372"/>
  <c r="C372"/>
  <c r="B372"/>
  <c r="K371"/>
  <c r="J371"/>
  <c r="I371"/>
  <c r="H371"/>
  <c r="E371"/>
  <c r="D371"/>
  <c r="C371"/>
  <c r="B371"/>
  <c r="K370"/>
  <c r="J370"/>
  <c r="I370"/>
  <c r="H370"/>
  <c r="E370"/>
  <c r="D370"/>
  <c r="C370"/>
  <c r="B370"/>
  <c r="K369"/>
  <c r="J369"/>
  <c r="I369"/>
  <c r="H369"/>
  <c r="E369"/>
  <c r="D369"/>
  <c r="C369"/>
  <c r="B369"/>
  <c r="K368"/>
  <c r="J368"/>
  <c r="I368"/>
  <c r="H368"/>
  <c r="E368"/>
  <c r="D368"/>
  <c r="C368"/>
  <c r="B368"/>
  <c r="K367"/>
  <c r="J367"/>
  <c r="I367"/>
  <c r="H367"/>
  <c r="E367"/>
  <c r="D367"/>
  <c r="C367"/>
  <c r="B367"/>
  <c r="K366"/>
  <c r="J366"/>
  <c r="I366"/>
  <c r="H366"/>
  <c r="E366"/>
  <c r="D366"/>
  <c r="C366"/>
  <c r="B366"/>
  <c r="K365"/>
  <c r="J365"/>
  <c r="I365"/>
  <c r="H365"/>
  <c r="E365"/>
  <c r="D365"/>
  <c r="C365"/>
  <c r="B365"/>
  <c r="K364"/>
  <c r="J364"/>
  <c r="I364"/>
  <c r="H364"/>
  <c r="E364"/>
  <c r="D364"/>
  <c r="C364"/>
  <c r="B364"/>
  <c r="K363"/>
  <c r="J363"/>
  <c r="I363"/>
  <c r="H363"/>
  <c r="E363"/>
  <c r="D363"/>
  <c r="C363"/>
  <c r="B363"/>
  <c r="K362"/>
  <c r="J362"/>
  <c r="I362"/>
  <c r="H362"/>
  <c r="E362"/>
  <c r="D362"/>
  <c r="C362"/>
  <c r="B362"/>
  <c r="K361"/>
  <c r="J361"/>
  <c r="I361"/>
  <c r="H361"/>
  <c r="E361"/>
  <c r="D361"/>
  <c r="C361"/>
  <c r="B361"/>
  <c r="K360"/>
  <c r="J360"/>
  <c r="I360"/>
  <c r="H360"/>
  <c r="E360"/>
  <c r="D360"/>
  <c r="C360"/>
  <c r="B360"/>
  <c r="K359"/>
  <c r="J359"/>
  <c r="I359"/>
  <c r="H359"/>
  <c r="E359"/>
  <c r="D359"/>
  <c r="C359"/>
  <c r="B359"/>
  <c r="K358"/>
  <c r="J358"/>
  <c r="I358"/>
  <c r="H358"/>
  <c r="E358"/>
  <c r="D358"/>
  <c r="C358"/>
  <c r="B358"/>
  <c r="K357"/>
  <c r="J357"/>
  <c r="I357"/>
  <c r="H357"/>
  <c r="E357"/>
  <c r="D357"/>
  <c r="C357"/>
  <c r="B357"/>
  <c r="K356"/>
  <c r="J356"/>
  <c r="I356"/>
  <c r="H356"/>
  <c r="E356"/>
  <c r="D356"/>
  <c r="C356"/>
  <c r="B356"/>
  <c r="K355"/>
  <c r="J355"/>
  <c r="I355"/>
  <c r="H355"/>
  <c r="E355"/>
  <c r="D355"/>
  <c r="C355"/>
  <c r="B355"/>
  <c r="K354"/>
  <c r="J354"/>
  <c r="I354"/>
  <c r="H354"/>
  <c r="E354"/>
  <c r="D354"/>
  <c r="C354"/>
  <c r="B354"/>
  <c r="K353"/>
  <c r="J353"/>
  <c r="I353"/>
  <c r="H353"/>
  <c r="E353"/>
  <c r="D353"/>
  <c r="C353"/>
  <c r="B353"/>
  <c r="K352"/>
  <c r="J352"/>
  <c r="I352"/>
  <c r="H352"/>
  <c r="E352"/>
  <c r="D352"/>
  <c r="C352"/>
  <c r="B352"/>
  <c r="K351"/>
  <c r="J351"/>
  <c r="I351"/>
  <c r="H351"/>
  <c r="E351"/>
  <c r="D351"/>
  <c r="C351"/>
  <c r="B351"/>
  <c r="K350"/>
  <c r="J350"/>
  <c r="I350"/>
  <c r="H350"/>
  <c r="E350"/>
  <c r="D350"/>
  <c r="C350"/>
  <c r="B350"/>
  <c r="K349"/>
  <c r="J349"/>
  <c r="I349"/>
  <c r="H349"/>
  <c r="E349"/>
  <c r="D349"/>
  <c r="C349"/>
  <c r="B349"/>
  <c r="K348"/>
  <c r="J348"/>
  <c r="I348"/>
  <c r="H348"/>
  <c r="E348"/>
  <c r="D348"/>
  <c r="C348"/>
  <c r="B348"/>
  <c r="K347"/>
  <c r="J347"/>
  <c r="I347"/>
  <c r="H347"/>
  <c r="E347"/>
  <c r="D347"/>
  <c r="C347"/>
  <c r="B347"/>
  <c r="K346"/>
  <c r="J346"/>
  <c r="I346"/>
  <c r="H346"/>
  <c r="E346"/>
  <c r="D346"/>
  <c r="C346"/>
  <c r="B346"/>
  <c r="K345"/>
  <c r="J345"/>
  <c r="I345"/>
  <c r="H345"/>
  <c r="E345"/>
  <c r="D345"/>
  <c r="C345"/>
  <c r="B345"/>
  <c r="K344"/>
  <c r="J344"/>
  <c r="I344"/>
  <c r="H344"/>
  <c r="E344"/>
  <c r="D344"/>
  <c r="C344"/>
  <c r="B344"/>
  <c r="K343"/>
  <c r="J343"/>
  <c r="I343"/>
  <c r="H343"/>
  <c r="E343"/>
  <c r="D343"/>
  <c r="C343"/>
  <c r="B343"/>
  <c r="K342"/>
  <c r="J342"/>
  <c r="I342"/>
  <c r="H342"/>
  <c r="E342"/>
  <c r="D342"/>
  <c r="C342"/>
  <c r="B342"/>
  <c r="K341"/>
  <c r="J341"/>
  <c r="I341"/>
  <c r="H341"/>
  <c r="E341"/>
  <c r="D341"/>
  <c r="C341"/>
  <c r="B341"/>
  <c r="K340"/>
  <c r="J340"/>
  <c r="I340"/>
  <c r="H340"/>
  <c r="E340"/>
  <c r="D340"/>
  <c r="C340"/>
  <c r="B340"/>
  <c r="K339"/>
  <c r="J339"/>
  <c r="I339"/>
  <c r="H339"/>
  <c r="E339"/>
  <c r="D339"/>
  <c r="C339"/>
  <c r="B339"/>
  <c r="K338"/>
  <c r="J338"/>
  <c r="I338"/>
  <c r="H338"/>
  <c r="E338"/>
  <c r="D338"/>
  <c r="C338"/>
  <c r="B338"/>
  <c r="K337"/>
  <c r="J337"/>
  <c r="I337"/>
  <c r="H337"/>
  <c r="E337"/>
  <c r="D337"/>
  <c r="C337"/>
  <c r="B337"/>
  <c r="K336"/>
  <c r="J336"/>
  <c r="I336"/>
  <c r="H336"/>
  <c r="E336"/>
  <c r="D336"/>
  <c r="C336"/>
  <c r="B336"/>
  <c r="K335"/>
  <c r="J335"/>
  <c r="I335"/>
  <c r="H335"/>
  <c r="E335"/>
  <c r="D335"/>
  <c r="C335"/>
  <c r="B335"/>
  <c r="K334"/>
  <c r="J334"/>
  <c r="I334"/>
  <c r="H334"/>
  <c r="E334"/>
  <c r="D334"/>
  <c r="C334"/>
  <c r="B334"/>
  <c r="K333"/>
  <c r="J333"/>
  <c r="I333"/>
  <c r="H333"/>
  <c r="E333"/>
  <c r="D333"/>
  <c r="C333"/>
  <c r="B333"/>
  <c r="K332"/>
  <c r="J332"/>
  <c r="I332"/>
  <c r="H332"/>
  <c r="E332"/>
  <c r="D332"/>
  <c r="C332"/>
  <c r="B332"/>
  <c r="K331"/>
  <c r="J331"/>
  <c r="I331"/>
  <c r="H331"/>
  <c r="E331"/>
  <c r="D331"/>
  <c r="C331"/>
  <c r="B331"/>
  <c r="K330"/>
  <c r="J330"/>
  <c r="I330"/>
  <c r="H330"/>
  <c r="E330"/>
  <c r="D330"/>
  <c r="C330"/>
  <c r="B330"/>
  <c r="K329"/>
  <c r="J329"/>
  <c r="I329"/>
  <c r="H329"/>
  <c r="E329"/>
  <c r="D329"/>
  <c r="C329"/>
  <c r="B329"/>
  <c r="K328"/>
  <c r="J328"/>
  <c r="I328"/>
  <c r="H328"/>
  <c r="E328"/>
  <c r="D328"/>
  <c r="C328"/>
  <c r="B328"/>
  <c r="K327"/>
  <c r="J327"/>
  <c r="I327"/>
  <c r="H327"/>
  <c r="E327"/>
  <c r="D327"/>
  <c r="C327"/>
  <c r="B327"/>
  <c r="K326"/>
  <c r="J326"/>
  <c r="I326"/>
  <c r="H326"/>
  <c r="E326"/>
  <c r="D326"/>
  <c r="C326"/>
  <c r="B326"/>
  <c r="K325"/>
  <c r="J325"/>
  <c r="I325"/>
  <c r="H325"/>
  <c r="E325"/>
  <c r="D325"/>
  <c r="C325"/>
  <c r="B325"/>
  <c r="K324"/>
  <c r="J324"/>
  <c r="I324"/>
  <c r="H324"/>
  <c r="E324"/>
  <c r="D324"/>
  <c r="C324"/>
  <c r="B324"/>
  <c r="K323"/>
  <c r="J323"/>
  <c r="I323"/>
  <c r="H323"/>
  <c r="E323"/>
  <c r="D323"/>
  <c r="C323"/>
  <c r="B323"/>
  <c r="K322"/>
  <c r="J322"/>
  <c r="I322"/>
  <c r="H322"/>
  <c r="E322"/>
  <c r="D322"/>
  <c r="C322"/>
  <c r="B322"/>
  <c r="K321"/>
  <c r="J321"/>
  <c r="I321"/>
  <c r="H321"/>
  <c r="E321"/>
  <c r="D321"/>
  <c r="C321"/>
  <c r="B321"/>
  <c r="K320"/>
  <c r="J320"/>
  <c r="I320"/>
  <c r="H320"/>
  <c r="E320"/>
  <c r="D320"/>
  <c r="C320"/>
  <c r="B320"/>
  <c r="K319"/>
  <c r="J319"/>
  <c r="I319"/>
  <c r="H319"/>
  <c r="E319"/>
  <c r="D319"/>
  <c r="C319"/>
  <c r="B319"/>
  <c r="K318"/>
  <c r="J318"/>
  <c r="I318"/>
  <c r="H318"/>
  <c r="E318"/>
  <c r="D318"/>
  <c r="C318"/>
  <c r="B318"/>
  <c r="K317"/>
  <c r="J317"/>
  <c r="I317"/>
  <c r="H317"/>
  <c r="E317"/>
  <c r="D317"/>
  <c r="C317"/>
  <c r="B317"/>
  <c r="K316"/>
  <c r="J316"/>
  <c r="I316"/>
  <c r="H316"/>
  <c r="E316"/>
  <c r="D316"/>
  <c r="C316"/>
  <c r="B316"/>
  <c r="K315"/>
  <c r="J315"/>
  <c r="I315"/>
  <c r="H315"/>
  <c r="E315"/>
  <c r="D315"/>
  <c r="C315"/>
  <c r="B315"/>
  <c r="K314"/>
  <c r="J314"/>
  <c r="I314"/>
  <c r="H314"/>
  <c r="E314"/>
  <c r="D314"/>
  <c r="C314"/>
  <c r="B314"/>
  <c r="K313"/>
  <c r="J313"/>
  <c r="I313"/>
  <c r="H313"/>
  <c r="E313"/>
  <c r="D313"/>
  <c r="C313"/>
  <c r="B313"/>
  <c r="K312"/>
  <c r="J312"/>
  <c r="I312"/>
  <c r="H312"/>
  <c r="E312"/>
  <c r="D312"/>
  <c r="C312"/>
  <c r="B312"/>
  <c r="K311"/>
  <c r="J311"/>
  <c r="I311"/>
  <c r="H311"/>
  <c r="E311"/>
  <c r="D311"/>
  <c r="C311"/>
  <c r="B311"/>
  <c r="K310"/>
  <c r="J310"/>
  <c r="I310"/>
  <c r="H310"/>
  <c r="E310"/>
  <c r="D310"/>
  <c r="C310"/>
  <c r="B310"/>
  <c r="K309"/>
  <c r="J309"/>
  <c r="I309"/>
  <c r="H309"/>
  <c r="E309"/>
  <c r="D309"/>
  <c r="C309"/>
  <c r="B309"/>
  <c r="K308"/>
  <c r="J308"/>
  <c r="I308"/>
  <c r="H308"/>
  <c r="E308"/>
  <c r="D308"/>
  <c r="C308"/>
  <c r="B308"/>
  <c r="K307"/>
  <c r="J307"/>
  <c r="I307"/>
  <c r="H307"/>
  <c r="E307"/>
  <c r="D307"/>
  <c r="C307"/>
  <c r="B307"/>
  <c r="K306"/>
  <c r="J306"/>
  <c r="I306"/>
  <c r="H306"/>
  <c r="E306"/>
  <c r="D306"/>
  <c r="C306"/>
  <c r="B306"/>
  <c r="K305"/>
  <c r="J305"/>
  <c r="I305"/>
  <c r="H305"/>
  <c r="E305"/>
  <c r="D305"/>
  <c r="C305"/>
  <c r="B305"/>
  <c r="K304"/>
  <c r="J304"/>
  <c r="I304"/>
  <c r="H304"/>
  <c r="E304"/>
  <c r="D304"/>
  <c r="C304"/>
  <c r="B304"/>
  <c r="K303"/>
  <c r="J303"/>
  <c r="I303"/>
  <c r="H303"/>
  <c r="E303"/>
  <c r="D303"/>
  <c r="C303"/>
  <c r="B303"/>
  <c r="K302"/>
  <c r="J302"/>
  <c r="I302"/>
  <c r="H302"/>
  <c r="E302"/>
  <c r="D302"/>
  <c r="C302"/>
  <c r="B302"/>
  <c r="K301"/>
  <c r="J301"/>
  <c r="I301"/>
  <c r="H301"/>
  <c r="E301"/>
  <c r="D301"/>
  <c r="C301"/>
  <c r="B301"/>
  <c r="K300"/>
  <c r="J300"/>
  <c r="I300"/>
  <c r="H300"/>
  <c r="E300"/>
  <c r="D300"/>
  <c r="C300"/>
  <c r="B300"/>
  <c r="K299"/>
  <c r="J299"/>
  <c r="I299"/>
  <c r="H299"/>
  <c r="E299"/>
  <c r="D299"/>
  <c r="C299"/>
  <c r="B299"/>
  <c r="K298"/>
  <c r="J298"/>
  <c r="I298"/>
  <c r="H298"/>
  <c r="E298"/>
  <c r="D298"/>
  <c r="C298"/>
  <c r="B298"/>
  <c r="K297"/>
  <c r="J297"/>
  <c r="I297"/>
  <c r="H297"/>
  <c r="E297"/>
  <c r="D297"/>
  <c r="C297"/>
  <c r="B297"/>
  <c r="K296"/>
  <c r="J296"/>
  <c r="I296"/>
  <c r="H296"/>
  <c r="E296"/>
  <c r="D296"/>
  <c r="C296"/>
  <c r="B296"/>
  <c r="K295"/>
  <c r="J295"/>
  <c r="I295"/>
  <c r="H295"/>
  <c r="E295"/>
  <c r="D295"/>
  <c r="C295"/>
  <c r="B295"/>
  <c r="K294"/>
  <c r="J294"/>
  <c r="I294"/>
  <c r="H294"/>
  <c r="E294"/>
  <c r="D294"/>
  <c r="C294"/>
  <c r="B294"/>
  <c r="K293"/>
  <c r="J293"/>
  <c r="I293"/>
  <c r="H293"/>
  <c r="E293"/>
  <c r="D293"/>
  <c r="C293"/>
  <c r="B293"/>
  <c r="K292"/>
  <c r="J292"/>
  <c r="I292"/>
  <c r="H292"/>
  <c r="E292"/>
  <c r="D292"/>
  <c r="C292"/>
  <c r="B292"/>
  <c r="K291"/>
  <c r="J291"/>
  <c r="I291"/>
  <c r="H291"/>
  <c r="E291"/>
  <c r="D291"/>
  <c r="C291"/>
  <c r="B291"/>
  <c r="K290"/>
  <c r="J290"/>
  <c r="I290"/>
  <c r="H290"/>
  <c r="E290"/>
  <c r="D290"/>
  <c r="C290"/>
  <c r="B290"/>
  <c r="K289"/>
  <c r="J289"/>
  <c r="I289"/>
  <c r="H289"/>
  <c r="E289"/>
  <c r="D289"/>
  <c r="C289"/>
  <c r="B289"/>
  <c r="K288"/>
  <c r="J288"/>
  <c r="I288"/>
  <c r="H288"/>
  <c r="E288"/>
  <c r="D288"/>
  <c r="C288"/>
  <c r="B288"/>
  <c r="K287"/>
  <c r="J287"/>
  <c r="I287"/>
  <c r="H287"/>
  <c r="E287"/>
  <c r="D287"/>
  <c r="C287"/>
  <c r="B287"/>
  <c r="K286"/>
  <c r="J286"/>
  <c r="I286"/>
  <c r="H286"/>
  <c r="E286"/>
  <c r="D286"/>
  <c r="C286"/>
  <c r="B286"/>
  <c r="K285"/>
  <c r="J285"/>
  <c r="I285"/>
  <c r="H285"/>
  <c r="E285"/>
  <c r="D285"/>
  <c r="C285"/>
  <c r="B285"/>
  <c r="K284"/>
  <c r="J284"/>
  <c r="I284"/>
  <c r="H284"/>
  <c r="E284"/>
  <c r="D284"/>
  <c r="C284"/>
  <c r="B284"/>
  <c r="K283"/>
  <c r="J283"/>
  <c r="I283"/>
  <c r="H283"/>
  <c r="E283"/>
  <c r="D283"/>
  <c r="C283"/>
  <c r="B283"/>
  <c r="K282"/>
  <c r="J282"/>
  <c r="I282"/>
  <c r="H282"/>
  <c r="E282"/>
  <c r="D282"/>
  <c r="C282"/>
  <c r="B282"/>
  <c r="K281"/>
  <c r="J281"/>
  <c r="I281"/>
  <c r="H281"/>
  <c r="E281"/>
  <c r="D281"/>
  <c r="C281"/>
  <c r="B281"/>
  <c r="K280"/>
  <c r="J280"/>
  <c r="I280"/>
  <c r="H280"/>
  <c r="E280"/>
  <c r="D280"/>
  <c r="C280"/>
  <c r="B280"/>
  <c r="K279"/>
  <c r="J279"/>
  <c r="I279"/>
  <c r="H279"/>
  <c r="E279"/>
  <c r="D279"/>
  <c r="C279"/>
  <c r="B279"/>
  <c r="K278"/>
  <c r="J278"/>
  <c r="I278"/>
  <c r="H278"/>
  <c r="E278"/>
  <c r="D278"/>
  <c r="C278"/>
  <c r="B278"/>
  <c r="K277"/>
  <c r="J277"/>
  <c r="I277"/>
  <c r="H277"/>
  <c r="E277"/>
  <c r="D277"/>
  <c r="C277"/>
  <c r="B277"/>
  <c r="K276"/>
  <c r="J276"/>
  <c r="I276"/>
  <c r="H276"/>
  <c r="E276"/>
  <c r="D276"/>
  <c r="C276"/>
  <c r="B276"/>
  <c r="K275"/>
  <c r="J275"/>
  <c r="I275"/>
  <c r="H275"/>
  <c r="E275"/>
  <c r="D275"/>
  <c r="C275"/>
  <c r="B275"/>
  <c r="K274"/>
  <c r="J274"/>
  <c r="I274"/>
  <c r="H274"/>
  <c r="E274"/>
  <c r="D274"/>
  <c r="C274"/>
  <c r="B274"/>
  <c r="K273"/>
  <c r="J273"/>
  <c r="I273"/>
  <c r="H273"/>
  <c r="E273"/>
  <c r="D273"/>
  <c r="C273"/>
  <c r="B273"/>
  <c r="K272"/>
  <c r="J272"/>
  <c r="I272"/>
  <c r="H272"/>
  <c r="E272"/>
  <c r="D272"/>
  <c r="C272"/>
  <c r="B272"/>
  <c r="K271"/>
  <c r="J271"/>
  <c r="I271"/>
  <c r="H271"/>
  <c r="E271"/>
  <c r="D271"/>
  <c r="C271"/>
  <c r="B271"/>
  <c r="K270"/>
  <c r="J270"/>
  <c r="I270"/>
  <c r="H270"/>
  <c r="E270"/>
  <c r="D270"/>
  <c r="C270"/>
  <c r="B270"/>
  <c r="K269"/>
  <c r="J269"/>
  <c r="I269"/>
  <c r="H269"/>
  <c r="E269"/>
  <c r="D269"/>
  <c r="C269"/>
  <c r="B269"/>
  <c r="K268"/>
  <c r="J268"/>
  <c r="I268"/>
  <c r="H268"/>
  <c r="E268"/>
  <c r="D268"/>
  <c r="C268"/>
  <c r="B268"/>
  <c r="K267"/>
  <c r="J267"/>
  <c r="I267"/>
  <c r="H267"/>
  <c r="E267"/>
  <c r="D267"/>
  <c r="C267"/>
  <c r="B267"/>
  <c r="K266"/>
  <c r="J266"/>
  <c r="I266"/>
  <c r="H266"/>
  <c r="E266"/>
  <c r="D266"/>
  <c r="C266"/>
  <c r="B266"/>
  <c r="K265"/>
  <c r="J265"/>
  <c r="I265"/>
  <c r="H265"/>
  <c r="E265"/>
  <c r="D265"/>
  <c r="C265"/>
  <c r="B265"/>
  <c r="K264"/>
  <c r="J264"/>
  <c r="I264"/>
  <c r="H264"/>
  <c r="E264"/>
  <c r="D264"/>
  <c r="C264"/>
  <c r="B264"/>
  <c r="K263"/>
  <c r="J263"/>
  <c r="I263"/>
  <c r="H263"/>
  <c r="E263"/>
  <c r="D263"/>
  <c r="C263"/>
  <c r="B263"/>
  <c r="K262"/>
  <c r="J262"/>
  <c r="I262"/>
  <c r="H262"/>
  <c r="E262"/>
  <c r="D262"/>
  <c r="C262"/>
  <c r="B262"/>
  <c r="K261"/>
  <c r="J261"/>
  <c r="I261"/>
  <c r="H261"/>
  <c r="E261"/>
  <c r="D261"/>
  <c r="C261"/>
  <c r="B261"/>
  <c r="K260"/>
  <c r="J260"/>
  <c r="I260"/>
  <c r="H260"/>
  <c r="E260"/>
  <c r="D260"/>
  <c r="C260"/>
  <c r="B260"/>
  <c r="K259"/>
  <c r="J259"/>
  <c r="I259"/>
  <c r="H259"/>
  <c r="E259"/>
  <c r="D259"/>
  <c r="C259"/>
  <c r="B259"/>
  <c r="K258"/>
  <c r="J258"/>
  <c r="I258"/>
  <c r="H258"/>
  <c r="E258"/>
  <c r="D258"/>
  <c r="C258"/>
  <c r="B258"/>
  <c r="K257"/>
  <c r="J257"/>
  <c r="I257"/>
  <c r="H257"/>
  <c r="E257"/>
  <c r="D257"/>
  <c r="C257"/>
  <c r="B257"/>
  <c r="K256"/>
  <c r="J256"/>
  <c r="I256"/>
  <c r="H256"/>
  <c r="E256"/>
  <c r="D256"/>
  <c r="C256"/>
  <c r="B256"/>
  <c r="K255"/>
  <c r="J255"/>
  <c r="I255"/>
  <c r="H255"/>
  <c r="E255"/>
  <c r="D255"/>
  <c r="C255"/>
  <c r="B255"/>
  <c r="K254"/>
  <c r="J254"/>
  <c r="I254"/>
  <c r="H254"/>
  <c r="E254"/>
  <c r="D254"/>
  <c r="C254"/>
  <c r="B254"/>
  <c r="K253"/>
  <c r="J253"/>
  <c r="I253"/>
  <c r="H253"/>
  <c r="E253"/>
  <c r="D253"/>
  <c r="C253"/>
  <c r="B253"/>
  <c r="K252"/>
  <c r="J252"/>
  <c r="I252"/>
  <c r="H252"/>
  <c r="E252"/>
  <c r="D252"/>
  <c r="C252"/>
  <c r="B252"/>
  <c r="K251"/>
  <c r="J251"/>
  <c r="I251"/>
  <c r="H251"/>
  <c r="E251"/>
  <c r="D251"/>
  <c r="C251"/>
  <c r="B251"/>
  <c r="K250"/>
  <c r="J250"/>
  <c r="I250"/>
  <c r="H250"/>
  <c r="E250"/>
  <c r="D250"/>
  <c r="C250"/>
  <c r="B250"/>
  <c r="K249"/>
  <c r="J249"/>
  <c r="I249"/>
  <c r="H249"/>
  <c r="E249"/>
  <c r="D249"/>
  <c r="C249"/>
  <c r="B249"/>
  <c r="K248"/>
  <c r="J248"/>
  <c r="I248"/>
  <c r="H248"/>
  <c r="E248"/>
  <c r="D248"/>
  <c r="C248"/>
  <c r="B248"/>
  <c r="K247"/>
  <c r="J247"/>
  <c r="I247"/>
  <c r="H247"/>
  <c r="E247"/>
  <c r="D247"/>
  <c r="C247"/>
  <c r="B247"/>
  <c r="K246"/>
  <c r="J246"/>
  <c r="I246"/>
  <c r="H246"/>
  <c r="E246"/>
  <c r="D246"/>
  <c r="C246"/>
  <c r="B246"/>
  <c r="K245"/>
  <c r="J245"/>
  <c r="I245"/>
  <c r="H245"/>
  <c r="E245"/>
  <c r="D245"/>
  <c r="C245"/>
  <c r="B245"/>
  <c r="K244"/>
  <c r="J244"/>
  <c r="I244"/>
  <c r="H244"/>
  <c r="E244"/>
  <c r="D244"/>
  <c r="C244"/>
  <c r="B244"/>
  <c r="K243"/>
  <c r="J243"/>
  <c r="I243"/>
  <c r="H243"/>
  <c r="E243"/>
  <c r="D243"/>
  <c r="C243"/>
  <c r="B243"/>
  <c r="K242"/>
  <c r="J242"/>
  <c r="I242"/>
  <c r="H242"/>
  <c r="E242"/>
  <c r="D242"/>
  <c r="C242"/>
  <c r="B242"/>
  <c r="K241"/>
  <c r="J241"/>
  <c r="I241"/>
  <c r="H241"/>
  <c r="E241"/>
  <c r="D241"/>
  <c r="C241"/>
  <c r="B241"/>
  <c r="K240"/>
  <c r="J240"/>
  <c r="I240"/>
  <c r="H240"/>
  <c r="E240"/>
  <c r="D240"/>
  <c r="C240"/>
  <c r="B240"/>
  <c r="K239"/>
  <c r="J239"/>
  <c r="I239"/>
  <c r="H239"/>
  <c r="E239"/>
  <c r="D239"/>
  <c r="C239"/>
  <c r="B239"/>
  <c r="K238"/>
  <c r="J238"/>
  <c r="I238"/>
  <c r="H238"/>
  <c r="E238"/>
  <c r="D238"/>
  <c r="C238"/>
  <c r="B238"/>
  <c r="K237"/>
  <c r="J237"/>
  <c r="I237"/>
  <c r="H237"/>
  <c r="E237"/>
  <c r="D237"/>
  <c r="C237"/>
  <c r="B237"/>
  <c r="K236"/>
  <c r="J236"/>
  <c r="I236"/>
  <c r="H236"/>
  <c r="E236"/>
  <c r="D236"/>
  <c r="C236"/>
  <c r="B236"/>
  <c r="K235"/>
  <c r="J235"/>
  <c r="I235"/>
  <c r="H235"/>
  <c r="E235"/>
  <c r="D235"/>
  <c r="C235"/>
  <c r="B235"/>
  <c r="K234"/>
  <c r="J234"/>
  <c r="I234"/>
  <c r="H234"/>
  <c r="E234"/>
  <c r="D234"/>
  <c r="C234"/>
  <c r="B234"/>
  <c r="K233"/>
  <c r="J233"/>
  <c r="I233"/>
  <c r="H233"/>
  <c r="E233"/>
  <c r="D233"/>
  <c r="C233"/>
  <c r="B233"/>
  <c r="K232"/>
  <c r="J232"/>
  <c r="I232"/>
  <c r="H232"/>
  <c r="E232"/>
  <c r="D232"/>
  <c r="C232"/>
  <c r="B232"/>
  <c r="K231"/>
  <c r="J231"/>
  <c r="I231"/>
  <c r="H231"/>
  <c r="E231"/>
  <c r="D231"/>
  <c r="C231"/>
  <c r="B231"/>
  <c r="K230"/>
  <c r="J230"/>
  <c r="I230"/>
  <c r="H230"/>
  <c r="E230"/>
  <c r="D230"/>
  <c r="C230"/>
  <c r="B230"/>
  <c r="K229"/>
  <c r="J229"/>
  <c r="I229"/>
  <c r="H229"/>
  <c r="E229"/>
  <c r="D229"/>
  <c r="C229"/>
  <c r="B229"/>
  <c r="K228"/>
  <c r="J228"/>
  <c r="I228"/>
  <c r="H228"/>
  <c r="E228"/>
  <c r="D228"/>
  <c r="C228"/>
  <c r="B228"/>
  <c r="K227"/>
  <c r="J227"/>
  <c r="I227"/>
  <c r="H227"/>
  <c r="E227"/>
  <c r="D227"/>
  <c r="C227"/>
  <c r="B227"/>
  <c r="K226"/>
  <c r="J226"/>
  <c r="I226"/>
  <c r="H226"/>
  <c r="E226"/>
  <c r="D226"/>
  <c r="C226"/>
  <c r="B226"/>
  <c r="K225"/>
  <c r="J225"/>
  <c r="I225"/>
  <c r="H225"/>
  <c r="E225"/>
  <c r="D225"/>
  <c r="C225"/>
  <c r="B225"/>
  <c r="K224"/>
  <c r="J224"/>
  <c r="I224"/>
  <c r="H224"/>
  <c r="E224"/>
  <c r="D224"/>
  <c r="C224"/>
  <c r="B224"/>
  <c r="K223"/>
  <c r="J223"/>
  <c r="I223"/>
  <c r="H223"/>
  <c r="E223"/>
  <c r="D223"/>
  <c r="C223"/>
  <c r="B223"/>
  <c r="K222"/>
  <c r="J222"/>
  <c r="I222"/>
  <c r="H222"/>
  <c r="E222"/>
  <c r="D222"/>
  <c r="C222"/>
  <c r="B222"/>
  <c r="K221"/>
  <c r="J221"/>
  <c r="I221"/>
  <c r="H221"/>
  <c r="E221"/>
  <c r="D221"/>
  <c r="C221"/>
  <c r="B221"/>
  <c r="K220"/>
  <c r="J220"/>
  <c r="I220"/>
  <c r="H220"/>
  <c r="E220"/>
  <c r="D220"/>
  <c r="C220"/>
  <c r="B220"/>
  <c r="K219"/>
  <c r="J219"/>
  <c r="I219"/>
  <c r="H219"/>
  <c r="E219"/>
  <c r="D219"/>
  <c r="C219"/>
  <c r="B219"/>
  <c r="K218"/>
  <c r="J218"/>
  <c r="I218"/>
  <c r="H218"/>
  <c r="E218"/>
  <c r="D218"/>
  <c r="C218"/>
  <c r="B218"/>
  <c r="K217"/>
  <c r="J217"/>
  <c r="I217"/>
  <c r="H217"/>
  <c r="E217"/>
  <c r="D217"/>
  <c r="C217"/>
  <c r="B217"/>
  <c r="K216"/>
  <c r="J216"/>
  <c r="I216"/>
  <c r="H216"/>
  <c r="E216"/>
  <c r="D216"/>
  <c r="C216"/>
  <c r="B216"/>
  <c r="K215"/>
  <c r="J215"/>
  <c r="I215"/>
  <c r="H215"/>
  <c r="E215"/>
  <c r="D215"/>
  <c r="C215"/>
  <c r="B215"/>
  <c r="K214"/>
  <c r="J214"/>
  <c r="I214"/>
  <c r="H214"/>
  <c r="E214"/>
  <c r="D214"/>
  <c r="C214"/>
  <c r="B214"/>
  <c r="K213"/>
  <c r="J213"/>
  <c r="I213"/>
  <c r="H213"/>
  <c r="E213"/>
  <c r="D213"/>
  <c r="C213"/>
  <c r="B213"/>
  <c r="K212"/>
  <c r="J212"/>
  <c r="I212"/>
  <c r="H212"/>
  <c r="E212"/>
  <c r="D212"/>
  <c r="C212"/>
  <c r="B212"/>
  <c r="K211"/>
  <c r="J211"/>
  <c r="I211"/>
  <c r="H211"/>
  <c r="E211"/>
  <c r="D211"/>
  <c r="C211"/>
  <c r="B211"/>
  <c r="K210"/>
  <c r="J210"/>
  <c r="I210"/>
  <c r="H210"/>
  <c r="E210"/>
  <c r="D210"/>
  <c r="C210"/>
  <c r="B210"/>
  <c r="K209"/>
  <c r="J209"/>
  <c r="I209"/>
  <c r="H209"/>
  <c r="E209"/>
  <c r="D209"/>
  <c r="C209"/>
  <c r="B209"/>
  <c r="K208"/>
  <c r="J208"/>
  <c r="I208"/>
  <c r="H208"/>
  <c r="E208"/>
  <c r="D208"/>
  <c r="C208"/>
  <c r="B208"/>
  <c r="K207"/>
  <c r="J207"/>
  <c r="I207"/>
  <c r="H207"/>
  <c r="E207"/>
  <c r="D207"/>
  <c r="C207"/>
  <c r="B207"/>
  <c r="K206"/>
  <c r="J206"/>
  <c r="I206"/>
  <c r="H206"/>
  <c r="E206"/>
  <c r="D206"/>
  <c r="C206"/>
  <c r="B206"/>
  <c r="K205"/>
  <c r="J205"/>
  <c r="I205"/>
  <c r="H205"/>
  <c r="E205"/>
  <c r="D205"/>
  <c r="C205"/>
  <c r="B205"/>
  <c r="K204"/>
  <c r="J204"/>
  <c r="I204"/>
  <c r="H204"/>
  <c r="E204"/>
  <c r="D204"/>
  <c r="C204"/>
  <c r="B204"/>
  <c r="K203"/>
  <c r="J203"/>
  <c r="I203"/>
  <c r="H203"/>
  <c r="E203"/>
  <c r="D203"/>
  <c r="C203"/>
  <c r="B203"/>
  <c r="K202"/>
  <c r="J202"/>
  <c r="I202"/>
  <c r="H202"/>
  <c r="E202"/>
  <c r="D202"/>
  <c r="C202"/>
  <c r="B202"/>
  <c r="K201"/>
  <c r="J201"/>
  <c r="I201"/>
  <c r="H201"/>
  <c r="E201"/>
  <c r="D201"/>
  <c r="C201"/>
  <c r="B201"/>
  <c r="K200"/>
  <c r="J200"/>
  <c r="I200"/>
  <c r="H200"/>
  <c r="E200"/>
  <c r="D200"/>
  <c r="C200"/>
  <c r="B200"/>
  <c r="K199"/>
  <c r="J199"/>
  <c r="I199"/>
  <c r="H199"/>
  <c r="E199"/>
  <c r="D199"/>
  <c r="C199"/>
  <c r="B199"/>
  <c r="K198"/>
  <c r="J198"/>
  <c r="I198"/>
  <c r="H198"/>
  <c r="E198"/>
  <c r="D198"/>
  <c r="C198"/>
  <c r="B198"/>
  <c r="K197"/>
  <c r="J197"/>
  <c r="I197"/>
  <c r="H197"/>
  <c r="E197"/>
  <c r="D197"/>
  <c r="C197"/>
  <c r="B197"/>
  <c r="K196"/>
  <c r="J196"/>
  <c r="I196"/>
  <c r="H196"/>
  <c r="E196"/>
  <c r="D196"/>
  <c r="C196"/>
  <c r="B196"/>
  <c r="K195"/>
  <c r="J195"/>
  <c r="I195"/>
  <c r="H195"/>
  <c r="E195"/>
  <c r="D195"/>
  <c r="C195"/>
  <c r="B195"/>
  <c r="K194"/>
  <c r="J194"/>
  <c r="I194"/>
  <c r="H194"/>
  <c r="E194"/>
  <c r="D194"/>
  <c r="C194"/>
  <c r="B194"/>
  <c r="K193"/>
  <c r="J193"/>
  <c r="I193"/>
  <c r="H193"/>
  <c r="E193"/>
  <c r="D193"/>
  <c r="C193"/>
  <c r="B193"/>
  <c r="K192"/>
  <c r="J192"/>
  <c r="I192"/>
  <c r="H192"/>
  <c r="E192"/>
  <c r="D192"/>
  <c r="C192"/>
  <c r="B192"/>
  <c r="K191"/>
  <c r="J191"/>
  <c r="I191"/>
  <c r="H191"/>
  <c r="E191"/>
  <c r="D191"/>
  <c r="C191"/>
  <c r="B191"/>
  <c r="K190"/>
  <c r="J190"/>
  <c r="I190"/>
  <c r="H190"/>
  <c r="E190"/>
  <c r="D190"/>
  <c r="C190"/>
  <c r="B190"/>
  <c r="K189"/>
  <c r="J189"/>
  <c r="I189"/>
  <c r="H189"/>
  <c r="E189"/>
  <c r="D189"/>
  <c r="C189"/>
  <c r="B189"/>
  <c r="K188"/>
  <c r="J188"/>
  <c r="I188"/>
  <c r="H188"/>
  <c r="E188"/>
  <c r="D188"/>
  <c r="C188"/>
  <c r="B188"/>
  <c r="K187"/>
  <c r="J187"/>
  <c r="I187"/>
  <c r="H187"/>
  <c r="E187"/>
  <c r="D187"/>
  <c r="C187"/>
  <c r="B187"/>
  <c r="K186"/>
  <c r="J186"/>
  <c r="I186"/>
  <c r="H186"/>
  <c r="E186"/>
  <c r="D186"/>
  <c r="C186"/>
  <c r="B186"/>
  <c r="K185"/>
  <c r="J185"/>
  <c r="I185"/>
  <c r="H185"/>
  <c r="E185"/>
  <c r="D185"/>
  <c r="C185"/>
  <c r="B185"/>
  <c r="K184"/>
  <c r="J184"/>
  <c r="I184"/>
  <c r="H184"/>
  <c r="E184"/>
  <c r="D184"/>
  <c r="C184"/>
  <c r="B184"/>
  <c r="K183"/>
  <c r="J183"/>
  <c r="I183"/>
  <c r="H183"/>
  <c r="E183"/>
  <c r="D183"/>
  <c r="C183"/>
  <c r="B183"/>
  <c r="K182"/>
  <c r="J182"/>
  <c r="I182"/>
  <c r="H182"/>
  <c r="E182"/>
  <c r="D182"/>
  <c r="C182"/>
  <c r="B182"/>
  <c r="K181"/>
  <c r="J181"/>
  <c r="I181"/>
  <c r="H181"/>
  <c r="E181"/>
  <c r="D181"/>
  <c r="C181"/>
  <c r="B181"/>
  <c r="K180"/>
  <c r="J180"/>
  <c r="I180"/>
  <c r="H180"/>
  <c r="E180"/>
  <c r="D180"/>
  <c r="C180"/>
  <c r="B180"/>
  <c r="K179"/>
  <c r="J179"/>
  <c r="I179"/>
  <c r="H179"/>
  <c r="E179"/>
  <c r="D179"/>
  <c r="C179"/>
  <c r="B179"/>
  <c r="K178"/>
  <c r="J178"/>
  <c r="I178"/>
  <c r="H178"/>
  <c r="E178"/>
  <c r="D178"/>
  <c r="C178"/>
  <c r="B178"/>
  <c r="K177"/>
  <c r="J177"/>
  <c r="I177"/>
  <c r="H177"/>
  <c r="E177"/>
  <c r="D177"/>
  <c r="C177"/>
  <c r="B177"/>
  <c r="K176"/>
  <c r="J176"/>
  <c r="I176"/>
  <c r="H176"/>
  <c r="E176"/>
  <c r="D176"/>
  <c r="C176"/>
  <c r="B176"/>
  <c r="K175"/>
  <c r="J175"/>
  <c r="I175"/>
  <c r="H175"/>
  <c r="E175"/>
  <c r="D175"/>
  <c r="C175"/>
  <c r="B175"/>
  <c r="K174"/>
  <c r="J174"/>
  <c r="I174"/>
  <c r="H174"/>
  <c r="E174"/>
  <c r="D174"/>
  <c r="C174"/>
  <c r="B174"/>
  <c r="K173"/>
  <c r="J173"/>
  <c r="I173"/>
  <c r="H173"/>
  <c r="E173"/>
  <c r="D173"/>
  <c r="C173"/>
  <c r="B173"/>
  <c r="K172"/>
  <c r="J172"/>
  <c r="I172"/>
  <c r="H172"/>
  <c r="E172"/>
  <c r="D172"/>
  <c r="C172"/>
  <c r="B172"/>
  <c r="K171"/>
  <c r="J171"/>
  <c r="I171"/>
  <c r="H171"/>
  <c r="E171"/>
  <c r="D171"/>
  <c r="C171"/>
  <c r="B171"/>
  <c r="K170"/>
  <c r="J170"/>
  <c r="I170"/>
  <c r="H170"/>
  <c r="E170"/>
  <c r="D170"/>
  <c r="C170"/>
  <c r="B170"/>
  <c r="K169"/>
  <c r="J169"/>
  <c r="I169"/>
  <c r="H169"/>
  <c r="E169"/>
  <c r="D169"/>
  <c r="C169"/>
  <c r="B169"/>
  <c r="K168"/>
  <c r="J168"/>
  <c r="I168"/>
  <c r="H168"/>
  <c r="E168"/>
  <c r="D168"/>
  <c r="C168"/>
  <c r="B168"/>
  <c r="K167"/>
  <c r="J167"/>
  <c r="I167"/>
  <c r="H167"/>
  <c r="E167"/>
  <c r="D167"/>
  <c r="C167"/>
  <c r="B167"/>
  <c r="K166"/>
  <c r="J166"/>
  <c r="I166"/>
  <c r="H166"/>
  <c r="E166"/>
  <c r="D166"/>
  <c r="C166"/>
  <c r="B166"/>
  <c r="K165"/>
  <c r="J165"/>
  <c r="I165"/>
  <c r="H165"/>
  <c r="E165"/>
  <c r="D165"/>
  <c r="C165"/>
  <c r="B165"/>
  <c r="K164"/>
  <c r="J164"/>
  <c r="I164"/>
  <c r="H164"/>
  <c r="E164"/>
  <c r="D164"/>
  <c r="C164"/>
  <c r="B164"/>
  <c r="K163"/>
  <c r="J163"/>
  <c r="I163"/>
  <c r="H163"/>
  <c r="E163"/>
  <c r="D163"/>
  <c r="C163"/>
  <c r="B163"/>
  <c r="K162"/>
  <c r="J162"/>
  <c r="I162"/>
  <c r="H162"/>
  <c r="E162"/>
  <c r="D162"/>
  <c r="C162"/>
  <c r="B162"/>
  <c r="K161"/>
  <c r="J161"/>
  <c r="I161"/>
  <c r="H161"/>
  <c r="E161"/>
  <c r="D161"/>
  <c r="C161"/>
  <c r="B161"/>
  <c r="K160"/>
  <c r="J160"/>
  <c r="I160"/>
  <c r="H160"/>
  <c r="E160"/>
  <c r="D160"/>
  <c r="C160"/>
  <c r="B160"/>
  <c r="K159"/>
  <c r="J159"/>
  <c r="I159"/>
  <c r="H159"/>
  <c r="E159"/>
  <c r="D159"/>
  <c r="C159"/>
  <c r="B159"/>
  <c r="K158"/>
  <c r="J158"/>
  <c r="I158"/>
  <c r="H158"/>
  <c r="E158"/>
  <c r="D158"/>
  <c r="C158"/>
  <c r="B158"/>
  <c r="K157"/>
  <c r="J157"/>
  <c r="I157"/>
  <c r="H157"/>
  <c r="E157"/>
  <c r="D157"/>
  <c r="C157"/>
  <c r="B157"/>
  <c r="K156"/>
  <c r="J156"/>
  <c r="I156"/>
  <c r="H156"/>
  <c r="E156"/>
  <c r="D156"/>
  <c r="C156"/>
  <c r="B156"/>
  <c r="K155"/>
  <c r="J155"/>
  <c r="I155"/>
  <c r="H155"/>
  <c r="E155"/>
  <c r="D155"/>
  <c r="C155"/>
  <c r="B155"/>
  <c r="K154"/>
  <c r="J154"/>
  <c r="I154"/>
  <c r="H154"/>
  <c r="E154"/>
  <c r="D154"/>
  <c r="C154"/>
  <c r="B154"/>
  <c r="K153"/>
  <c r="J153"/>
  <c r="I153"/>
  <c r="H153"/>
  <c r="E153"/>
  <c r="D153"/>
  <c r="C153"/>
  <c r="B153"/>
  <c r="K152"/>
  <c r="J152"/>
  <c r="I152"/>
  <c r="H152"/>
  <c r="E152"/>
  <c r="D152"/>
  <c r="C152"/>
  <c r="B152"/>
  <c r="K151"/>
  <c r="J151"/>
  <c r="I151"/>
  <c r="H151"/>
  <c r="E151"/>
  <c r="D151"/>
  <c r="C151"/>
  <c r="B151"/>
  <c r="K150"/>
  <c r="J150"/>
  <c r="I150"/>
  <c r="H150"/>
  <c r="E150"/>
  <c r="D150"/>
  <c r="C150"/>
  <c r="B150"/>
  <c r="K149"/>
  <c r="J149"/>
  <c r="I149"/>
  <c r="H149"/>
  <c r="E149"/>
  <c r="D149"/>
  <c r="C149"/>
  <c r="B149"/>
  <c r="K148"/>
  <c r="J148"/>
  <c r="I148"/>
  <c r="H148"/>
  <c r="E148"/>
  <c r="D148"/>
  <c r="C148"/>
  <c r="B148"/>
  <c r="K147"/>
  <c r="J147"/>
  <c r="I147"/>
  <c r="H147"/>
  <c r="E147"/>
  <c r="D147"/>
  <c r="C147"/>
  <c r="B147"/>
  <c r="K146"/>
  <c r="J146"/>
  <c r="I146"/>
  <c r="H146"/>
  <c r="E146"/>
  <c r="D146"/>
  <c r="C146"/>
  <c r="B146"/>
  <c r="K145"/>
  <c r="J145"/>
  <c r="I145"/>
  <c r="H145"/>
  <c r="E145"/>
  <c r="D145"/>
  <c r="C145"/>
  <c r="B145"/>
  <c r="K144"/>
  <c r="J144"/>
  <c r="I144"/>
  <c r="H144"/>
  <c r="E144"/>
  <c r="D144"/>
  <c r="C144"/>
  <c r="B144"/>
  <c r="K143"/>
  <c r="J143"/>
  <c r="I143"/>
  <c r="H143"/>
  <c r="E143"/>
  <c r="D143"/>
  <c r="C143"/>
  <c r="B143"/>
  <c r="K142"/>
  <c r="J142"/>
  <c r="I142"/>
  <c r="H142"/>
  <c r="E142"/>
  <c r="D142"/>
  <c r="C142"/>
  <c r="B142"/>
  <c r="K141"/>
  <c r="J141"/>
  <c r="I141"/>
  <c r="H141"/>
  <c r="E141"/>
  <c r="D141"/>
  <c r="C141"/>
  <c r="B141"/>
  <c r="K140"/>
  <c r="J140"/>
  <c r="I140"/>
  <c r="H140"/>
  <c r="E140"/>
  <c r="D140"/>
  <c r="C140"/>
  <c r="B140"/>
  <c r="K139"/>
  <c r="J139"/>
  <c r="I139"/>
  <c r="H139"/>
  <c r="E139"/>
  <c r="D139"/>
  <c r="C139"/>
  <c r="B139"/>
  <c r="K138"/>
  <c r="J138"/>
  <c r="I138"/>
  <c r="H138"/>
  <c r="E138"/>
  <c r="D138"/>
  <c r="C138"/>
  <c r="B138"/>
  <c r="K137"/>
  <c r="J137"/>
  <c r="I137"/>
  <c r="H137"/>
  <c r="E137"/>
  <c r="D137"/>
  <c r="C137"/>
  <c r="B137"/>
  <c r="K136"/>
  <c r="J136"/>
  <c r="I136"/>
  <c r="H136"/>
  <c r="E136"/>
  <c r="D136"/>
  <c r="C136"/>
  <c r="B136"/>
  <c r="K135"/>
  <c r="J135"/>
  <c r="I135"/>
  <c r="H135"/>
  <c r="E135"/>
  <c r="D135"/>
  <c r="C135"/>
  <c r="B135"/>
  <c r="K134"/>
  <c r="J134"/>
  <c r="I134"/>
  <c r="H134"/>
  <c r="E134"/>
  <c r="D134"/>
  <c r="C134"/>
  <c r="B134"/>
  <c r="K133"/>
  <c r="J133"/>
  <c r="I133"/>
  <c r="H133"/>
  <c r="E133"/>
  <c r="D133"/>
  <c r="C133"/>
  <c r="B133"/>
  <c r="K132"/>
  <c r="J132"/>
  <c r="I132"/>
  <c r="H132"/>
  <c r="E132"/>
  <c r="D132"/>
  <c r="C132"/>
  <c r="B132"/>
  <c r="K131"/>
  <c r="J131"/>
  <c r="I131"/>
  <c r="H131"/>
  <c r="E131"/>
  <c r="D131"/>
  <c r="C131"/>
  <c r="B131"/>
  <c r="K130"/>
  <c r="J130"/>
  <c r="I130"/>
  <c r="H130"/>
  <c r="E130"/>
  <c r="D130"/>
  <c r="C130"/>
  <c r="B130"/>
  <c r="K129"/>
  <c r="J129"/>
  <c r="I129"/>
  <c r="H129"/>
  <c r="E129"/>
  <c r="D129"/>
  <c r="C129"/>
  <c r="B129"/>
  <c r="K128"/>
  <c r="J128"/>
  <c r="I128"/>
  <c r="H128"/>
  <c r="E128"/>
  <c r="D128"/>
  <c r="C128"/>
  <c r="B128"/>
  <c r="K127"/>
  <c r="J127"/>
  <c r="I127"/>
  <c r="H127"/>
  <c r="E127"/>
  <c r="D127"/>
  <c r="C127"/>
  <c r="B127"/>
  <c r="K126"/>
  <c r="J126"/>
  <c r="I126"/>
  <c r="H126"/>
  <c r="E126"/>
  <c r="D126"/>
  <c r="C126"/>
  <c r="B126"/>
  <c r="K125"/>
  <c r="J125"/>
  <c r="I125"/>
  <c r="H125"/>
  <c r="E125"/>
  <c r="D125"/>
  <c r="C125"/>
  <c r="B125"/>
  <c r="K124"/>
  <c r="J124"/>
  <c r="I124"/>
  <c r="H124"/>
  <c r="E124"/>
  <c r="D124"/>
  <c r="C124"/>
  <c r="B124"/>
  <c r="K123"/>
  <c r="J123"/>
  <c r="I123"/>
  <c r="H123"/>
  <c r="E123"/>
  <c r="D123"/>
  <c r="C123"/>
  <c r="B123"/>
  <c r="K122"/>
  <c r="J122"/>
  <c r="I122"/>
  <c r="H122"/>
  <c r="E122"/>
  <c r="D122"/>
  <c r="C122"/>
  <c r="B122"/>
  <c r="K121"/>
  <c r="J121"/>
  <c r="I121"/>
  <c r="H121"/>
  <c r="E121"/>
  <c r="D121"/>
  <c r="C121"/>
  <c r="B121"/>
  <c r="K120"/>
  <c r="J120"/>
  <c r="I120"/>
  <c r="H120"/>
  <c r="E120"/>
  <c r="D120"/>
  <c r="C120"/>
  <c r="B120"/>
  <c r="K119"/>
  <c r="J119"/>
  <c r="I119"/>
  <c r="H119"/>
  <c r="E119"/>
  <c r="D119"/>
  <c r="C119"/>
  <c r="B119"/>
  <c r="K118"/>
  <c r="J118"/>
  <c r="I118"/>
  <c r="H118"/>
  <c r="E118"/>
  <c r="D118"/>
  <c r="C118"/>
  <c r="B118"/>
  <c r="K117"/>
  <c r="J117"/>
  <c r="I117"/>
  <c r="H117"/>
  <c r="E117"/>
  <c r="D117"/>
  <c r="C117"/>
  <c r="B117"/>
  <c r="K116"/>
  <c r="J116"/>
  <c r="I116"/>
  <c r="H116"/>
  <c r="E116"/>
  <c r="D116"/>
  <c r="C116"/>
  <c r="B116"/>
  <c r="K115"/>
  <c r="J115"/>
  <c r="I115"/>
  <c r="H115"/>
  <c r="E115"/>
  <c r="D115"/>
  <c r="C115"/>
  <c r="B115"/>
  <c r="K114"/>
  <c r="J114"/>
  <c r="I114"/>
  <c r="H114"/>
  <c r="E114"/>
  <c r="D114"/>
  <c r="C114"/>
  <c r="B114"/>
  <c r="K113"/>
  <c r="J113"/>
  <c r="I113"/>
  <c r="H113"/>
  <c r="E113"/>
  <c r="D113"/>
  <c r="C113"/>
  <c r="B113"/>
  <c r="K112"/>
  <c r="J112"/>
  <c r="I112"/>
  <c r="H112"/>
  <c r="E112"/>
  <c r="D112"/>
  <c r="C112"/>
  <c r="B112"/>
  <c r="K111"/>
  <c r="J111"/>
  <c r="I111"/>
  <c r="H111"/>
  <c r="E111"/>
  <c r="D111"/>
  <c r="C111"/>
  <c r="B111"/>
  <c r="K110"/>
  <c r="J110"/>
  <c r="I110"/>
  <c r="H110"/>
  <c r="E110"/>
  <c r="D110"/>
  <c r="C110"/>
  <c r="B110"/>
  <c r="K109"/>
  <c r="J109"/>
  <c r="I109"/>
  <c r="H109"/>
  <c r="E109"/>
  <c r="D109"/>
  <c r="C109"/>
  <c r="B109"/>
  <c r="K108"/>
  <c r="J108"/>
  <c r="I108"/>
  <c r="H108"/>
  <c r="E108"/>
  <c r="D108"/>
  <c r="C108"/>
  <c r="B108"/>
  <c r="K107"/>
  <c r="J107"/>
  <c r="I107"/>
  <c r="H107"/>
  <c r="E107"/>
  <c r="D107"/>
  <c r="C107"/>
  <c r="B107"/>
  <c r="K106"/>
  <c r="J106"/>
  <c r="I106"/>
  <c r="H106"/>
  <c r="E106"/>
  <c r="D106"/>
  <c r="C106"/>
  <c r="B106"/>
  <c r="K105"/>
  <c r="J105"/>
  <c r="I105"/>
  <c r="H105"/>
  <c r="E105"/>
  <c r="D105"/>
  <c r="C105"/>
  <c r="B105"/>
  <c r="K104"/>
  <c r="J104"/>
  <c r="I104"/>
  <c r="H104"/>
  <c r="E104"/>
  <c r="D104"/>
  <c r="C104"/>
  <c r="B104"/>
  <c r="K103"/>
  <c r="J103"/>
  <c r="I103"/>
  <c r="H103"/>
  <c r="E103"/>
  <c r="D103"/>
  <c r="C103"/>
  <c r="B103"/>
  <c r="K102"/>
  <c r="J102"/>
  <c r="I102"/>
  <c r="H102"/>
  <c r="E102"/>
  <c r="D102"/>
  <c r="C102"/>
  <c r="B102"/>
  <c r="K101"/>
  <c r="J101"/>
  <c r="I101"/>
  <c r="H101"/>
  <c r="E101"/>
  <c r="D101"/>
  <c r="C101"/>
  <c r="B101"/>
  <c r="K100"/>
  <c r="J100"/>
  <c r="I100"/>
  <c r="H100"/>
  <c r="E100"/>
  <c r="D100"/>
  <c r="C100"/>
  <c r="B100"/>
  <c r="K99"/>
  <c r="J99"/>
  <c r="I99"/>
  <c r="H99"/>
  <c r="E99"/>
  <c r="D99"/>
  <c r="C99"/>
  <c r="B99"/>
  <c r="K98"/>
  <c r="J98"/>
  <c r="I98"/>
  <c r="H98"/>
  <c r="E98"/>
  <c r="D98"/>
  <c r="C98"/>
  <c r="B98"/>
  <c r="K97"/>
  <c r="J97"/>
  <c r="I97"/>
  <c r="H97"/>
  <c r="E97"/>
  <c r="D97"/>
  <c r="C97"/>
  <c r="B97"/>
  <c r="K96"/>
  <c r="J96"/>
  <c r="I96"/>
  <c r="H96"/>
  <c r="E96"/>
  <c r="D96"/>
  <c r="C96"/>
  <c r="B96"/>
  <c r="K95"/>
  <c r="J95"/>
  <c r="I95"/>
  <c r="H95"/>
  <c r="E95"/>
  <c r="D95"/>
  <c r="C95"/>
  <c r="B95"/>
  <c r="K94"/>
  <c r="J94"/>
  <c r="I94"/>
  <c r="H94"/>
  <c r="E94"/>
  <c r="D94"/>
  <c r="C94"/>
  <c r="B94"/>
  <c r="K93"/>
  <c r="J93"/>
  <c r="I93"/>
  <c r="H93"/>
  <c r="E93"/>
  <c r="D93"/>
  <c r="C93"/>
  <c r="B93"/>
  <c r="K92"/>
  <c r="J92"/>
  <c r="I92"/>
  <c r="H92"/>
  <c r="E92"/>
  <c r="D92"/>
  <c r="C92"/>
  <c r="B92"/>
  <c r="K91"/>
  <c r="J91"/>
  <c r="I91"/>
  <c r="H91"/>
  <c r="E91"/>
  <c r="D91"/>
  <c r="C91"/>
  <c r="B91"/>
  <c r="K90"/>
  <c r="J90"/>
  <c r="I90"/>
  <c r="H90"/>
  <c r="E90"/>
  <c r="D90"/>
  <c r="C90"/>
  <c r="B90"/>
  <c r="K89"/>
  <c r="J89"/>
  <c r="I89"/>
  <c r="H89"/>
  <c r="E89"/>
  <c r="D89"/>
  <c r="C89"/>
  <c r="B89"/>
  <c r="K88"/>
  <c r="J88"/>
  <c r="I88"/>
  <c r="H88"/>
  <c r="E88"/>
  <c r="D88"/>
  <c r="C88"/>
  <c r="B88"/>
  <c r="K87"/>
  <c r="J87"/>
  <c r="I87"/>
  <c r="H87"/>
  <c r="E87"/>
  <c r="D87"/>
  <c r="C87"/>
  <c r="B87"/>
  <c r="K86"/>
  <c r="J86"/>
  <c r="I86"/>
  <c r="H86"/>
  <c r="E86"/>
  <c r="D86"/>
  <c r="C86"/>
  <c r="B86"/>
  <c r="K85"/>
  <c r="J85"/>
  <c r="I85"/>
  <c r="H85"/>
  <c r="E85"/>
  <c r="D85"/>
  <c r="C85"/>
  <c r="B85"/>
  <c r="K84"/>
  <c r="J84"/>
  <c r="I84"/>
  <c r="H84"/>
  <c r="E84"/>
  <c r="D84"/>
  <c r="C84"/>
  <c r="B84"/>
  <c r="K83"/>
  <c r="J83"/>
  <c r="I83"/>
  <c r="H83"/>
  <c r="E83"/>
  <c r="D83"/>
  <c r="C83"/>
  <c r="B83"/>
  <c r="K82"/>
  <c r="J82"/>
  <c r="I82"/>
  <c r="H82"/>
  <c r="E82"/>
  <c r="D82"/>
  <c r="C82"/>
  <c r="B82"/>
  <c r="K81"/>
  <c r="J81"/>
  <c r="I81"/>
  <c r="H81"/>
  <c r="E81"/>
  <c r="D81"/>
  <c r="C81"/>
  <c r="B81"/>
  <c r="K80"/>
  <c r="J80"/>
  <c r="I80"/>
  <c r="H80"/>
  <c r="E80"/>
  <c r="D80"/>
  <c r="C80"/>
  <c r="B80"/>
  <c r="K79"/>
  <c r="J79"/>
  <c r="I79"/>
  <c r="H79"/>
  <c r="E79"/>
  <c r="D79"/>
  <c r="C79"/>
  <c r="B79"/>
  <c r="K78"/>
  <c r="J78"/>
  <c r="I78"/>
  <c r="H78"/>
  <c r="E78"/>
  <c r="D78"/>
  <c r="C78"/>
  <c r="B78"/>
  <c r="K77"/>
  <c r="J77"/>
  <c r="I77"/>
  <c r="H77"/>
  <c r="E77"/>
  <c r="D77"/>
  <c r="C77"/>
  <c r="B77"/>
  <c r="K76"/>
  <c r="J76"/>
  <c r="I76"/>
  <c r="H76"/>
  <c r="E76"/>
  <c r="D76"/>
  <c r="C76"/>
  <c r="B76"/>
  <c r="K75"/>
  <c r="J75"/>
  <c r="I75"/>
  <c r="H75"/>
  <c r="E75"/>
  <c r="D75"/>
  <c r="C75"/>
  <c r="B75"/>
  <c r="K74"/>
  <c r="J74"/>
  <c r="I74"/>
  <c r="H74"/>
  <c r="E74"/>
  <c r="D74"/>
  <c r="C74"/>
  <c r="B74"/>
  <c r="K73"/>
  <c r="J73"/>
  <c r="I73"/>
  <c r="H73"/>
  <c r="E73"/>
  <c r="D73"/>
  <c r="C73"/>
  <c r="B73"/>
  <c r="K72"/>
  <c r="J72"/>
  <c r="I72"/>
  <c r="H72"/>
  <c r="E72"/>
  <c r="D72"/>
  <c r="C72"/>
  <c r="B72"/>
  <c r="K71"/>
  <c r="J71"/>
  <c r="I71"/>
  <c r="H71"/>
  <c r="E71"/>
  <c r="D71"/>
  <c r="C71"/>
  <c r="B71"/>
  <c r="K70"/>
  <c r="J70"/>
  <c r="I70"/>
  <c r="H70"/>
  <c r="E70"/>
  <c r="D70"/>
  <c r="C70"/>
  <c r="B70"/>
  <c r="K69"/>
  <c r="J69"/>
  <c r="I69"/>
  <c r="H69"/>
  <c r="E69"/>
  <c r="D69"/>
  <c r="C69"/>
  <c r="B69"/>
  <c r="K68"/>
  <c r="J68"/>
  <c r="I68"/>
  <c r="H68"/>
  <c r="E68"/>
  <c r="D68"/>
  <c r="C68"/>
  <c r="B68"/>
  <c r="K67"/>
  <c r="J67"/>
  <c r="I67"/>
  <c r="H67"/>
  <c r="E67"/>
  <c r="D67"/>
  <c r="C67"/>
  <c r="B67"/>
  <c r="K66"/>
  <c r="J66"/>
  <c r="I66"/>
  <c r="H66"/>
  <c r="E66"/>
  <c r="D66"/>
  <c r="C66"/>
  <c r="B66"/>
  <c r="K65"/>
  <c r="J65"/>
  <c r="I65"/>
  <c r="H65"/>
  <c r="E65"/>
  <c r="D65"/>
  <c r="C65"/>
  <c r="B65"/>
  <c r="K64"/>
  <c r="J64"/>
  <c r="I64"/>
  <c r="H64"/>
  <c r="E64"/>
  <c r="D64"/>
  <c r="C64"/>
  <c r="B64"/>
  <c r="K63"/>
  <c r="E63"/>
  <c r="G58"/>
  <c r="A58"/>
  <c r="D56"/>
  <c r="C56"/>
  <c r="B56"/>
  <c r="D55"/>
  <c r="C55"/>
  <c r="B55"/>
  <c r="D54"/>
  <c r="C54"/>
  <c r="B54"/>
  <c r="D53"/>
  <c r="C53"/>
  <c r="B53"/>
  <c r="D52"/>
  <c r="C52"/>
  <c r="B52"/>
  <c r="D51"/>
  <c r="C51"/>
  <c r="B51"/>
  <c r="D50"/>
  <c r="C50"/>
  <c r="B50"/>
  <c r="D49"/>
  <c r="C49"/>
  <c r="B49"/>
  <c r="D48"/>
  <c r="C48"/>
  <c r="B48"/>
  <c r="D47"/>
  <c r="C47"/>
  <c r="B47"/>
  <c r="D46"/>
  <c r="C46"/>
  <c r="B46"/>
  <c r="D45"/>
  <c r="C45"/>
  <c r="B45"/>
  <c r="D44"/>
  <c r="C44"/>
  <c r="B44"/>
  <c r="D43"/>
  <c r="C43"/>
  <c r="B43"/>
  <c r="D42"/>
  <c r="C42"/>
  <c r="B42"/>
  <c r="D41"/>
  <c r="C41"/>
  <c r="B41"/>
  <c r="D40"/>
  <c r="C40"/>
  <c r="B40"/>
  <c r="D39"/>
  <c r="C39"/>
  <c r="B39"/>
  <c r="D38"/>
  <c r="C38"/>
  <c r="B38"/>
  <c r="D37"/>
  <c r="C37"/>
  <c r="B37"/>
  <c r="D36"/>
  <c r="C36"/>
  <c r="B36"/>
  <c r="D35"/>
  <c r="C35"/>
  <c r="B35"/>
  <c r="D34"/>
  <c r="C34"/>
  <c r="B34"/>
  <c r="D33"/>
  <c r="C33"/>
  <c r="B33"/>
  <c r="D32"/>
  <c r="C32"/>
  <c r="B32"/>
  <c r="D31"/>
  <c r="C31"/>
  <c r="B31"/>
  <c r="D30"/>
  <c r="C30"/>
  <c r="B30"/>
  <c r="D29"/>
  <c r="C29"/>
  <c r="B29"/>
  <c r="D28"/>
  <c r="C28"/>
  <c r="B28"/>
  <c r="D27"/>
  <c r="C27"/>
  <c r="B27"/>
  <c r="D26"/>
  <c r="C26"/>
  <c r="B26"/>
  <c r="D25"/>
  <c r="C25"/>
  <c r="B25"/>
  <c r="D24"/>
  <c r="C24"/>
  <c r="B24"/>
  <c r="D23"/>
  <c r="C23"/>
  <c r="B23"/>
  <c r="D22"/>
  <c r="C22"/>
  <c r="B22"/>
  <c r="D21"/>
  <c r="C21"/>
  <c r="B21"/>
  <c r="D20"/>
  <c r="C20"/>
  <c r="B20"/>
  <c r="D19"/>
  <c r="C19"/>
  <c r="B19"/>
  <c r="D18"/>
  <c r="C18"/>
  <c r="B18"/>
  <c r="D17"/>
  <c r="C17"/>
  <c r="B17"/>
  <c r="E5"/>
  <c r="E11"/>
  <c r="E12"/>
  <c r="D5"/>
  <c r="D11"/>
  <c r="D12"/>
  <c r="C11"/>
  <c r="C12"/>
  <c r="A1"/>
  <c r="E535" i="25"/>
  <c r="D535"/>
  <c r="C535"/>
  <c r="B535"/>
  <c r="E534"/>
  <c r="D534"/>
  <c r="C534"/>
  <c r="B534"/>
  <c r="E533"/>
  <c r="D533"/>
  <c r="C533"/>
  <c r="B533"/>
  <c r="E532"/>
  <c r="D532"/>
  <c r="C532"/>
  <c r="B532"/>
  <c r="E531"/>
  <c r="D531"/>
  <c r="C531"/>
  <c r="B531"/>
  <c r="E530"/>
  <c r="D530"/>
  <c r="C530"/>
  <c r="B530"/>
  <c r="E529"/>
  <c r="D529"/>
  <c r="C529"/>
  <c r="B529"/>
  <c r="E528"/>
  <c r="D528"/>
  <c r="C528"/>
  <c r="B528"/>
  <c r="E527"/>
  <c r="D527"/>
  <c r="C527"/>
  <c r="B527"/>
  <c r="E526"/>
  <c r="D526"/>
  <c r="C526"/>
  <c r="B526"/>
  <c r="E525"/>
  <c r="D525"/>
  <c r="C525"/>
  <c r="B525"/>
  <c r="E524"/>
  <c r="D524"/>
  <c r="C524"/>
  <c r="B524"/>
  <c r="E523"/>
  <c r="D523"/>
  <c r="C523"/>
  <c r="B523"/>
  <c r="E522"/>
  <c r="D522"/>
  <c r="C522"/>
  <c r="B522"/>
  <c r="E521"/>
  <c r="D521"/>
  <c r="C521"/>
  <c r="B521"/>
  <c r="E520"/>
  <c r="D520"/>
  <c r="C520"/>
  <c r="B520"/>
  <c r="E519"/>
  <c r="D519"/>
  <c r="C519"/>
  <c r="B519"/>
  <c r="E518"/>
  <c r="D518"/>
  <c r="C518"/>
  <c r="B518"/>
  <c r="E517"/>
  <c r="D517"/>
  <c r="C517"/>
  <c r="B517"/>
  <c r="E516"/>
  <c r="D516"/>
  <c r="C516"/>
  <c r="B516"/>
  <c r="E515"/>
  <c r="D515"/>
  <c r="C515"/>
  <c r="B515"/>
  <c r="E514"/>
  <c r="D514"/>
  <c r="C514"/>
  <c r="B514"/>
  <c r="E513"/>
  <c r="D513"/>
  <c r="C513"/>
  <c r="B513"/>
  <c r="E512"/>
  <c r="D512"/>
  <c r="C512"/>
  <c r="B512"/>
  <c r="E511"/>
  <c r="D511"/>
  <c r="C511"/>
  <c r="B511"/>
  <c r="E510"/>
  <c r="D510"/>
  <c r="C510"/>
  <c r="B510"/>
  <c r="E509"/>
  <c r="D509"/>
  <c r="C509"/>
  <c r="B509"/>
  <c r="E508"/>
  <c r="D508"/>
  <c r="C508"/>
  <c r="B508"/>
  <c r="E507"/>
  <c r="D507"/>
  <c r="C507"/>
  <c r="B507"/>
  <c r="E506"/>
  <c r="D506"/>
  <c r="C506"/>
  <c r="B506"/>
  <c r="E505"/>
  <c r="D505"/>
  <c r="C505"/>
  <c r="B505"/>
  <c r="E504"/>
  <c r="D504"/>
  <c r="C504"/>
  <c r="B504"/>
  <c r="E503"/>
  <c r="D503"/>
  <c r="C503"/>
  <c r="B503"/>
  <c r="E502"/>
  <c r="D502"/>
  <c r="C502"/>
  <c r="B502"/>
  <c r="E501"/>
  <c r="D501"/>
  <c r="C501"/>
  <c r="B501"/>
  <c r="E500"/>
  <c r="D500"/>
  <c r="C500"/>
  <c r="B500"/>
  <c r="E499"/>
  <c r="D499"/>
  <c r="C499"/>
  <c r="B499"/>
  <c r="E498"/>
  <c r="D498"/>
  <c r="C498"/>
  <c r="B498"/>
  <c r="E497"/>
  <c r="D497"/>
  <c r="C497"/>
  <c r="B497"/>
  <c r="E496"/>
  <c r="D496"/>
  <c r="C496"/>
  <c r="B496"/>
  <c r="E495"/>
  <c r="D495"/>
  <c r="C495"/>
  <c r="B495"/>
  <c r="E494"/>
  <c r="D494"/>
  <c r="C494"/>
  <c r="B494"/>
  <c r="E493"/>
  <c r="D493"/>
  <c r="C493"/>
  <c r="B493"/>
  <c r="E492"/>
  <c r="D492"/>
  <c r="C492"/>
  <c r="B492"/>
  <c r="E491"/>
  <c r="D491"/>
  <c r="C491"/>
  <c r="B491"/>
  <c r="E490"/>
  <c r="D490"/>
  <c r="C490"/>
  <c r="B490"/>
  <c r="E489"/>
  <c r="D489"/>
  <c r="C489"/>
  <c r="B489"/>
  <c r="E488"/>
  <c r="D488"/>
  <c r="C488"/>
  <c r="B488"/>
  <c r="E487"/>
  <c r="D487"/>
  <c r="C487"/>
  <c r="B487"/>
  <c r="E486"/>
  <c r="D486"/>
  <c r="C486"/>
  <c r="B486"/>
  <c r="E485"/>
  <c r="D485"/>
  <c r="C485"/>
  <c r="B485"/>
  <c r="E484"/>
  <c r="D484"/>
  <c r="C484"/>
  <c r="B484"/>
  <c r="E483"/>
  <c r="D483"/>
  <c r="C483"/>
  <c r="B483"/>
  <c r="E482"/>
  <c r="D482"/>
  <c r="C482"/>
  <c r="B482"/>
  <c r="E481"/>
  <c r="D481"/>
  <c r="C481"/>
  <c r="B481"/>
  <c r="E480"/>
  <c r="D480"/>
  <c r="C480"/>
  <c r="B480"/>
  <c r="E479"/>
  <c r="D479"/>
  <c r="C479"/>
  <c r="B479"/>
  <c r="E478"/>
  <c r="D478"/>
  <c r="C478"/>
  <c r="B478"/>
  <c r="E477"/>
  <c r="D477"/>
  <c r="C477"/>
  <c r="B477"/>
  <c r="E476"/>
  <c r="D476"/>
  <c r="C476"/>
  <c r="B476"/>
  <c r="E475"/>
  <c r="D475"/>
  <c r="C475"/>
  <c r="B475"/>
  <c r="E474"/>
  <c r="D474"/>
  <c r="C474"/>
  <c r="B474"/>
  <c r="E473"/>
  <c r="D473"/>
  <c r="C473"/>
  <c r="B473"/>
  <c r="E472"/>
  <c r="D472"/>
  <c r="C472"/>
  <c r="B472"/>
  <c r="E471"/>
  <c r="D471"/>
  <c r="C471"/>
  <c r="B471"/>
  <c r="E470"/>
  <c r="D470"/>
  <c r="C470"/>
  <c r="B470"/>
  <c r="E469"/>
  <c r="D469"/>
  <c r="C469"/>
  <c r="B469"/>
  <c r="E468"/>
  <c r="D468"/>
  <c r="C468"/>
  <c r="B468"/>
  <c r="E467"/>
  <c r="D467"/>
  <c r="C467"/>
  <c r="B467"/>
  <c r="E466"/>
  <c r="D466"/>
  <c r="C466"/>
  <c r="B466"/>
  <c r="E465"/>
  <c r="D465"/>
  <c r="C465"/>
  <c r="B465"/>
  <c r="E464"/>
  <c r="D464"/>
  <c r="C464"/>
  <c r="B464"/>
  <c r="E463"/>
  <c r="D463"/>
  <c r="C463"/>
  <c r="B463"/>
  <c r="E462"/>
  <c r="D462"/>
  <c r="C462"/>
  <c r="B462"/>
  <c r="E461"/>
  <c r="D461"/>
  <c r="C461"/>
  <c r="B461"/>
  <c r="E460"/>
  <c r="D460"/>
  <c r="C460"/>
  <c r="B460"/>
  <c r="E459"/>
  <c r="D459"/>
  <c r="C459"/>
  <c r="B459"/>
  <c r="E458"/>
  <c r="D458"/>
  <c r="C458"/>
  <c r="B458"/>
  <c r="E457"/>
  <c r="D457"/>
  <c r="C457"/>
  <c r="B457"/>
  <c r="E456"/>
  <c r="D456"/>
  <c r="C456"/>
  <c r="B456"/>
  <c r="E455"/>
  <c r="D455"/>
  <c r="C455"/>
  <c r="B455"/>
  <c r="E454"/>
  <c r="D454"/>
  <c r="C454"/>
  <c r="B454"/>
  <c r="E453"/>
  <c r="D453"/>
  <c r="C453"/>
  <c r="B453"/>
  <c r="E452"/>
  <c r="D452"/>
  <c r="C452"/>
  <c r="B452"/>
  <c r="E451"/>
  <c r="D451"/>
  <c r="C451"/>
  <c r="B451"/>
  <c r="E450"/>
  <c r="D450"/>
  <c r="C450"/>
  <c r="B450"/>
  <c r="E449"/>
  <c r="D449"/>
  <c r="C449"/>
  <c r="B449"/>
  <c r="E448"/>
  <c r="D448"/>
  <c r="C448"/>
  <c r="B448"/>
  <c r="E447"/>
  <c r="D447"/>
  <c r="C447"/>
  <c r="B447"/>
  <c r="E446"/>
  <c r="D446"/>
  <c r="C446"/>
  <c r="B446"/>
  <c r="E445"/>
  <c r="D445"/>
  <c r="C445"/>
  <c r="B445"/>
  <c r="E444"/>
  <c r="D444"/>
  <c r="C444"/>
  <c r="B444"/>
  <c r="E443"/>
  <c r="D443"/>
  <c r="C443"/>
  <c r="B443"/>
  <c r="E442"/>
  <c r="D442"/>
  <c r="C442"/>
  <c r="B442"/>
  <c r="E441"/>
  <c r="D441"/>
  <c r="C441"/>
  <c r="B441"/>
  <c r="E440"/>
  <c r="D440"/>
  <c r="C440"/>
  <c r="B440"/>
  <c r="E439"/>
  <c r="D439"/>
  <c r="C439"/>
  <c r="B439"/>
  <c r="E438"/>
  <c r="D438"/>
  <c r="C438"/>
  <c r="B438"/>
  <c r="E437"/>
  <c r="D437"/>
  <c r="C437"/>
  <c r="B437"/>
  <c r="E436"/>
  <c r="D436"/>
  <c r="C436"/>
  <c r="B436"/>
  <c r="E435"/>
  <c r="D435"/>
  <c r="C435"/>
  <c r="B435"/>
  <c r="E434"/>
  <c r="D434"/>
  <c r="C434"/>
  <c r="B434"/>
  <c r="E433"/>
  <c r="D433"/>
  <c r="C433"/>
  <c r="B433"/>
  <c r="E432"/>
  <c r="D432"/>
  <c r="C432"/>
  <c r="B432"/>
  <c r="E431"/>
  <c r="D431"/>
  <c r="C431"/>
  <c r="B431"/>
  <c r="E430"/>
  <c r="D430"/>
  <c r="C430"/>
  <c r="B430"/>
  <c r="E429"/>
  <c r="D429"/>
  <c r="C429"/>
  <c r="B429"/>
  <c r="E428"/>
  <c r="D428"/>
  <c r="C428"/>
  <c r="B428"/>
  <c r="E427"/>
  <c r="D427"/>
  <c r="C427"/>
  <c r="B427"/>
  <c r="E426"/>
  <c r="D426"/>
  <c r="C426"/>
  <c r="B426"/>
  <c r="E425"/>
  <c r="D425"/>
  <c r="C425"/>
  <c r="B425"/>
  <c r="E424"/>
  <c r="D424"/>
  <c r="C424"/>
  <c r="B424"/>
  <c r="E423"/>
  <c r="D423"/>
  <c r="C423"/>
  <c r="B423"/>
  <c r="E422"/>
  <c r="D422"/>
  <c r="C422"/>
  <c r="B422"/>
  <c r="E421"/>
  <c r="D421"/>
  <c r="C421"/>
  <c r="B421"/>
  <c r="E420"/>
  <c r="D420"/>
  <c r="C420"/>
  <c r="B420"/>
  <c r="E419"/>
  <c r="D419"/>
  <c r="C419"/>
  <c r="B419"/>
  <c r="E418"/>
  <c r="D418"/>
  <c r="C418"/>
  <c r="B418"/>
  <c r="E417"/>
  <c r="D417"/>
  <c r="C417"/>
  <c r="B417"/>
  <c r="E416"/>
  <c r="D416"/>
  <c r="C416"/>
  <c r="B416"/>
  <c r="E415"/>
  <c r="D415"/>
  <c r="C415"/>
  <c r="B415"/>
  <c r="E414"/>
  <c r="D414"/>
  <c r="C414"/>
  <c r="B414"/>
  <c r="E413"/>
  <c r="D413"/>
  <c r="C413"/>
  <c r="B413"/>
  <c r="E412"/>
  <c r="D412"/>
  <c r="C412"/>
  <c r="B412"/>
  <c r="E411"/>
  <c r="D411"/>
  <c r="C411"/>
  <c r="B411"/>
  <c r="E410"/>
  <c r="D410"/>
  <c r="C410"/>
  <c r="B410"/>
  <c r="E409"/>
  <c r="D409"/>
  <c r="C409"/>
  <c r="B409"/>
  <c r="E408"/>
  <c r="D408"/>
  <c r="C408"/>
  <c r="B408"/>
  <c r="E407"/>
  <c r="D407"/>
  <c r="C407"/>
  <c r="B407"/>
  <c r="E406"/>
  <c r="D406"/>
  <c r="C406"/>
  <c r="B406"/>
  <c r="E405"/>
  <c r="D405"/>
  <c r="C405"/>
  <c r="B405"/>
  <c r="E404"/>
  <c r="D404"/>
  <c r="C404"/>
  <c r="B404"/>
  <c r="E403"/>
  <c r="D403"/>
  <c r="C403"/>
  <c r="B403"/>
  <c r="E402"/>
  <c r="D402"/>
  <c r="C402"/>
  <c r="B402"/>
  <c r="E401"/>
  <c r="D401"/>
  <c r="C401"/>
  <c r="B401"/>
  <c r="E400"/>
  <c r="D400"/>
  <c r="C400"/>
  <c r="B400"/>
  <c r="E399"/>
  <c r="D399"/>
  <c r="C399"/>
  <c r="B399"/>
  <c r="E398"/>
  <c r="D398"/>
  <c r="C398"/>
  <c r="B398"/>
  <c r="E397"/>
  <c r="D397"/>
  <c r="C397"/>
  <c r="B397"/>
  <c r="E396"/>
  <c r="D396"/>
  <c r="C396"/>
  <c r="B396"/>
  <c r="E395"/>
  <c r="D395"/>
  <c r="C395"/>
  <c r="B395"/>
  <c r="E394"/>
  <c r="D394"/>
  <c r="C394"/>
  <c r="B394"/>
  <c r="E393"/>
  <c r="D393"/>
  <c r="C393"/>
  <c r="B393"/>
  <c r="E392"/>
  <c r="D392"/>
  <c r="C392"/>
  <c r="B392"/>
  <c r="E391"/>
  <c r="D391"/>
  <c r="C391"/>
  <c r="B391"/>
  <c r="E390"/>
  <c r="D390"/>
  <c r="C390"/>
  <c r="B390"/>
  <c r="E389"/>
  <c r="D389"/>
  <c r="C389"/>
  <c r="B389"/>
  <c r="E388"/>
  <c r="D388"/>
  <c r="C388"/>
  <c r="B388"/>
  <c r="E387"/>
  <c r="D387"/>
  <c r="C387"/>
  <c r="B387"/>
  <c r="E386"/>
  <c r="D386"/>
  <c r="C386"/>
  <c r="B386"/>
  <c r="E385"/>
  <c r="D385"/>
  <c r="C385"/>
  <c r="B385"/>
  <c r="E384"/>
  <c r="D384"/>
  <c r="C384"/>
  <c r="B384"/>
  <c r="E383"/>
  <c r="D383"/>
  <c r="C383"/>
  <c r="B383"/>
  <c r="E382"/>
  <c r="D382"/>
  <c r="C382"/>
  <c r="B382"/>
  <c r="E381"/>
  <c r="D381"/>
  <c r="C381"/>
  <c r="B381"/>
  <c r="E380"/>
  <c r="D380"/>
  <c r="C380"/>
  <c r="B380"/>
  <c r="E379"/>
  <c r="D379"/>
  <c r="C379"/>
  <c r="B379"/>
  <c r="E378"/>
  <c r="D378"/>
  <c r="C378"/>
  <c r="B378"/>
  <c r="E377"/>
  <c r="D377"/>
  <c r="C377"/>
  <c r="B377"/>
  <c r="E376"/>
  <c r="D376"/>
  <c r="C376"/>
  <c r="B376"/>
  <c r="E375"/>
  <c r="D375"/>
  <c r="C375"/>
  <c r="B375"/>
  <c r="E374"/>
  <c r="D374"/>
  <c r="C374"/>
  <c r="B374"/>
  <c r="E373"/>
  <c r="D373"/>
  <c r="C373"/>
  <c r="B373"/>
  <c r="E372"/>
  <c r="D372"/>
  <c r="C372"/>
  <c r="B372"/>
  <c r="E371"/>
  <c r="D371"/>
  <c r="C371"/>
  <c r="B371"/>
  <c r="E370"/>
  <c r="D370"/>
  <c r="C370"/>
  <c r="B370"/>
  <c r="E369"/>
  <c r="D369"/>
  <c r="C369"/>
  <c r="B369"/>
  <c r="E368"/>
  <c r="D368"/>
  <c r="C368"/>
  <c r="B368"/>
  <c r="E367"/>
  <c r="D367"/>
  <c r="C367"/>
  <c r="B367"/>
  <c r="E366"/>
  <c r="D366"/>
  <c r="C366"/>
  <c r="B366"/>
  <c r="E365"/>
  <c r="D365"/>
  <c r="C365"/>
  <c r="B365"/>
  <c r="E364"/>
  <c r="D364"/>
  <c r="C364"/>
  <c r="B364"/>
  <c r="E363"/>
  <c r="D363"/>
  <c r="C363"/>
  <c r="B363"/>
  <c r="E362"/>
  <c r="D362"/>
  <c r="C362"/>
  <c r="B362"/>
  <c r="E361"/>
  <c r="D361"/>
  <c r="C361"/>
  <c r="B361"/>
  <c r="E360"/>
  <c r="D360"/>
  <c r="C360"/>
  <c r="B360"/>
  <c r="E359"/>
  <c r="D359"/>
  <c r="C359"/>
  <c r="B359"/>
  <c r="E358"/>
  <c r="D358"/>
  <c r="C358"/>
  <c r="B358"/>
  <c r="E357"/>
  <c r="D357"/>
  <c r="C357"/>
  <c r="B357"/>
  <c r="E356"/>
  <c r="D356"/>
  <c r="C356"/>
  <c r="B356"/>
  <c r="E355"/>
  <c r="D355"/>
  <c r="C355"/>
  <c r="B355"/>
  <c r="E354"/>
  <c r="D354"/>
  <c r="C354"/>
  <c r="B354"/>
  <c r="E353"/>
  <c r="D353"/>
  <c r="C353"/>
  <c r="B353"/>
  <c r="E352"/>
  <c r="D352"/>
  <c r="C352"/>
  <c r="B352"/>
  <c r="E351"/>
  <c r="D351"/>
  <c r="C351"/>
  <c r="B351"/>
  <c r="E350"/>
  <c r="D350"/>
  <c r="C350"/>
  <c r="B350"/>
  <c r="E349"/>
  <c r="D349"/>
  <c r="C349"/>
  <c r="B349"/>
  <c r="E348"/>
  <c r="D348"/>
  <c r="C348"/>
  <c r="B348"/>
  <c r="E347"/>
  <c r="D347"/>
  <c r="C347"/>
  <c r="B347"/>
  <c r="E346"/>
  <c r="D346"/>
  <c r="C346"/>
  <c r="B346"/>
  <c r="E345"/>
  <c r="D345"/>
  <c r="C345"/>
  <c r="B345"/>
  <c r="E344"/>
  <c r="D344"/>
  <c r="C344"/>
  <c r="B344"/>
  <c r="E343"/>
  <c r="D343"/>
  <c r="C343"/>
  <c r="B343"/>
  <c r="E342"/>
  <c r="D342"/>
  <c r="C342"/>
  <c r="B342"/>
  <c r="E341"/>
  <c r="D341"/>
  <c r="C341"/>
  <c r="B341"/>
  <c r="E340"/>
  <c r="D340"/>
  <c r="C340"/>
  <c r="B340"/>
  <c r="E339"/>
  <c r="D339"/>
  <c r="C339"/>
  <c r="B339"/>
  <c r="E338"/>
  <c r="D338"/>
  <c r="C338"/>
  <c r="B338"/>
  <c r="E337"/>
  <c r="D337"/>
  <c r="C337"/>
  <c r="B337"/>
  <c r="E336"/>
  <c r="D336"/>
  <c r="C336"/>
  <c r="B336"/>
  <c r="E335"/>
  <c r="D335"/>
  <c r="C335"/>
  <c r="B335"/>
  <c r="E334"/>
  <c r="D334"/>
  <c r="C334"/>
  <c r="B334"/>
  <c r="E333"/>
  <c r="D333"/>
  <c r="C333"/>
  <c r="B333"/>
  <c r="E332"/>
  <c r="D332"/>
  <c r="C332"/>
  <c r="B332"/>
  <c r="E331"/>
  <c r="D331"/>
  <c r="C331"/>
  <c r="B331"/>
  <c r="E330"/>
  <c r="D330"/>
  <c r="C330"/>
  <c r="B330"/>
  <c r="E329"/>
  <c r="D329"/>
  <c r="C329"/>
  <c r="B329"/>
  <c r="E328"/>
  <c r="D328"/>
  <c r="C328"/>
  <c r="B328"/>
  <c r="E327"/>
  <c r="D327"/>
  <c r="C327"/>
  <c r="B327"/>
  <c r="E326"/>
  <c r="D326"/>
  <c r="C326"/>
  <c r="B326"/>
  <c r="E325"/>
  <c r="D325"/>
  <c r="C325"/>
  <c r="B325"/>
  <c r="E324"/>
  <c r="D324"/>
  <c r="C324"/>
  <c r="B324"/>
  <c r="E323"/>
  <c r="D323"/>
  <c r="C323"/>
  <c r="B323"/>
  <c r="E322"/>
  <c r="D322"/>
  <c r="C322"/>
  <c r="B322"/>
  <c r="E321"/>
  <c r="D321"/>
  <c r="C321"/>
  <c r="B321"/>
  <c r="E320"/>
  <c r="D320"/>
  <c r="C320"/>
  <c r="B320"/>
  <c r="E319"/>
  <c r="D319"/>
  <c r="C319"/>
  <c r="B319"/>
  <c r="E318"/>
  <c r="D318"/>
  <c r="C318"/>
  <c r="B318"/>
  <c r="E317"/>
  <c r="D317"/>
  <c r="C317"/>
  <c r="B317"/>
  <c r="E316"/>
  <c r="D316"/>
  <c r="C316"/>
  <c r="B316"/>
  <c r="E315"/>
  <c r="D315"/>
  <c r="C315"/>
  <c r="B315"/>
  <c r="E314"/>
  <c r="D314"/>
  <c r="C314"/>
  <c r="B314"/>
  <c r="E313"/>
  <c r="D313"/>
  <c r="C313"/>
  <c r="B313"/>
  <c r="E312"/>
  <c r="D312"/>
  <c r="C312"/>
  <c r="B312"/>
  <c r="E311"/>
  <c r="D311"/>
  <c r="C311"/>
  <c r="B311"/>
  <c r="E310"/>
  <c r="D310"/>
  <c r="C310"/>
  <c r="B310"/>
  <c r="E309"/>
  <c r="D309"/>
  <c r="C309"/>
  <c r="B309"/>
  <c r="E308"/>
  <c r="D308"/>
  <c r="C308"/>
  <c r="B308"/>
  <c r="E307"/>
  <c r="D307"/>
  <c r="C307"/>
  <c r="B307"/>
  <c r="E306"/>
  <c r="D306"/>
  <c r="C306"/>
  <c r="B306"/>
  <c r="E305"/>
  <c r="D305"/>
  <c r="C305"/>
  <c r="B305"/>
  <c r="E304"/>
  <c r="D304"/>
  <c r="C304"/>
  <c r="B304"/>
  <c r="E303"/>
  <c r="D303"/>
  <c r="C303"/>
  <c r="B303"/>
  <c r="E302"/>
  <c r="D302"/>
  <c r="C302"/>
  <c r="B302"/>
  <c r="E301"/>
  <c r="D301"/>
  <c r="C301"/>
  <c r="B301"/>
  <c r="E300"/>
  <c r="D300"/>
  <c r="C300"/>
  <c r="B300"/>
  <c r="E299"/>
  <c r="D299"/>
  <c r="C299"/>
  <c r="B299"/>
  <c r="E298"/>
  <c r="D298"/>
  <c r="C298"/>
  <c r="B298"/>
  <c r="E297"/>
  <c r="D297"/>
  <c r="C297"/>
  <c r="B297"/>
  <c r="E296"/>
  <c r="D296"/>
  <c r="C296"/>
  <c r="B296"/>
  <c r="E295"/>
  <c r="D295"/>
  <c r="C295"/>
  <c r="B295"/>
  <c r="E294"/>
  <c r="D294"/>
  <c r="C294"/>
  <c r="B294"/>
  <c r="E293"/>
  <c r="D293"/>
  <c r="C293"/>
  <c r="B293"/>
  <c r="E292"/>
  <c r="D292"/>
  <c r="C292"/>
  <c r="B292"/>
  <c r="E291"/>
  <c r="D291"/>
  <c r="C291"/>
  <c r="B291"/>
  <c r="E290"/>
  <c r="D290"/>
  <c r="C290"/>
  <c r="B290"/>
  <c r="E289"/>
  <c r="D289"/>
  <c r="C289"/>
  <c r="B289"/>
  <c r="E288"/>
  <c r="D288"/>
  <c r="C288"/>
  <c r="B288"/>
  <c r="E287"/>
  <c r="D287"/>
  <c r="C287"/>
  <c r="B287"/>
  <c r="E286"/>
  <c r="D286"/>
  <c r="C286"/>
  <c r="B286"/>
  <c r="E285"/>
  <c r="D285"/>
  <c r="C285"/>
  <c r="B285"/>
  <c r="E284"/>
  <c r="D284"/>
  <c r="C284"/>
  <c r="B284"/>
  <c r="E283"/>
  <c r="D283"/>
  <c r="C283"/>
  <c r="B283"/>
  <c r="E282"/>
  <c r="D282"/>
  <c r="C282"/>
  <c r="B282"/>
  <c r="E281"/>
  <c r="D281"/>
  <c r="C281"/>
  <c r="B281"/>
  <c r="E280"/>
  <c r="D280"/>
  <c r="C280"/>
  <c r="B280"/>
  <c r="E279"/>
  <c r="D279"/>
  <c r="C279"/>
  <c r="B279"/>
  <c r="E278"/>
  <c r="D278"/>
  <c r="C278"/>
  <c r="B278"/>
  <c r="E277"/>
  <c r="D277"/>
  <c r="C277"/>
  <c r="B277"/>
  <c r="E276"/>
  <c r="D276"/>
  <c r="C276"/>
  <c r="B276"/>
  <c r="E275"/>
  <c r="D275"/>
  <c r="C275"/>
  <c r="B275"/>
  <c r="E274"/>
  <c r="D274"/>
  <c r="C274"/>
  <c r="B274"/>
  <c r="E273"/>
  <c r="D273"/>
  <c r="C273"/>
  <c r="B273"/>
  <c r="E272"/>
  <c r="D272"/>
  <c r="C272"/>
  <c r="B272"/>
  <c r="E271"/>
  <c r="D271"/>
  <c r="C271"/>
  <c r="B271"/>
  <c r="E270"/>
  <c r="D270"/>
  <c r="C270"/>
  <c r="B270"/>
  <c r="E269"/>
  <c r="D269"/>
  <c r="C269"/>
  <c r="B269"/>
  <c r="E268"/>
  <c r="D268"/>
  <c r="C268"/>
  <c r="B268"/>
  <c r="E267"/>
  <c r="D267"/>
  <c r="C267"/>
  <c r="B267"/>
  <c r="E266"/>
  <c r="D266"/>
  <c r="C266"/>
  <c r="B266"/>
  <c r="E265"/>
  <c r="D265"/>
  <c r="C265"/>
  <c r="B265"/>
  <c r="E264"/>
  <c r="D264"/>
  <c r="C264"/>
  <c r="B264"/>
  <c r="E263"/>
  <c r="D263"/>
  <c r="C263"/>
  <c r="B263"/>
  <c r="E262"/>
  <c r="D262"/>
  <c r="C262"/>
  <c r="B262"/>
  <c r="E261"/>
  <c r="D261"/>
  <c r="C261"/>
  <c r="B261"/>
  <c r="E260"/>
  <c r="D260"/>
  <c r="C260"/>
  <c r="B260"/>
  <c r="E259"/>
  <c r="D259"/>
  <c r="C259"/>
  <c r="B259"/>
  <c r="E258"/>
  <c r="D258"/>
  <c r="C258"/>
  <c r="B258"/>
  <c r="E257"/>
  <c r="D257"/>
  <c r="C257"/>
  <c r="B257"/>
  <c r="E256"/>
  <c r="D256"/>
  <c r="C256"/>
  <c r="B256"/>
  <c r="E255"/>
  <c r="D255"/>
  <c r="C255"/>
  <c r="B255"/>
  <c r="E254"/>
  <c r="D254"/>
  <c r="C254"/>
  <c r="B254"/>
  <c r="E253"/>
  <c r="D253"/>
  <c r="C253"/>
  <c r="B253"/>
  <c r="E252"/>
  <c r="D252"/>
  <c r="C252"/>
  <c r="B252"/>
  <c r="E251"/>
  <c r="D251"/>
  <c r="C251"/>
  <c r="B251"/>
  <c r="E250"/>
  <c r="D250"/>
  <c r="C250"/>
  <c r="B250"/>
  <c r="E249"/>
  <c r="D249"/>
  <c r="C249"/>
  <c r="B249"/>
  <c r="E248"/>
  <c r="D248"/>
  <c r="C248"/>
  <c r="B248"/>
  <c r="E247"/>
  <c r="D247"/>
  <c r="C247"/>
  <c r="B247"/>
  <c r="E246"/>
  <c r="D246"/>
  <c r="C246"/>
  <c r="B246"/>
  <c r="E245"/>
  <c r="D245"/>
  <c r="C245"/>
  <c r="B245"/>
  <c r="E244"/>
  <c r="D244"/>
  <c r="C244"/>
  <c r="B244"/>
  <c r="E243"/>
  <c r="D243"/>
  <c r="C243"/>
  <c r="B243"/>
  <c r="E242"/>
  <c r="D242"/>
  <c r="C242"/>
  <c r="B242"/>
  <c r="E241"/>
  <c r="D241"/>
  <c r="C241"/>
  <c r="B241"/>
  <c r="E240"/>
  <c r="D240"/>
  <c r="C240"/>
  <c r="B240"/>
  <c r="E239"/>
  <c r="D239"/>
  <c r="C239"/>
  <c r="B239"/>
  <c r="E238"/>
  <c r="D238"/>
  <c r="C238"/>
  <c r="B238"/>
  <c r="E237"/>
  <c r="D237"/>
  <c r="C237"/>
  <c r="B237"/>
  <c r="E236"/>
  <c r="D236"/>
  <c r="C236"/>
  <c r="B236"/>
  <c r="E235"/>
  <c r="D235"/>
  <c r="C235"/>
  <c r="B235"/>
  <c r="E234"/>
  <c r="D234"/>
  <c r="C234"/>
  <c r="B234"/>
  <c r="E233"/>
  <c r="D233"/>
  <c r="C233"/>
  <c r="B233"/>
  <c r="E232"/>
  <c r="D232"/>
  <c r="C232"/>
  <c r="B232"/>
  <c r="E231"/>
  <c r="D231"/>
  <c r="C231"/>
  <c r="B231"/>
  <c r="E230"/>
  <c r="D230"/>
  <c r="C230"/>
  <c r="B230"/>
  <c r="E229"/>
  <c r="D229"/>
  <c r="C229"/>
  <c r="B229"/>
  <c r="E228"/>
  <c r="D228"/>
  <c r="C228"/>
  <c r="B228"/>
  <c r="E227"/>
  <c r="D227"/>
  <c r="C227"/>
  <c r="B227"/>
  <c r="E226"/>
  <c r="D226"/>
  <c r="C226"/>
  <c r="B226"/>
  <c r="E225"/>
  <c r="D225"/>
  <c r="C225"/>
  <c r="B225"/>
  <c r="E224"/>
  <c r="D224"/>
  <c r="C224"/>
  <c r="B224"/>
  <c r="E223"/>
  <c r="D223"/>
  <c r="C223"/>
  <c r="B223"/>
  <c r="E222"/>
  <c r="D222"/>
  <c r="C222"/>
  <c r="B222"/>
  <c r="E221"/>
  <c r="D221"/>
  <c r="C221"/>
  <c r="B221"/>
  <c r="E220"/>
  <c r="D220"/>
  <c r="C220"/>
  <c r="B220"/>
  <c r="E219"/>
  <c r="D219"/>
  <c r="C219"/>
  <c r="B219"/>
  <c r="E218"/>
  <c r="D218"/>
  <c r="C218"/>
  <c r="B218"/>
  <c r="E217"/>
  <c r="D217"/>
  <c r="C217"/>
  <c r="B217"/>
  <c r="E216"/>
  <c r="D216"/>
  <c r="C216"/>
  <c r="B216"/>
  <c r="E215"/>
  <c r="D215"/>
  <c r="C215"/>
  <c r="B215"/>
  <c r="E214"/>
  <c r="D214"/>
  <c r="C214"/>
  <c r="B214"/>
  <c r="E213"/>
  <c r="D213"/>
  <c r="C213"/>
  <c r="B213"/>
  <c r="E212"/>
  <c r="D212"/>
  <c r="C212"/>
  <c r="B212"/>
  <c r="E211"/>
  <c r="D211"/>
  <c r="C211"/>
  <c r="B211"/>
  <c r="E210"/>
  <c r="D210"/>
  <c r="C210"/>
  <c r="B210"/>
  <c r="E209"/>
  <c r="D209"/>
  <c r="C209"/>
  <c r="B209"/>
  <c r="E208"/>
  <c r="D208"/>
  <c r="C208"/>
  <c r="B208"/>
  <c r="E207"/>
  <c r="D207"/>
  <c r="C207"/>
  <c r="B207"/>
  <c r="E206"/>
  <c r="D206"/>
  <c r="C206"/>
  <c r="B206"/>
  <c r="E205"/>
  <c r="D205"/>
  <c r="C205"/>
  <c r="B205"/>
  <c r="E204"/>
  <c r="D204"/>
  <c r="C204"/>
  <c r="B204"/>
  <c r="E203"/>
  <c r="D203"/>
  <c r="C203"/>
  <c r="B203"/>
  <c r="E202"/>
  <c r="D202"/>
  <c r="C202"/>
  <c r="B202"/>
  <c r="E201"/>
  <c r="D201"/>
  <c r="C201"/>
  <c r="B201"/>
  <c r="E200"/>
  <c r="D200"/>
  <c r="C200"/>
  <c r="B200"/>
  <c r="E199"/>
  <c r="D199"/>
  <c r="C199"/>
  <c r="B199"/>
  <c r="E198"/>
  <c r="D198"/>
  <c r="C198"/>
  <c r="B198"/>
  <c r="E197"/>
  <c r="D197"/>
  <c r="C197"/>
  <c r="B197"/>
  <c r="E196"/>
  <c r="D196"/>
  <c r="C196"/>
  <c r="B196"/>
  <c r="E195"/>
  <c r="D195"/>
  <c r="C195"/>
  <c r="B195"/>
  <c r="E194"/>
  <c r="D194"/>
  <c r="C194"/>
  <c r="B194"/>
  <c r="E193"/>
  <c r="D193"/>
  <c r="C193"/>
  <c r="B193"/>
  <c r="E192"/>
  <c r="D192"/>
  <c r="C192"/>
  <c r="B192"/>
  <c r="E191"/>
  <c r="D191"/>
  <c r="C191"/>
  <c r="B191"/>
  <c r="E190"/>
  <c r="D190"/>
  <c r="C190"/>
  <c r="B190"/>
  <c r="E189"/>
  <c r="D189"/>
  <c r="C189"/>
  <c r="B189"/>
  <c r="E188"/>
  <c r="D188"/>
  <c r="C188"/>
  <c r="B188"/>
  <c r="E187"/>
  <c r="D187"/>
  <c r="C187"/>
  <c r="B187"/>
  <c r="E186"/>
  <c r="D186"/>
  <c r="C186"/>
  <c r="B186"/>
  <c r="E185"/>
  <c r="D185"/>
  <c r="C185"/>
  <c r="B185"/>
  <c r="E184"/>
  <c r="D184"/>
  <c r="C184"/>
  <c r="B184"/>
  <c r="E183"/>
  <c r="D183"/>
  <c r="C183"/>
  <c r="B183"/>
  <c r="E182"/>
  <c r="D182"/>
  <c r="C182"/>
  <c r="B182"/>
  <c r="E181"/>
  <c r="D181"/>
  <c r="C181"/>
  <c r="B181"/>
  <c r="E180"/>
  <c r="D180"/>
  <c r="C180"/>
  <c r="B180"/>
  <c r="E179"/>
  <c r="D179"/>
  <c r="C179"/>
  <c r="B179"/>
  <c r="E178"/>
  <c r="D178"/>
  <c r="C178"/>
  <c r="B178"/>
  <c r="E177"/>
  <c r="D177"/>
  <c r="C177"/>
  <c r="B177"/>
  <c r="E176"/>
  <c r="D176"/>
  <c r="C176"/>
  <c r="B176"/>
  <c r="E175"/>
  <c r="D175"/>
  <c r="C175"/>
  <c r="B175"/>
  <c r="E174"/>
  <c r="D174"/>
  <c r="C174"/>
  <c r="B174"/>
  <c r="E173"/>
  <c r="D173"/>
  <c r="C173"/>
  <c r="B173"/>
  <c r="E172"/>
  <c r="D172"/>
  <c r="C172"/>
  <c r="B172"/>
  <c r="E171"/>
  <c r="D171"/>
  <c r="C171"/>
  <c r="B171"/>
  <c r="E170"/>
  <c r="D170"/>
  <c r="C170"/>
  <c r="B170"/>
  <c r="E169"/>
  <c r="D169"/>
  <c r="C169"/>
  <c r="B169"/>
  <c r="E168"/>
  <c r="D168"/>
  <c r="C168"/>
  <c r="B168"/>
  <c r="E167"/>
  <c r="D167"/>
  <c r="C167"/>
  <c r="B167"/>
  <c r="E166"/>
  <c r="D166"/>
  <c r="C166"/>
  <c r="B166"/>
  <c r="E165"/>
  <c r="D165"/>
  <c r="C165"/>
  <c r="B165"/>
  <c r="E164"/>
  <c r="D164"/>
  <c r="C164"/>
  <c r="B164"/>
  <c r="E163"/>
  <c r="D163"/>
  <c r="C163"/>
  <c r="B163"/>
  <c r="E162"/>
  <c r="D162"/>
  <c r="C162"/>
  <c r="B162"/>
  <c r="E161"/>
  <c r="D161"/>
  <c r="C161"/>
  <c r="B161"/>
  <c r="E160"/>
  <c r="D160"/>
  <c r="C160"/>
  <c r="B160"/>
  <c r="E159"/>
  <c r="D159"/>
  <c r="C159"/>
  <c r="B159"/>
  <c r="E158"/>
  <c r="D158"/>
  <c r="C158"/>
  <c r="B158"/>
  <c r="E157"/>
  <c r="D157"/>
  <c r="C157"/>
  <c r="B157"/>
  <c r="E156"/>
  <c r="D156"/>
  <c r="C156"/>
  <c r="B156"/>
  <c r="E155"/>
  <c r="D155"/>
  <c r="C155"/>
  <c r="B155"/>
  <c r="E154"/>
  <c r="D154"/>
  <c r="C154"/>
  <c r="B154"/>
  <c r="E153"/>
  <c r="D153"/>
  <c r="C153"/>
  <c r="B153"/>
  <c r="E152"/>
  <c r="D152"/>
  <c r="C152"/>
  <c r="B152"/>
  <c r="E151"/>
  <c r="D151"/>
  <c r="C151"/>
  <c r="B151"/>
  <c r="E150"/>
  <c r="D150"/>
  <c r="C150"/>
  <c r="B150"/>
  <c r="E149"/>
  <c r="D149"/>
  <c r="C149"/>
  <c r="B149"/>
  <c r="E148"/>
  <c r="D148"/>
  <c r="C148"/>
  <c r="B148"/>
  <c r="E147"/>
  <c r="D147"/>
  <c r="C147"/>
  <c r="B147"/>
  <c r="E146"/>
  <c r="D146"/>
  <c r="C146"/>
  <c r="B146"/>
  <c r="E145"/>
  <c r="D145"/>
  <c r="C145"/>
  <c r="B145"/>
  <c r="E144"/>
  <c r="D144"/>
  <c r="C144"/>
  <c r="B144"/>
  <c r="E143"/>
  <c r="D143"/>
  <c r="C143"/>
  <c r="B143"/>
  <c r="E142"/>
  <c r="D142"/>
  <c r="C142"/>
  <c r="B142"/>
  <c r="E141"/>
  <c r="D141"/>
  <c r="C141"/>
  <c r="B141"/>
  <c r="E140"/>
  <c r="D140"/>
  <c r="C140"/>
  <c r="B140"/>
  <c r="E139"/>
  <c r="D139"/>
  <c r="C139"/>
  <c r="B139"/>
  <c r="E138"/>
  <c r="D138"/>
  <c r="C138"/>
  <c r="B138"/>
  <c r="E137"/>
  <c r="D137"/>
  <c r="C137"/>
  <c r="B137"/>
  <c r="E136"/>
  <c r="D136"/>
  <c r="C136"/>
  <c r="B136"/>
  <c r="E135"/>
  <c r="D135"/>
  <c r="C135"/>
  <c r="B135"/>
  <c r="E134"/>
  <c r="D134"/>
  <c r="C134"/>
  <c r="B134"/>
  <c r="E133"/>
  <c r="D133"/>
  <c r="C133"/>
  <c r="B133"/>
  <c r="E132"/>
  <c r="D132"/>
  <c r="C132"/>
  <c r="B132"/>
  <c r="E131"/>
  <c r="D131"/>
  <c r="C131"/>
  <c r="B131"/>
  <c r="E130"/>
  <c r="D130"/>
  <c r="C130"/>
  <c r="B130"/>
  <c r="E129"/>
  <c r="D129"/>
  <c r="C129"/>
  <c r="B129"/>
  <c r="E128"/>
  <c r="D128"/>
  <c r="C128"/>
  <c r="B128"/>
  <c r="E127"/>
  <c r="D127"/>
  <c r="C127"/>
  <c r="B127"/>
  <c r="E126"/>
  <c r="D126"/>
  <c r="C126"/>
  <c r="B126"/>
  <c r="E125"/>
  <c r="D125"/>
  <c r="C125"/>
  <c r="B125"/>
  <c r="E124"/>
  <c r="D124"/>
  <c r="C124"/>
  <c r="B124"/>
  <c r="E123"/>
  <c r="D123"/>
  <c r="C123"/>
  <c r="B123"/>
  <c r="E122"/>
  <c r="D122"/>
  <c r="C122"/>
  <c r="B122"/>
  <c r="E121"/>
  <c r="D121"/>
  <c r="C121"/>
  <c r="B121"/>
  <c r="E120"/>
  <c r="D120"/>
  <c r="C120"/>
  <c r="B120"/>
  <c r="E119"/>
  <c r="D119"/>
  <c r="C119"/>
  <c r="B119"/>
  <c r="E118"/>
  <c r="D118"/>
  <c r="C118"/>
  <c r="B118"/>
  <c r="E117"/>
  <c r="D117"/>
  <c r="C117"/>
  <c r="B117"/>
  <c r="E116"/>
  <c r="D116"/>
  <c r="C116"/>
  <c r="B116"/>
  <c r="E115"/>
  <c r="D115"/>
  <c r="C115"/>
  <c r="B115"/>
  <c r="E114"/>
  <c r="D114"/>
  <c r="C114"/>
  <c r="B114"/>
  <c r="E113"/>
  <c r="D113"/>
  <c r="C113"/>
  <c r="B113"/>
  <c r="E112"/>
  <c r="D112"/>
  <c r="C112"/>
  <c r="B112"/>
  <c r="E111"/>
  <c r="D111"/>
  <c r="C111"/>
  <c r="B111"/>
  <c r="E110"/>
  <c r="D110"/>
  <c r="C110"/>
  <c r="B110"/>
  <c r="E109"/>
  <c r="D109"/>
  <c r="C109"/>
  <c r="B109"/>
  <c r="E108"/>
  <c r="D108"/>
  <c r="C108"/>
  <c r="B108"/>
  <c r="E107"/>
  <c r="D107"/>
  <c r="C107"/>
  <c r="B107"/>
  <c r="E106"/>
  <c r="D106"/>
  <c r="C106"/>
  <c r="B106"/>
  <c r="E105"/>
  <c r="D105"/>
  <c r="C105"/>
  <c r="B105"/>
  <c r="E104"/>
  <c r="D104"/>
  <c r="C104"/>
  <c r="B104"/>
  <c r="E103"/>
  <c r="D103"/>
  <c r="C103"/>
  <c r="B103"/>
  <c r="E102"/>
  <c r="D102"/>
  <c r="C102"/>
  <c r="B102"/>
  <c r="E101"/>
  <c r="D101"/>
  <c r="C101"/>
  <c r="B101"/>
  <c r="E100"/>
  <c r="D100"/>
  <c r="C100"/>
  <c r="B100"/>
  <c r="E99"/>
  <c r="D99"/>
  <c r="C99"/>
  <c r="B99"/>
  <c r="E98"/>
  <c r="D98"/>
  <c r="C98"/>
  <c r="B98"/>
  <c r="E97"/>
  <c r="D97"/>
  <c r="C97"/>
  <c r="B97"/>
  <c r="E96"/>
  <c r="D96"/>
  <c r="C96"/>
  <c r="B96"/>
  <c r="E95"/>
  <c r="D95"/>
  <c r="C95"/>
  <c r="B95"/>
  <c r="E94"/>
  <c r="D94"/>
  <c r="C94"/>
  <c r="B94"/>
  <c r="E93"/>
  <c r="D93"/>
  <c r="C93"/>
  <c r="B93"/>
  <c r="E92"/>
  <c r="D92"/>
  <c r="C92"/>
  <c r="B92"/>
  <c r="E91"/>
  <c r="D91"/>
  <c r="C91"/>
  <c r="B91"/>
  <c r="E90"/>
  <c r="D90"/>
  <c r="C90"/>
  <c r="B90"/>
  <c r="E89"/>
  <c r="D89"/>
  <c r="C89"/>
  <c r="B89"/>
  <c r="E88"/>
  <c r="D88"/>
  <c r="C88"/>
  <c r="B88"/>
  <c r="E87"/>
  <c r="D87"/>
  <c r="C87"/>
  <c r="B87"/>
  <c r="E86"/>
  <c r="D86"/>
  <c r="C86"/>
  <c r="B86"/>
  <c r="E85"/>
  <c r="D85"/>
  <c r="C85"/>
  <c r="B85"/>
  <c r="E84"/>
  <c r="D84"/>
  <c r="C84"/>
  <c r="B84"/>
  <c r="E83"/>
  <c r="D83"/>
  <c r="C83"/>
  <c r="B83"/>
  <c r="E82"/>
  <c r="D82"/>
  <c r="C82"/>
  <c r="B82"/>
  <c r="E81"/>
  <c r="D81"/>
  <c r="C81"/>
  <c r="B81"/>
  <c r="E80"/>
  <c r="D80"/>
  <c r="C80"/>
  <c r="B80"/>
  <c r="E79"/>
  <c r="D79"/>
  <c r="C79"/>
  <c r="B79"/>
  <c r="E78"/>
  <c r="D78"/>
  <c r="C78"/>
  <c r="B78"/>
  <c r="E77"/>
  <c r="D77"/>
  <c r="C77"/>
  <c r="B77"/>
  <c r="E76"/>
  <c r="D76"/>
  <c r="C76"/>
  <c r="B76"/>
  <c r="E75"/>
  <c r="D75"/>
  <c r="C75"/>
  <c r="B75"/>
  <c r="E74"/>
  <c r="D74"/>
  <c r="C74"/>
  <c r="B74"/>
  <c r="E73"/>
  <c r="D73"/>
  <c r="C73"/>
  <c r="B73"/>
  <c r="E72"/>
  <c r="D72"/>
  <c r="C72"/>
  <c r="B72"/>
  <c r="E71"/>
  <c r="D71"/>
  <c r="C71"/>
  <c r="B71"/>
  <c r="E70"/>
  <c r="D70"/>
  <c r="C70"/>
  <c r="B70"/>
  <c r="E69"/>
  <c r="D69"/>
  <c r="C69"/>
  <c r="B69"/>
  <c r="E68"/>
  <c r="D68"/>
  <c r="C68"/>
  <c r="B68"/>
  <c r="E67"/>
  <c r="D67"/>
  <c r="C67"/>
  <c r="B67"/>
  <c r="E66"/>
  <c r="D66"/>
  <c r="C66"/>
  <c r="B66"/>
  <c r="E65"/>
  <c r="D65"/>
  <c r="C65"/>
  <c r="B65"/>
  <c r="E64"/>
  <c r="D64"/>
  <c r="C64"/>
  <c r="B64"/>
  <c r="E63"/>
  <c r="D63"/>
  <c r="C63"/>
  <c r="B63"/>
  <c r="E62"/>
  <c r="D62"/>
  <c r="C62"/>
  <c r="B62"/>
  <c r="E61"/>
  <c r="D61"/>
  <c r="C61"/>
  <c r="B61"/>
  <c r="E60"/>
  <c r="D60"/>
  <c r="C60"/>
  <c r="B60"/>
  <c r="E59"/>
  <c r="D59"/>
  <c r="C59"/>
  <c r="B59"/>
  <c r="E58"/>
  <c r="D58"/>
  <c r="C58"/>
  <c r="B58"/>
  <c r="E57"/>
  <c r="D57"/>
  <c r="C57"/>
  <c r="B57"/>
  <c r="E56"/>
  <c r="D56"/>
  <c r="C56"/>
  <c r="B56"/>
  <c r="E55"/>
  <c r="A50"/>
  <c r="F47"/>
  <c r="E47"/>
  <c r="C47"/>
  <c r="B47"/>
  <c r="F46"/>
  <c r="E46"/>
  <c r="C46"/>
  <c r="B46"/>
  <c r="F45"/>
  <c r="E45"/>
  <c r="C45"/>
  <c r="B45"/>
  <c r="F44"/>
  <c r="E44"/>
  <c r="C44"/>
  <c r="B44"/>
  <c r="F43"/>
  <c r="E43"/>
  <c r="C43"/>
  <c r="B43"/>
  <c r="F42"/>
  <c r="E42"/>
  <c r="C42"/>
  <c r="B42"/>
  <c r="F41"/>
  <c r="E41"/>
  <c r="C41"/>
  <c r="B41"/>
  <c r="F40"/>
  <c r="E40"/>
  <c r="C40"/>
  <c r="B40"/>
  <c r="F39"/>
  <c r="E39"/>
  <c r="C39"/>
  <c r="B39"/>
  <c r="F38"/>
  <c r="E38"/>
  <c r="C38"/>
  <c r="B38"/>
  <c r="F37"/>
  <c r="E37"/>
  <c r="C37"/>
  <c r="B37"/>
  <c r="F36"/>
  <c r="E36"/>
  <c r="C36"/>
  <c r="B36"/>
  <c r="F35"/>
  <c r="E35"/>
  <c r="C35"/>
  <c r="B35"/>
  <c r="F34"/>
  <c r="E34"/>
  <c r="C34"/>
  <c r="B34"/>
  <c r="F33"/>
  <c r="E33"/>
  <c r="C33"/>
  <c r="B33"/>
  <c r="F32"/>
  <c r="E32"/>
  <c r="C32"/>
  <c r="B32"/>
  <c r="F31"/>
  <c r="E31"/>
  <c r="C31"/>
  <c r="B31"/>
  <c r="F30"/>
  <c r="E30"/>
  <c r="C30"/>
  <c r="B30"/>
  <c r="F29"/>
  <c r="E29"/>
  <c r="C29"/>
  <c r="B29"/>
  <c r="F28"/>
  <c r="E28"/>
  <c r="C28"/>
  <c r="B28"/>
  <c r="D10"/>
  <c r="D18"/>
  <c r="D20"/>
  <c r="A1"/>
  <c r="J154" i="15"/>
  <c r="J155"/>
  <c r="J157"/>
  <c r="J158"/>
  <c r="J159"/>
  <c r="J17"/>
  <c r="J27"/>
  <c r="J32"/>
  <c r="J36"/>
  <c r="J56"/>
  <c r="J68"/>
  <c r="J74"/>
  <c r="J83"/>
  <c r="J109"/>
  <c r="J117"/>
  <c r="J121"/>
  <c r="J123"/>
  <c r="J140"/>
  <c r="J137"/>
  <c r="J141"/>
  <c r="J142"/>
  <c r="J144"/>
  <c r="J156"/>
  <c r="G104"/>
  <c r="G17"/>
  <c r="G23"/>
  <c r="G27"/>
  <c r="G32"/>
  <c r="G36"/>
  <c r="G56"/>
  <c r="G68"/>
  <c r="G74"/>
  <c r="G83"/>
  <c r="G98"/>
  <c r="G109"/>
  <c r="G117"/>
  <c r="G121"/>
  <c r="G123"/>
  <c r="P17"/>
  <c r="P27"/>
  <c r="P32"/>
  <c r="P36"/>
  <c r="P56"/>
  <c r="P68"/>
  <c r="P74"/>
  <c r="P83"/>
  <c r="P109"/>
  <c r="P117"/>
  <c r="P121"/>
  <c r="P123"/>
  <c r="P140"/>
  <c r="P137"/>
  <c r="P141"/>
  <c r="P142"/>
  <c r="P144"/>
  <c r="M17"/>
  <c r="M23"/>
  <c r="M27"/>
  <c r="M32"/>
  <c r="M36"/>
  <c r="M56"/>
  <c r="M68"/>
  <c r="M74"/>
  <c r="M83"/>
  <c r="M109"/>
  <c r="M117"/>
  <c r="M121"/>
  <c r="M123"/>
  <c r="M140"/>
  <c r="M142"/>
  <c r="M144"/>
  <c r="S17"/>
  <c r="S23"/>
  <c r="S27"/>
  <c r="S32"/>
  <c r="S36"/>
  <c r="S56"/>
  <c r="S68"/>
  <c r="S74"/>
  <c r="S83"/>
  <c r="S98"/>
  <c r="S104"/>
  <c r="S109"/>
  <c r="S117"/>
  <c r="S121"/>
  <c r="S123"/>
  <c r="U120"/>
  <c r="A120"/>
  <c r="O118"/>
  <c r="U116"/>
  <c r="A116"/>
  <c r="O110"/>
  <c r="C109"/>
  <c r="F108"/>
  <c r="F107"/>
  <c r="F106"/>
  <c r="O105"/>
  <c r="U103"/>
  <c r="A103"/>
  <c r="O99"/>
  <c r="U97"/>
  <c r="A97"/>
  <c r="U96"/>
  <c r="A96"/>
  <c r="O88"/>
  <c r="U82"/>
  <c r="A82"/>
  <c r="O75"/>
  <c r="O69"/>
  <c r="U67"/>
  <c r="A67"/>
  <c r="O57"/>
  <c r="U55"/>
  <c r="A55"/>
  <c r="O47"/>
  <c r="B39"/>
  <c r="F42"/>
  <c r="O41"/>
  <c r="E35"/>
  <c r="F35"/>
  <c r="E34"/>
  <c r="F34"/>
  <c r="O33"/>
  <c r="E33"/>
  <c r="O28"/>
  <c r="O24"/>
  <c r="O18"/>
  <c r="U16"/>
  <c r="A16"/>
  <c r="U15"/>
  <c r="A15"/>
  <c r="U14"/>
  <c r="A14"/>
  <c r="O7"/>
  <c r="A1"/>
  <c r="M145"/>
  <c r="M146"/>
  <c r="M148"/>
  <c r="P145"/>
  <c r="P146"/>
  <c r="P148"/>
  <c r="J145"/>
  <c r="J146"/>
  <c r="J148"/>
  <c r="J149"/>
  <c r="J161"/>
  <c r="M163"/>
  <c r="D125"/>
  <c r="J152"/>
  <c r="M151"/>
  <c r="M125"/>
  <c r="G125"/>
  <c r="F115"/>
  <c r="E93"/>
  <c r="J165"/>
  <c r="J393" i="35" s="1"/>
  <c r="L393" s="1"/>
  <c r="E92" i="15"/>
  <c r="D39"/>
  <c r="D38"/>
  <c r="P8" i="11"/>
  <c r="P40"/>
  <c r="P38"/>
  <c r="P55"/>
  <c r="P139"/>
  <c r="P132"/>
  <c r="P166"/>
  <c r="P176"/>
  <c r="P180"/>
  <c r="P175"/>
  <c r="P191"/>
  <c r="P199"/>
  <c r="P235"/>
  <c r="P227"/>
  <c r="P270"/>
  <c r="P279"/>
  <c r="P294"/>
  <c r="O8"/>
  <c r="O40"/>
  <c r="O38"/>
  <c r="O55"/>
  <c r="O82"/>
  <c r="O93"/>
  <c r="O139"/>
  <c r="O132"/>
  <c r="O166"/>
  <c r="O176"/>
  <c r="O180"/>
  <c r="O175"/>
  <c r="O191"/>
  <c r="O199"/>
  <c r="O207"/>
  <c r="O235"/>
  <c r="O227"/>
  <c r="O270"/>
  <c r="O279"/>
  <c r="O294"/>
  <c r="M294"/>
  <c r="L279"/>
  <c r="R272"/>
  <c r="R271"/>
  <c r="L271"/>
  <c r="R259"/>
  <c r="L259"/>
  <c r="R247"/>
  <c r="L247"/>
  <c r="R243"/>
  <c r="L243"/>
  <c r="R242"/>
  <c r="L242"/>
  <c r="R241"/>
  <c r="L241"/>
  <c r="R240"/>
  <c r="L240"/>
  <c r="R239"/>
  <c r="L239"/>
  <c r="R238"/>
  <c r="L238"/>
  <c r="R237"/>
  <c r="L237"/>
  <c r="R236"/>
  <c r="L236"/>
  <c r="L234"/>
  <c r="L229"/>
  <c r="L228"/>
  <c r="L227"/>
  <c r="L213"/>
  <c r="L207"/>
  <c r="R201"/>
  <c r="R200"/>
  <c r="L200"/>
  <c r="R193"/>
  <c r="L193"/>
  <c r="R192"/>
  <c r="L192"/>
  <c r="L183"/>
  <c r="L182"/>
  <c r="R180"/>
  <c r="A179"/>
  <c r="A178"/>
  <c r="L176"/>
  <c r="R168"/>
  <c r="L168"/>
  <c r="R167"/>
  <c r="L146"/>
  <c r="L133"/>
  <c r="G133"/>
  <c r="M124"/>
  <c r="M123"/>
  <c r="M122"/>
  <c r="M121"/>
  <c r="A120"/>
  <c r="M119"/>
  <c r="M118"/>
  <c r="M117"/>
  <c r="M116"/>
  <c r="M115"/>
  <c r="M113"/>
  <c r="A112"/>
  <c r="A111"/>
  <c r="M109"/>
  <c r="M108"/>
  <c r="M107"/>
  <c r="M106"/>
  <c r="A105"/>
  <c r="M103"/>
  <c r="M102"/>
  <c r="M101"/>
  <c r="A100"/>
  <c r="M99"/>
  <c r="M98"/>
  <c r="M97"/>
  <c r="A96"/>
  <c r="M85"/>
  <c r="M84"/>
  <c r="N64"/>
  <c r="L57"/>
  <c r="L56"/>
  <c r="L42"/>
  <c r="R31"/>
  <c r="L31"/>
  <c r="P17"/>
  <c r="K17"/>
  <c r="F17"/>
  <c r="G12"/>
  <c r="G11"/>
  <c r="G10"/>
  <c r="P6"/>
  <c r="O6"/>
  <c r="A1"/>
  <c r="M32"/>
  <c r="M31" i="29"/>
  <c r="L31"/>
  <c r="K31"/>
  <c r="J31"/>
  <c r="I31"/>
  <c r="M17"/>
  <c r="L17"/>
  <c r="K17"/>
  <c r="J17"/>
  <c r="I17"/>
  <c r="I3"/>
  <c r="A1"/>
  <c r="F146" i="36"/>
  <c r="F155"/>
  <c r="F166"/>
  <c r="K144"/>
  <c r="K153"/>
  <c r="K163"/>
  <c r="P145"/>
  <c r="T10"/>
  <c r="T11"/>
  <c r="T12"/>
  <c r="T13"/>
  <c r="T14"/>
  <c r="T15"/>
  <c r="T16"/>
  <c r="T17"/>
  <c r="T18"/>
  <c r="T19"/>
  <c r="T20"/>
  <c r="T21"/>
  <c r="T22"/>
  <c r="T23"/>
  <c r="T24"/>
  <c r="T25"/>
  <c r="T26"/>
  <c r="T27"/>
  <c r="T28"/>
  <c r="T29"/>
  <c r="T30"/>
  <c r="T31"/>
  <c r="T32"/>
  <c r="T33"/>
  <c r="T34"/>
  <c r="T35"/>
  <c r="T36"/>
  <c r="T37"/>
  <c r="T38"/>
  <c r="T39"/>
  <c r="T40"/>
  <c r="T41"/>
  <c r="T42"/>
  <c r="T43"/>
  <c r="T44"/>
  <c r="T45"/>
  <c r="T46"/>
  <c r="T47"/>
  <c r="T48"/>
  <c r="H57"/>
  <c r="Y10"/>
  <c r="Y11"/>
  <c r="Y12"/>
  <c r="Y13"/>
  <c r="Y14"/>
  <c r="Y15"/>
  <c r="Y16"/>
  <c r="Y17"/>
  <c r="Y18"/>
  <c r="Y19"/>
  <c r="Y20"/>
  <c r="Y21"/>
  <c r="Y22"/>
  <c r="Y23"/>
  <c r="Y24"/>
  <c r="Y25"/>
  <c r="Y26"/>
  <c r="Y27"/>
  <c r="Y28"/>
  <c r="Y29"/>
  <c r="Y30"/>
  <c r="Y31"/>
  <c r="Y32"/>
  <c r="Y33"/>
  <c r="Y34"/>
  <c r="Y35"/>
  <c r="Y36"/>
  <c r="Y37"/>
  <c r="Y38"/>
  <c r="Y39"/>
  <c r="Y40"/>
  <c r="Y41"/>
  <c r="Y42"/>
  <c r="Y43"/>
  <c r="Y44"/>
  <c r="Y45"/>
  <c r="Y46"/>
  <c r="Y47"/>
  <c r="Y48"/>
  <c r="H58"/>
  <c r="H59"/>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I48"/>
  <c r="H60"/>
  <c r="H61"/>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R48"/>
  <c r="H62"/>
  <c r="H63"/>
  <c r="U10"/>
  <c r="U11"/>
  <c r="U12"/>
  <c r="U13"/>
  <c r="U14"/>
  <c r="U15"/>
  <c r="U16"/>
  <c r="U17"/>
  <c r="U18"/>
  <c r="U19"/>
  <c r="U20"/>
  <c r="U21"/>
  <c r="U22"/>
  <c r="U23"/>
  <c r="U24"/>
  <c r="U25"/>
  <c r="U26"/>
  <c r="U27"/>
  <c r="U28"/>
  <c r="U29"/>
  <c r="U30"/>
  <c r="U31"/>
  <c r="U32"/>
  <c r="U33"/>
  <c r="U34"/>
  <c r="U35"/>
  <c r="U36"/>
  <c r="U37"/>
  <c r="U38"/>
  <c r="U39"/>
  <c r="U40"/>
  <c r="U41"/>
  <c r="U42"/>
  <c r="U43"/>
  <c r="U44"/>
  <c r="U45"/>
  <c r="U46"/>
  <c r="U47"/>
  <c r="U48"/>
  <c r="I57"/>
  <c r="Z10"/>
  <c r="Z11"/>
  <c r="Z12"/>
  <c r="Z13"/>
  <c r="Z14"/>
  <c r="Z15"/>
  <c r="Z16"/>
  <c r="Z17"/>
  <c r="Z18"/>
  <c r="Z19"/>
  <c r="Z20"/>
  <c r="Z21"/>
  <c r="Z22"/>
  <c r="Z23"/>
  <c r="Z24"/>
  <c r="Z25"/>
  <c r="Z26"/>
  <c r="Z27"/>
  <c r="Z28"/>
  <c r="Z29"/>
  <c r="Z30"/>
  <c r="Z31"/>
  <c r="Z32"/>
  <c r="Z33"/>
  <c r="Z34"/>
  <c r="Z35"/>
  <c r="Z36"/>
  <c r="Z37"/>
  <c r="Z38"/>
  <c r="Z39"/>
  <c r="Z40"/>
  <c r="Z41"/>
  <c r="Z42"/>
  <c r="Z43"/>
  <c r="Z44"/>
  <c r="Z45"/>
  <c r="Z46"/>
  <c r="Z47"/>
  <c r="Z48"/>
  <c r="I58"/>
  <c r="I59"/>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J48"/>
  <c r="I60"/>
  <c r="I61"/>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S48"/>
  <c r="I62"/>
  <c r="I63"/>
  <c r="V10"/>
  <c r="V11"/>
  <c r="V12"/>
  <c r="V13"/>
  <c r="V14"/>
  <c r="V15"/>
  <c r="V16"/>
  <c r="V17"/>
  <c r="V18"/>
  <c r="V19"/>
  <c r="V20"/>
  <c r="V21"/>
  <c r="V22"/>
  <c r="V23"/>
  <c r="V24"/>
  <c r="V25"/>
  <c r="V26"/>
  <c r="V27"/>
  <c r="V28"/>
  <c r="V29"/>
  <c r="V30"/>
  <c r="V31"/>
  <c r="V32"/>
  <c r="V33"/>
  <c r="V34"/>
  <c r="V35"/>
  <c r="V36"/>
  <c r="V37"/>
  <c r="V38"/>
  <c r="V39"/>
  <c r="V40"/>
  <c r="V41"/>
  <c r="V42"/>
  <c r="V43"/>
  <c r="V44"/>
  <c r="V45"/>
  <c r="V46"/>
  <c r="V47"/>
  <c r="V48"/>
  <c r="J57"/>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J58"/>
  <c r="J59"/>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J60"/>
  <c r="J61"/>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J62"/>
  <c r="J63"/>
  <c r="W10"/>
  <c r="W11"/>
  <c r="W12"/>
  <c r="W13"/>
  <c r="W14"/>
  <c r="W15"/>
  <c r="W16"/>
  <c r="W17"/>
  <c r="W18"/>
  <c r="W19"/>
  <c r="W20"/>
  <c r="W21"/>
  <c r="W22"/>
  <c r="W23"/>
  <c r="W24"/>
  <c r="W25"/>
  <c r="W26"/>
  <c r="W27"/>
  <c r="W28"/>
  <c r="W29"/>
  <c r="W30"/>
  <c r="W31"/>
  <c r="W32"/>
  <c r="W33"/>
  <c r="W34"/>
  <c r="W35"/>
  <c r="W36"/>
  <c r="W37"/>
  <c r="W38"/>
  <c r="W39"/>
  <c r="W40"/>
  <c r="W41"/>
  <c r="W42"/>
  <c r="W43"/>
  <c r="W44"/>
  <c r="W45"/>
  <c r="W46"/>
  <c r="W47"/>
  <c r="W48"/>
  <c r="K57"/>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K58"/>
  <c r="K59"/>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6"/>
  <c r="AL47"/>
  <c r="AL48"/>
  <c r="K60"/>
  <c r="K61"/>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K62"/>
  <c r="K63"/>
  <c r="X10"/>
  <c r="X11"/>
  <c r="X12"/>
  <c r="X13"/>
  <c r="X14"/>
  <c r="X15"/>
  <c r="X16"/>
  <c r="X17"/>
  <c r="X18"/>
  <c r="X19"/>
  <c r="X20"/>
  <c r="X21"/>
  <c r="X22"/>
  <c r="X23"/>
  <c r="X24"/>
  <c r="X25"/>
  <c r="X26"/>
  <c r="X27"/>
  <c r="X28"/>
  <c r="X29"/>
  <c r="X30"/>
  <c r="X31"/>
  <c r="X32"/>
  <c r="X33"/>
  <c r="X34"/>
  <c r="X35"/>
  <c r="X36"/>
  <c r="X37"/>
  <c r="X38"/>
  <c r="X39"/>
  <c r="X40"/>
  <c r="X41"/>
  <c r="X42"/>
  <c r="X43"/>
  <c r="X44"/>
  <c r="X45"/>
  <c r="X46"/>
  <c r="X47"/>
  <c r="X48"/>
  <c r="L57"/>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L58"/>
  <c r="L59"/>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AM48"/>
  <c r="L60"/>
  <c r="L61"/>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L62"/>
  <c r="L63"/>
  <c r="M63"/>
  <c r="P161"/>
  <c r="J160"/>
  <c r="J159"/>
  <c r="J158"/>
  <c r="P134"/>
  <c r="P137"/>
  <c r="O134"/>
  <c r="O137"/>
  <c r="N134"/>
  <c r="N137"/>
  <c r="M134"/>
  <c r="M137"/>
  <c r="L134"/>
  <c r="L137"/>
  <c r="K134"/>
  <c r="K137"/>
  <c r="J134"/>
  <c r="J137"/>
  <c r="I134"/>
  <c r="I137"/>
  <c r="H134"/>
  <c r="H137"/>
  <c r="G134"/>
  <c r="G137"/>
  <c r="P131"/>
  <c r="O131"/>
  <c r="N131"/>
  <c r="M131"/>
  <c r="L131"/>
  <c r="K131"/>
  <c r="J131"/>
  <c r="I131"/>
  <c r="H131"/>
  <c r="G131"/>
  <c r="P123"/>
  <c r="P126"/>
  <c r="O123"/>
  <c r="O126"/>
  <c r="N123"/>
  <c r="N126"/>
  <c r="M123"/>
  <c r="M126"/>
  <c r="L123"/>
  <c r="L126"/>
  <c r="K123"/>
  <c r="K126"/>
  <c r="J123"/>
  <c r="J126"/>
  <c r="I123"/>
  <c r="I126"/>
  <c r="H123"/>
  <c r="H126"/>
  <c r="G123"/>
  <c r="G126"/>
  <c r="P120"/>
  <c r="O120"/>
  <c r="N120"/>
  <c r="M120"/>
  <c r="L120"/>
  <c r="K120"/>
  <c r="J120"/>
  <c r="I120"/>
  <c r="H120"/>
  <c r="G120"/>
  <c r="P112"/>
  <c r="P115"/>
  <c r="O112"/>
  <c r="O115"/>
  <c r="N112"/>
  <c r="N115"/>
  <c r="M112"/>
  <c r="M115"/>
  <c r="L112"/>
  <c r="L115"/>
  <c r="K112"/>
  <c r="K115"/>
  <c r="J112"/>
  <c r="J115"/>
  <c r="I112"/>
  <c r="I115"/>
  <c r="H112"/>
  <c r="H115"/>
  <c r="G112"/>
  <c r="G115"/>
  <c r="P109"/>
  <c r="O109"/>
  <c r="N109"/>
  <c r="M109"/>
  <c r="L109"/>
  <c r="K109"/>
  <c r="J109"/>
  <c r="I109"/>
  <c r="H109"/>
  <c r="G109"/>
  <c r="K10"/>
  <c r="L10"/>
  <c r="K11"/>
  <c r="L11"/>
  <c r="K12"/>
  <c r="L12"/>
  <c r="K13"/>
  <c r="L13"/>
  <c r="K14"/>
  <c r="L14"/>
  <c r="K15"/>
  <c r="L15"/>
  <c r="K16"/>
  <c r="L16"/>
  <c r="K17"/>
  <c r="L17"/>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L48"/>
  <c r="L49"/>
  <c r="G102"/>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W48"/>
  <c r="Y92"/>
  <c r="CB10"/>
  <c r="CB11"/>
  <c r="CB12"/>
  <c r="CB13"/>
  <c r="CB14"/>
  <c r="CB15"/>
  <c r="CB16"/>
  <c r="CB17"/>
  <c r="CB18"/>
  <c r="CB19"/>
  <c r="CB20"/>
  <c r="CB21"/>
  <c r="CB22"/>
  <c r="CB23"/>
  <c r="CB24"/>
  <c r="CB25"/>
  <c r="CB26"/>
  <c r="CB27"/>
  <c r="CB28"/>
  <c r="CB29"/>
  <c r="CB30"/>
  <c r="CB31"/>
  <c r="CB32"/>
  <c r="CB33"/>
  <c r="CB34"/>
  <c r="CB35"/>
  <c r="CB36"/>
  <c r="CB37"/>
  <c r="CB38"/>
  <c r="CB39"/>
  <c r="CB40"/>
  <c r="CB41"/>
  <c r="CB42"/>
  <c r="CB43"/>
  <c r="CB44"/>
  <c r="CB45"/>
  <c r="CB46"/>
  <c r="CB47"/>
  <c r="CB48"/>
  <c r="Y93"/>
  <c r="Y94"/>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L48"/>
  <c r="Y95"/>
  <c r="Y96"/>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V48"/>
  <c r="Y97"/>
  <c r="Y98"/>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X48"/>
  <c r="Z92"/>
  <c r="CC10"/>
  <c r="CC11"/>
  <c r="CC12"/>
  <c r="CC13"/>
  <c r="CC14"/>
  <c r="CC15"/>
  <c r="CC16"/>
  <c r="CC17"/>
  <c r="CC18"/>
  <c r="CC19"/>
  <c r="CC20"/>
  <c r="CC21"/>
  <c r="CC22"/>
  <c r="CC23"/>
  <c r="CC24"/>
  <c r="CC25"/>
  <c r="CC26"/>
  <c r="CC27"/>
  <c r="CC28"/>
  <c r="CC29"/>
  <c r="CC30"/>
  <c r="CC31"/>
  <c r="CC32"/>
  <c r="CC33"/>
  <c r="CC34"/>
  <c r="CC35"/>
  <c r="CC36"/>
  <c r="CC37"/>
  <c r="CC38"/>
  <c r="CC39"/>
  <c r="CC40"/>
  <c r="CC41"/>
  <c r="CC42"/>
  <c r="CC43"/>
  <c r="CC44"/>
  <c r="CC45"/>
  <c r="CC46"/>
  <c r="CC47"/>
  <c r="CC48"/>
  <c r="Z93"/>
  <c r="Z94"/>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CM48"/>
  <c r="Z95"/>
  <c r="Z96"/>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W48"/>
  <c r="Z97"/>
  <c r="Z98"/>
  <c r="BY10"/>
  <c r="BY11"/>
  <c r="BY12"/>
  <c r="BY13"/>
  <c r="BY14"/>
  <c r="BY15"/>
  <c r="BY16"/>
  <c r="BY17"/>
  <c r="BY18"/>
  <c r="BY19"/>
  <c r="BY20"/>
  <c r="BY21"/>
  <c r="BY22"/>
  <c r="BY23"/>
  <c r="BY24"/>
  <c r="BY25"/>
  <c r="BY26"/>
  <c r="BY27"/>
  <c r="BY28"/>
  <c r="BY29"/>
  <c r="BY30"/>
  <c r="BY31"/>
  <c r="BY32"/>
  <c r="BY33"/>
  <c r="BY34"/>
  <c r="BY35"/>
  <c r="BY36"/>
  <c r="BY37"/>
  <c r="BY38"/>
  <c r="BY39"/>
  <c r="BY40"/>
  <c r="BY41"/>
  <c r="BY42"/>
  <c r="BY43"/>
  <c r="BY44"/>
  <c r="BY45"/>
  <c r="BY46"/>
  <c r="BY47"/>
  <c r="BY48"/>
  <c r="AA92"/>
  <c r="CD10"/>
  <c r="CD11"/>
  <c r="CD12"/>
  <c r="CD13"/>
  <c r="CD14"/>
  <c r="CD15"/>
  <c r="CD16"/>
  <c r="CD17"/>
  <c r="CD18"/>
  <c r="CD19"/>
  <c r="CD20"/>
  <c r="CD21"/>
  <c r="CD22"/>
  <c r="CD23"/>
  <c r="CD24"/>
  <c r="CD25"/>
  <c r="CD26"/>
  <c r="CD27"/>
  <c r="CD28"/>
  <c r="CD29"/>
  <c r="CD30"/>
  <c r="CD31"/>
  <c r="CD32"/>
  <c r="CD33"/>
  <c r="CD34"/>
  <c r="CD35"/>
  <c r="CD36"/>
  <c r="CD37"/>
  <c r="CD38"/>
  <c r="CD39"/>
  <c r="CD40"/>
  <c r="CD41"/>
  <c r="CD42"/>
  <c r="CD43"/>
  <c r="CD44"/>
  <c r="CD45"/>
  <c r="CD46"/>
  <c r="CD47"/>
  <c r="CD48"/>
  <c r="AA93"/>
  <c r="AA94"/>
  <c r="CN10"/>
  <c r="CN11"/>
  <c r="CN12"/>
  <c r="CN13"/>
  <c r="CN14"/>
  <c r="CN15"/>
  <c r="CN16"/>
  <c r="CN17"/>
  <c r="CN18"/>
  <c r="CN19"/>
  <c r="CN20"/>
  <c r="CN21"/>
  <c r="CN22"/>
  <c r="CN23"/>
  <c r="CN24"/>
  <c r="CN25"/>
  <c r="CN26"/>
  <c r="CN27"/>
  <c r="CN28"/>
  <c r="CN29"/>
  <c r="CN30"/>
  <c r="CN31"/>
  <c r="CN32"/>
  <c r="CN33"/>
  <c r="CN34"/>
  <c r="CN35"/>
  <c r="CN36"/>
  <c r="CN37"/>
  <c r="CN38"/>
  <c r="CN39"/>
  <c r="CN40"/>
  <c r="CN41"/>
  <c r="CN42"/>
  <c r="CN43"/>
  <c r="CN44"/>
  <c r="CN45"/>
  <c r="CN46"/>
  <c r="CN47"/>
  <c r="CN48"/>
  <c r="AA95"/>
  <c r="AA96"/>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X48"/>
  <c r="AA97"/>
  <c r="AA98"/>
  <c r="BZ10"/>
  <c r="BZ11"/>
  <c r="BZ12"/>
  <c r="BZ13"/>
  <c r="BZ14"/>
  <c r="BZ15"/>
  <c r="BZ16"/>
  <c r="BZ17"/>
  <c r="BZ18"/>
  <c r="BZ19"/>
  <c r="BZ20"/>
  <c r="BZ21"/>
  <c r="BZ22"/>
  <c r="BZ23"/>
  <c r="BZ24"/>
  <c r="BZ25"/>
  <c r="BZ26"/>
  <c r="BZ27"/>
  <c r="BZ28"/>
  <c r="BZ29"/>
  <c r="BZ30"/>
  <c r="BZ31"/>
  <c r="BZ32"/>
  <c r="BZ33"/>
  <c r="BZ34"/>
  <c r="BZ35"/>
  <c r="BZ36"/>
  <c r="BZ37"/>
  <c r="BZ38"/>
  <c r="BZ39"/>
  <c r="BZ40"/>
  <c r="BZ41"/>
  <c r="BZ42"/>
  <c r="BZ43"/>
  <c r="BZ44"/>
  <c r="BZ45"/>
  <c r="BZ46"/>
  <c r="BZ47"/>
  <c r="BZ48"/>
  <c r="AB92"/>
  <c r="CE10"/>
  <c r="CE11"/>
  <c r="CE12"/>
  <c r="CE13"/>
  <c r="CE14"/>
  <c r="CE15"/>
  <c r="CE16"/>
  <c r="CE17"/>
  <c r="CE18"/>
  <c r="CE19"/>
  <c r="CE20"/>
  <c r="CE21"/>
  <c r="CE22"/>
  <c r="CE23"/>
  <c r="CE24"/>
  <c r="CE25"/>
  <c r="CE26"/>
  <c r="CE27"/>
  <c r="CE28"/>
  <c r="CE29"/>
  <c r="CE30"/>
  <c r="CE31"/>
  <c r="CE32"/>
  <c r="CE33"/>
  <c r="CE34"/>
  <c r="CE35"/>
  <c r="CE36"/>
  <c r="CE37"/>
  <c r="CE38"/>
  <c r="CE39"/>
  <c r="CE40"/>
  <c r="CE41"/>
  <c r="CE42"/>
  <c r="CE43"/>
  <c r="CE44"/>
  <c r="CE45"/>
  <c r="CE46"/>
  <c r="CE47"/>
  <c r="CE48"/>
  <c r="AB93"/>
  <c r="AB94"/>
  <c r="CO10"/>
  <c r="CO11"/>
  <c r="CO12"/>
  <c r="CO13"/>
  <c r="CO14"/>
  <c r="CO15"/>
  <c r="CO16"/>
  <c r="CO17"/>
  <c r="CO18"/>
  <c r="CO19"/>
  <c r="CO20"/>
  <c r="CO21"/>
  <c r="CO22"/>
  <c r="CO23"/>
  <c r="CO24"/>
  <c r="CO25"/>
  <c r="CO26"/>
  <c r="CO27"/>
  <c r="CO28"/>
  <c r="CO29"/>
  <c r="CO30"/>
  <c r="CO31"/>
  <c r="CO32"/>
  <c r="CO33"/>
  <c r="CO34"/>
  <c r="CO35"/>
  <c r="CO36"/>
  <c r="CO37"/>
  <c r="CO38"/>
  <c r="CO39"/>
  <c r="CO40"/>
  <c r="CO41"/>
  <c r="CO42"/>
  <c r="CO43"/>
  <c r="CO44"/>
  <c r="CO45"/>
  <c r="CO46"/>
  <c r="CO47"/>
  <c r="CO48"/>
  <c r="AB95"/>
  <c r="AB96"/>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Y48"/>
  <c r="AB97"/>
  <c r="AB98"/>
  <c r="CA10"/>
  <c r="CA11"/>
  <c r="CA12"/>
  <c r="CA13"/>
  <c r="CA14"/>
  <c r="CA15"/>
  <c r="CA16"/>
  <c r="CA17"/>
  <c r="CA18"/>
  <c r="CA19"/>
  <c r="CA20"/>
  <c r="CA21"/>
  <c r="CA22"/>
  <c r="CA23"/>
  <c r="CA24"/>
  <c r="CA25"/>
  <c r="CA26"/>
  <c r="CA27"/>
  <c r="CA28"/>
  <c r="CA29"/>
  <c r="CA30"/>
  <c r="CA31"/>
  <c r="CA32"/>
  <c r="CA33"/>
  <c r="CA34"/>
  <c r="CA35"/>
  <c r="CA36"/>
  <c r="CA37"/>
  <c r="CA38"/>
  <c r="CA39"/>
  <c r="CA40"/>
  <c r="CA41"/>
  <c r="CA42"/>
  <c r="CA43"/>
  <c r="CA44"/>
  <c r="CA45"/>
  <c r="CA46"/>
  <c r="CA47"/>
  <c r="CA48"/>
  <c r="AC92"/>
  <c r="CF10"/>
  <c r="CF11"/>
  <c r="CF12"/>
  <c r="CF13"/>
  <c r="CF14"/>
  <c r="CF15"/>
  <c r="CF16"/>
  <c r="CF17"/>
  <c r="CF18"/>
  <c r="CF19"/>
  <c r="CF20"/>
  <c r="CF21"/>
  <c r="CF22"/>
  <c r="CF23"/>
  <c r="CF24"/>
  <c r="CF25"/>
  <c r="CF26"/>
  <c r="CF27"/>
  <c r="CF28"/>
  <c r="CF29"/>
  <c r="CF30"/>
  <c r="CF31"/>
  <c r="CF32"/>
  <c r="CF33"/>
  <c r="CF34"/>
  <c r="CF35"/>
  <c r="CF36"/>
  <c r="CF37"/>
  <c r="CF38"/>
  <c r="CF39"/>
  <c r="CF40"/>
  <c r="CF41"/>
  <c r="CF42"/>
  <c r="CF43"/>
  <c r="CF44"/>
  <c r="CF45"/>
  <c r="CF46"/>
  <c r="CF47"/>
  <c r="CF48"/>
  <c r="AC93"/>
  <c r="AC94"/>
  <c r="CP10"/>
  <c r="CP11"/>
  <c r="CP12"/>
  <c r="CP13"/>
  <c r="CP14"/>
  <c r="CP15"/>
  <c r="CP16"/>
  <c r="CP17"/>
  <c r="CP18"/>
  <c r="CP19"/>
  <c r="CP20"/>
  <c r="CP21"/>
  <c r="CP22"/>
  <c r="CP23"/>
  <c r="CP24"/>
  <c r="CP25"/>
  <c r="CP26"/>
  <c r="CP27"/>
  <c r="CP28"/>
  <c r="CP29"/>
  <c r="CP30"/>
  <c r="CP31"/>
  <c r="CP32"/>
  <c r="CP33"/>
  <c r="CP34"/>
  <c r="CP35"/>
  <c r="CP36"/>
  <c r="CP37"/>
  <c r="CP38"/>
  <c r="CP39"/>
  <c r="CP40"/>
  <c r="CP41"/>
  <c r="CP42"/>
  <c r="CP43"/>
  <c r="CP44"/>
  <c r="CP45"/>
  <c r="CP46"/>
  <c r="CP47"/>
  <c r="CP48"/>
  <c r="AC95"/>
  <c r="AC96"/>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CZ48"/>
  <c r="AC97"/>
  <c r="AC98"/>
  <c r="AD98"/>
  <c r="H92"/>
  <c r="H93"/>
  <c r="H94"/>
  <c r="H95"/>
  <c r="H96"/>
  <c r="H97"/>
  <c r="H98"/>
  <c r="I92"/>
  <c r="I93"/>
  <c r="I94"/>
  <c r="I95"/>
  <c r="I96"/>
  <c r="I97"/>
  <c r="I98"/>
  <c r="J92"/>
  <c r="J93"/>
  <c r="J94"/>
  <c r="J95"/>
  <c r="J96"/>
  <c r="J97"/>
  <c r="J98"/>
  <c r="K92"/>
  <c r="K93"/>
  <c r="K94"/>
  <c r="K95"/>
  <c r="K96"/>
  <c r="K97"/>
  <c r="K98"/>
  <c r="L92"/>
  <c r="L93"/>
  <c r="L94"/>
  <c r="L95"/>
  <c r="L96"/>
  <c r="L97"/>
  <c r="L98"/>
  <c r="M98"/>
  <c r="Q98"/>
  <c r="AD97"/>
  <c r="M97"/>
  <c r="Q97"/>
  <c r="AD96"/>
  <c r="M96"/>
  <c r="Q96"/>
  <c r="AD95"/>
  <c r="M95"/>
  <c r="Q95"/>
  <c r="AD94"/>
  <c r="M94"/>
  <c r="Q94"/>
  <c r="AD93"/>
  <c r="M93"/>
  <c r="Q93"/>
  <c r="AD92"/>
  <c r="M92"/>
  <c r="Q92"/>
  <c r="FD10"/>
  <c r="FD11"/>
  <c r="FD12"/>
  <c r="FD13"/>
  <c r="FD14"/>
  <c r="FD15"/>
  <c r="FD16"/>
  <c r="FD17"/>
  <c r="FD18"/>
  <c r="FD19"/>
  <c r="FD20"/>
  <c r="FD21"/>
  <c r="FD22"/>
  <c r="FD23"/>
  <c r="FD24"/>
  <c r="FD25"/>
  <c r="FD26"/>
  <c r="FD27"/>
  <c r="FD28"/>
  <c r="FD29"/>
  <c r="FD30"/>
  <c r="FD31"/>
  <c r="FD32"/>
  <c r="FD33"/>
  <c r="FD34"/>
  <c r="FD35"/>
  <c r="FD36"/>
  <c r="FD37"/>
  <c r="FD38"/>
  <c r="FD39"/>
  <c r="FD40"/>
  <c r="FD41"/>
  <c r="FD42"/>
  <c r="FD43"/>
  <c r="FD44"/>
  <c r="FD45"/>
  <c r="FD46"/>
  <c r="FD47"/>
  <c r="FD48"/>
  <c r="Y89"/>
  <c r="FE10"/>
  <c r="FE11"/>
  <c r="FE12"/>
  <c r="FE13"/>
  <c r="FE14"/>
  <c r="FE15"/>
  <c r="FE16"/>
  <c r="FE17"/>
  <c r="FE18"/>
  <c r="FE19"/>
  <c r="FE20"/>
  <c r="FE21"/>
  <c r="FE22"/>
  <c r="FE23"/>
  <c r="FE24"/>
  <c r="FE25"/>
  <c r="FE26"/>
  <c r="FE27"/>
  <c r="FE28"/>
  <c r="FE29"/>
  <c r="FE30"/>
  <c r="FE31"/>
  <c r="FE32"/>
  <c r="FE33"/>
  <c r="FE34"/>
  <c r="FE35"/>
  <c r="FE36"/>
  <c r="FE37"/>
  <c r="FE38"/>
  <c r="FE39"/>
  <c r="FE40"/>
  <c r="FE41"/>
  <c r="FE42"/>
  <c r="FE43"/>
  <c r="FE44"/>
  <c r="FE45"/>
  <c r="FE46"/>
  <c r="FE47"/>
  <c r="FE48"/>
  <c r="Z89"/>
  <c r="FF10"/>
  <c r="FF11"/>
  <c r="FF12"/>
  <c r="FF13"/>
  <c r="FF14"/>
  <c r="FF15"/>
  <c r="FF16"/>
  <c r="FF17"/>
  <c r="FF18"/>
  <c r="FF19"/>
  <c r="FF20"/>
  <c r="FF21"/>
  <c r="FF22"/>
  <c r="FF23"/>
  <c r="FF24"/>
  <c r="FF25"/>
  <c r="FF26"/>
  <c r="FF27"/>
  <c r="FF28"/>
  <c r="FF29"/>
  <c r="FF30"/>
  <c r="FF31"/>
  <c r="FF32"/>
  <c r="FF33"/>
  <c r="FF34"/>
  <c r="FF35"/>
  <c r="FF36"/>
  <c r="FF37"/>
  <c r="FF38"/>
  <c r="FF39"/>
  <c r="FF40"/>
  <c r="FF41"/>
  <c r="FF42"/>
  <c r="FF43"/>
  <c r="FF44"/>
  <c r="FF45"/>
  <c r="FF46"/>
  <c r="FF47"/>
  <c r="FF48"/>
  <c r="AA89"/>
  <c r="FG10"/>
  <c r="FG11"/>
  <c r="FG12"/>
  <c r="FG13"/>
  <c r="FG14"/>
  <c r="FG15"/>
  <c r="FG16"/>
  <c r="FG17"/>
  <c r="FG18"/>
  <c r="FG19"/>
  <c r="FG20"/>
  <c r="FG21"/>
  <c r="FG22"/>
  <c r="FG23"/>
  <c r="FG24"/>
  <c r="FG25"/>
  <c r="FG26"/>
  <c r="FG27"/>
  <c r="FG28"/>
  <c r="FG29"/>
  <c r="FG30"/>
  <c r="FG31"/>
  <c r="FG32"/>
  <c r="FG33"/>
  <c r="FG34"/>
  <c r="FG35"/>
  <c r="FG36"/>
  <c r="FG37"/>
  <c r="FG38"/>
  <c r="FG39"/>
  <c r="FG40"/>
  <c r="FG41"/>
  <c r="FG42"/>
  <c r="FG43"/>
  <c r="FG44"/>
  <c r="FG45"/>
  <c r="FG46"/>
  <c r="FG47"/>
  <c r="FG48"/>
  <c r="AB89"/>
  <c r="FH10"/>
  <c r="FH11"/>
  <c r="FH12"/>
  <c r="FH13"/>
  <c r="FH14"/>
  <c r="FH15"/>
  <c r="FH16"/>
  <c r="FH17"/>
  <c r="FH18"/>
  <c r="FH19"/>
  <c r="FH20"/>
  <c r="FH21"/>
  <c r="FH22"/>
  <c r="FH23"/>
  <c r="FH24"/>
  <c r="FH25"/>
  <c r="FH26"/>
  <c r="FH27"/>
  <c r="FH28"/>
  <c r="FH29"/>
  <c r="FH30"/>
  <c r="FH31"/>
  <c r="FH32"/>
  <c r="FH33"/>
  <c r="FH34"/>
  <c r="FH35"/>
  <c r="FH36"/>
  <c r="FH37"/>
  <c r="FH38"/>
  <c r="FH39"/>
  <c r="FH40"/>
  <c r="FH41"/>
  <c r="FH42"/>
  <c r="FH43"/>
  <c r="FH44"/>
  <c r="FH45"/>
  <c r="FH46"/>
  <c r="FH47"/>
  <c r="FH48"/>
  <c r="AC89"/>
  <c r="AD89"/>
  <c r="H89"/>
  <c r="I89"/>
  <c r="J89"/>
  <c r="K89"/>
  <c r="L89"/>
  <c r="M89"/>
  <c r="Q89"/>
  <c r="FI10"/>
  <c r="FI11"/>
  <c r="FI12"/>
  <c r="FI13"/>
  <c r="FI14"/>
  <c r="FI15"/>
  <c r="FI16"/>
  <c r="FI17"/>
  <c r="FI18"/>
  <c r="FI19"/>
  <c r="FI20"/>
  <c r="FI21"/>
  <c r="FI22"/>
  <c r="FI23"/>
  <c r="FI24"/>
  <c r="FI25"/>
  <c r="FI26"/>
  <c r="FI27"/>
  <c r="FI28"/>
  <c r="FI29"/>
  <c r="FI30"/>
  <c r="FI31"/>
  <c r="FI32"/>
  <c r="FI33"/>
  <c r="FI34"/>
  <c r="FI35"/>
  <c r="FI36"/>
  <c r="FI37"/>
  <c r="FI38"/>
  <c r="FI39"/>
  <c r="FI40"/>
  <c r="FI41"/>
  <c r="FI42"/>
  <c r="FI43"/>
  <c r="FI44"/>
  <c r="FI45"/>
  <c r="FI46"/>
  <c r="FI47"/>
  <c r="FI48"/>
  <c r="Y88"/>
  <c r="FJ10"/>
  <c r="FJ11"/>
  <c r="FJ12"/>
  <c r="FJ13"/>
  <c r="FJ14"/>
  <c r="FJ15"/>
  <c r="FJ16"/>
  <c r="FJ17"/>
  <c r="FJ18"/>
  <c r="FJ19"/>
  <c r="FJ20"/>
  <c r="FJ21"/>
  <c r="FJ22"/>
  <c r="FJ23"/>
  <c r="FJ24"/>
  <c r="FJ25"/>
  <c r="FJ26"/>
  <c r="FJ27"/>
  <c r="FJ28"/>
  <c r="FJ29"/>
  <c r="FJ30"/>
  <c r="FJ31"/>
  <c r="FJ32"/>
  <c r="FJ33"/>
  <c r="FJ34"/>
  <c r="FJ35"/>
  <c r="FJ36"/>
  <c r="FJ37"/>
  <c r="FJ38"/>
  <c r="FJ39"/>
  <c r="FJ40"/>
  <c r="FJ41"/>
  <c r="FJ42"/>
  <c r="FJ43"/>
  <c r="FJ44"/>
  <c r="FJ45"/>
  <c r="FJ46"/>
  <c r="FJ47"/>
  <c r="FJ48"/>
  <c r="Z88"/>
  <c r="FK10"/>
  <c r="FK11"/>
  <c r="FK12"/>
  <c r="FK13"/>
  <c r="FK14"/>
  <c r="FK15"/>
  <c r="FK16"/>
  <c r="FK17"/>
  <c r="FK18"/>
  <c r="FK19"/>
  <c r="FK20"/>
  <c r="FK21"/>
  <c r="FK22"/>
  <c r="FK23"/>
  <c r="FK24"/>
  <c r="FK25"/>
  <c r="FK26"/>
  <c r="FK27"/>
  <c r="FK28"/>
  <c r="FK29"/>
  <c r="FK30"/>
  <c r="FK31"/>
  <c r="FK32"/>
  <c r="FK33"/>
  <c r="FK34"/>
  <c r="FK35"/>
  <c r="FK36"/>
  <c r="FK37"/>
  <c r="FK38"/>
  <c r="FK39"/>
  <c r="FK40"/>
  <c r="FK41"/>
  <c r="FK42"/>
  <c r="FK43"/>
  <c r="FK44"/>
  <c r="FK45"/>
  <c r="FK46"/>
  <c r="FK47"/>
  <c r="FK48"/>
  <c r="AA88"/>
  <c r="FL10"/>
  <c r="FL11"/>
  <c r="FL12"/>
  <c r="FL13"/>
  <c r="FL14"/>
  <c r="FL15"/>
  <c r="FL16"/>
  <c r="FL17"/>
  <c r="FL18"/>
  <c r="FL19"/>
  <c r="FL20"/>
  <c r="FL21"/>
  <c r="FL22"/>
  <c r="FL23"/>
  <c r="FL24"/>
  <c r="FL25"/>
  <c r="FL26"/>
  <c r="FL27"/>
  <c r="FL28"/>
  <c r="FL29"/>
  <c r="FL30"/>
  <c r="FL31"/>
  <c r="FL32"/>
  <c r="FL33"/>
  <c r="FL34"/>
  <c r="FL35"/>
  <c r="FL36"/>
  <c r="FL37"/>
  <c r="FL38"/>
  <c r="FL39"/>
  <c r="FL40"/>
  <c r="FL41"/>
  <c r="FL42"/>
  <c r="FL43"/>
  <c r="FL44"/>
  <c r="FL45"/>
  <c r="FL46"/>
  <c r="FL47"/>
  <c r="FL48"/>
  <c r="AB88"/>
  <c r="FM10"/>
  <c r="FM11"/>
  <c r="FM12"/>
  <c r="FM13"/>
  <c r="FM14"/>
  <c r="FM15"/>
  <c r="FM16"/>
  <c r="FM17"/>
  <c r="FM18"/>
  <c r="FM19"/>
  <c r="FM20"/>
  <c r="FM21"/>
  <c r="FM22"/>
  <c r="FM23"/>
  <c r="FM24"/>
  <c r="FM25"/>
  <c r="FM26"/>
  <c r="FM27"/>
  <c r="FM28"/>
  <c r="FM29"/>
  <c r="FM30"/>
  <c r="FM31"/>
  <c r="FM32"/>
  <c r="FM33"/>
  <c r="FM34"/>
  <c r="FM35"/>
  <c r="FM36"/>
  <c r="FM37"/>
  <c r="FM38"/>
  <c r="FM39"/>
  <c r="FM40"/>
  <c r="FM41"/>
  <c r="FM42"/>
  <c r="FM43"/>
  <c r="FM44"/>
  <c r="FM45"/>
  <c r="FM46"/>
  <c r="FM47"/>
  <c r="FM48"/>
  <c r="AC88"/>
  <c r="AD88"/>
  <c r="H88"/>
  <c r="I88"/>
  <c r="J88"/>
  <c r="K88"/>
  <c r="L88"/>
  <c r="M88"/>
  <c r="Q88"/>
  <c r="FN10"/>
  <c r="FN11"/>
  <c r="FN12"/>
  <c r="FN13"/>
  <c r="FN14"/>
  <c r="FN15"/>
  <c r="FN16"/>
  <c r="FN17"/>
  <c r="FN18"/>
  <c r="FN19"/>
  <c r="FN20"/>
  <c r="FN21"/>
  <c r="FN22"/>
  <c r="FN23"/>
  <c r="FN24"/>
  <c r="FN25"/>
  <c r="FN26"/>
  <c r="FN27"/>
  <c r="FN28"/>
  <c r="FN29"/>
  <c r="FN30"/>
  <c r="FN31"/>
  <c r="FN32"/>
  <c r="FN33"/>
  <c r="FN34"/>
  <c r="FN35"/>
  <c r="FN36"/>
  <c r="FN37"/>
  <c r="FN38"/>
  <c r="FN39"/>
  <c r="FN40"/>
  <c r="FN41"/>
  <c r="FN42"/>
  <c r="FN43"/>
  <c r="FN44"/>
  <c r="FN45"/>
  <c r="FN46"/>
  <c r="FN47"/>
  <c r="FN48"/>
  <c r="Y8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4"/>
  <c r="FO45"/>
  <c r="FO46"/>
  <c r="FO47"/>
  <c r="FO48"/>
  <c r="Z8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4"/>
  <c r="FP45"/>
  <c r="FP46"/>
  <c r="FP47"/>
  <c r="FP48"/>
  <c r="AA8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4"/>
  <c r="FQ45"/>
  <c r="FQ46"/>
  <c r="FQ47"/>
  <c r="FQ48"/>
  <c r="AB8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4"/>
  <c r="FR45"/>
  <c r="FR46"/>
  <c r="FR47"/>
  <c r="FR48"/>
  <c r="AC87"/>
  <c r="AD87"/>
  <c r="H87"/>
  <c r="I87"/>
  <c r="J87"/>
  <c r="K87"/>
  <c r="L87"/>
  <c r="M87"/>
  <c r="Q8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4"/>
  <c r="EY45"/>
  <c r="EY46"/>
  <c r="EY47"/>
  <c r="EY48"/>
  <c r="Y86"/>
  <c r="EZ10"/>
  <c r="EZ11"/>
  <c r="EZ12"/>
  <c r="EZ13"/>
  <c r="EZ14"/>
  <c r="EZ15"/>
  <c r="EZ16"/>
  <c r="EZ17"/>
  <c r="EZ18"/>
  <c r="EZ19"/>
  <c r="EZ20"/>
  <c r="EZ21"/>
  <c r="EZ22"/>
  <c r="EZ23"/>
  <c r="EZ24"/>
  <c r="EZ25"/>
  <c r="EZ26"/>
  <c r="EZ27"/>
  <c r="EZ28"/>
  <c r="EZ29"/>
  <c r="EZ30"/>
  <c r="EZ31"/>
  <c r="EZ32"/>
  <c r="EZ33"/>
  <c r="EZ34"/>
  <c r="EZ35"/>
  <c r="EZ36"/>
  <c r="EZ37"/>
  <c r="EZ38"/>
  <c r="EZ39"/>
  <c r="EZ40"/>
  <c r="EZ41"/>
  <c r="EZ42"/>
  <c r="EZ43"/>
  <c r="EZ44"/>
  <c r="EZ45"/>
  <c r="EZ46"/>
  <c r="EZ47"/>
  <c r="EZ48"/>
  <c r="Z86"/>
  <c r="FA10"/>
  <c r="FA11"/>
  <c r="FA12"/>
  <c r="FA13"/>
  <c r="FA14"/>
  <c r="FA15"/>
  <c r="FA16"/>
  <c r="FA17"/>
  <c r="FA18"/>
  <c r="FA19"/>
  <c r="FA20"/>
  <c r="FA21"/>
  <c r="FA22"/>
  <c r="FA23"/>
  <c r="FA24"/>
  <c r="FA25"/>
  <c r="FA26"/>
  <c r="FA27"/>
  <c r="FA28"/>
  <c r="FA29"/>
  <c r="FA30"/>
  <c r="FA31"/>
  <c r="FA32"/>
  <c r="FA33"/>
  <c r="FA34"/>
  <c r="FA35"/>
  <c r="FA36"/>
  <c r="FA37"/>
  <c r="FA38"/>
  <c r="FA39"/>
  <c r="FA40"/>
  <c r="FA41"/>
  <c r="FA42"/>
  <c r="FA43"/>
  <c r="FA44"/>
  <c r="FA45"/>
  <c r="FA46"/>
  <c r="FA47"/>
  <c r="FA48"/>
  <c r="AA86"/>
  <c r="FB10"/>
  <c r="FB11"/>
  <c r="FB12"/>
  <c r="FB13"/>
  <c r="FB14"/>
  <c r="FB15"/>
  <c r="FB16"/>
  <c r="FB17"/>
  <c r="FB18"/>
  <c r="FB19"/>
  <c r="FB20"/>
  <c r="FB21"/>
  <c r="FB22"/>
  <c r="FB23"/>
  <c r="FB24"/>
  <c r="FB25"/>
  <c r="FB26"/>
  <c r="FB27"/>
  <c r="FB28"/>
  <c r="FB29"/>
  <c r="FB30"/>
  <c r="FB31"/>
  <c r="FB32"/>
  <c r="FB33"/>
  <c r="FB34"/>
  <c r="FB35"/>
  <c r="FB36"/>
  <c r="FB37"/>
  <c r="FB38"/>
  <c r="FB39"/>
  <c r="FB40"/>
  <c r="FB41"/>
  <c r="FB42"/>
  <c r="FB43"/>
  <c r="FB44"/>
  <c r="FB45"/>
  <c r="FB46"/>
  <c r="FB47"/>
  <c r="FB48"/>
  <c r="AB86"/>
  <c r="FC10"/>
  <c r="FC11"/>
  <c r="FC12"/>
  <c r="FC13"/>
  <c r="FC14"/>
  <c r="FC15"/>
  <c r="FC16"/>
  <c r="FC17"/>
  <c r="FC18"/>
  <c r="FC19"/>
  <c r="FC20"/>
  <c r="FC21"/>
  <c r="FC22"/>
  <c r="FC23"/>
  <c r="FC24"/>
  <c r="FC25"/>
  <c r="FC26"/>
  <c r="FC27"/>
  <c r="FC28"/>
  <c r="FC29"/>
  <c r="FC30"/>
  <c r="FC31"/>
  <c r="FC32"/>
  <c r="FC33"/>
  <c r="FC34"/>
  <c r="FC35"/>
  <c r="FC36"/>
  <c r="FC37"/>
  <c r="FC38"/>
  <c r="FC39"/>
  <c r="FC40"/>
  <c r="FC41"/>
  <c r="FC42"/>
  <c r="FC43"/>
  <c r="FC44"/>
  <c r="FC45"/>
  <c r="FC46"/>
  <c r="FC47"/>
  <c r="FC48"/>
  <c r="AC86"/>
  <c r="AD86"/>
  <c r="H86"/>
  <c r="I86"/>
  <c r="J86"/>
  <c r="K86"/>
  <c r="L86"/>
  <c r="M86"/>
  <c r="Q86"/>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T48"/>
  <c r="Y85"/>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EU48"/>
  <c r="Z85"/>
  <c r="EV10"/>
  <c r="EV11"/>
  <c r="EV12"/>
  <c r="EV13"/>
  <c r="EV14"/>
  <c r="EV15"/>
  <c r="EV16"/>
  <c r="EV17"/>
  <c r="EV18"/>
  <c r="EV19"/>
  <c r="EV20"/>
  <c r="EV21"/>
  <c r="EV22"/>
  <c r="EV23"/>
  <c r="EV24"/>
  <c r="EV25"/>
  <c r="EV26"/>
  <c r="EV27"/>
  <c r="EV28"/>
  <c r="EV29"/>
  <c r="EV30"/>
  <c r="EV31"/>
  <c r="EV32"/>
  <c r="EV33"/>
  <c r="EV34"/>
  <c r="EV35"/>
  <c r="EV36"/>
  <c r="EV37"/>
  <c r="EV38"/>
  <c r="EV39"/>
  <c r="EV40"/>
  <c r="EV41"/>
  <c r="EV42"/>
  <c r="EV43"/>
  <c r="EV44"/>
  <c r="EV45"/>
  <c r="EV46"/>
  <c r="EV47"/>
  <c r="EV48"/>
  <c r="AA85"/>
  <c r="EW10"/>
  <c r="EW11"/>
  <c r="EW12"/>
  <c r="EW13"/>
  <c r="EW14"/>
  <c r="EW15"/>
  <c r="EW16"/>
  <c r="EW17"/>
  <c r="EW18"/>
  <c r="EW19"/>
  <c r="EW20"/>
  <c r="EW21"/>
  <c r="EW22"/>
  <c r="EW23"/>
  <c r="EW24"/>
  <c r="EW25"/>
  <c r="EW26"/>
  <c r="EW27"/>
  <c r="EW28"/>
  <c r="EW29"/>
  <c r="EW30"/>
  <c r="EW31"/>
  <c r="EW32"/>
  <c r="EW33"/>
  <c r="EW34"/>
  <c r="EW35"/>
  <c r="EW36"/>
  <c r="EW37"/>
  <c r="EW38"/>
  <c r="EW39"/>
  <c r="EW40"/>
  <c r="EW41"/>
  <c r="EW42"/>
  <c r="EW43"/>
  <c r="EW44"/>
  <c r="EW45"/>
  <c r="EW46"/>
  <c r="EW47"/>
  <c r="EW48"/>
  <c r="AB85"/>
  <c r="EX10"/>
  <c r="EX11"/>
  <c r="EX12"/>
  <c r="EX13"/>
  <c r="EX14"/>
  <c r="EX15"/>
  <c r="EX16"/>
  <c r="EX17"/>
  <c r="EX18"/>
  <c r="EX19"/>
  <c r="EX20"/>
  <c r="EX21"/>
  <c r="EX22"/>
  <c r="EX23"/>
  <c r="EX24"/>
  <c r="EX25"/>
  <c r="EX26"/>
  <c r="EX27"/>
  <c r="EX28"/>
  <c r="EX29"/>
  <c r="EX30"/>
  <c r="EX31"/>
  <c r="EX32"/>
  <c r="EX33"/>
  <c r="EX34"/>
  <c r="EX35"/>
  <c r="EX36"/>
  <c r="EX37"/>
  <c r="EX38"/>
  <c r="EX39"/>
  <c r="EX40"/>
  <c r="EX41"/>
  <c r="EX42"/>
  <c r="EX43"/>
  <c r="EX44"/>
  <c r="EX45"/>
  <c r="EX46"/>
  <c r="EX47"/>
  <c r="EX48"/>
  <c r="AC85"/>
  <c r="AD85"/>
  <c r="H85"/>
  <c r="I85"/>
  <c r="J85"/>
  <c r="K85"/>
  <c r="L85"/>
  <c r="M85"/>
  <c r="Q85"/>
  <c r="M83"/>
  <c r="M82"/>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E48"/>
  <c r="Y79"/>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J48"/>
  <c r="Y80"/>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O48"/>
  <c r="Y81"/>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F48"/>
  <c r="Z79"/>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K48"/>
  <c r="Z80"/>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P48"/>
  <c r="Z81"/>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G48"/>
  <c r="AA79"/>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L48"/>
  <c r="AA80"/>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Q48"/>
  <c r="AA81"/>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H48"/>
  <c r="AB79"/>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M48"/>
  <c r="AB80"/>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R48"/>
  <c r="AB81"/>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I48"/>
  <c r="AC79"/>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N48"/>
  <c r="AC80"/>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S48"/>
  <c r="AC81"/>
  <c r="AD81"/>
  <c r="H79"/>
  <c r="H80"/>
  <c r="H81"/>
  <c r="I79"/>
  <c r="I80"/>
  <c r="I81"/>
  <c r="J79"/>
  <c r="J80"/>
  <c r="J81"/>
  <c r="K79"/>
  <c r="K80"/>
  <c r="K81"/>
  <c r="L79"/>
  <c r="L80"/>
  <c r="L81"/>
  <c r="M81"/>
  <c r="Q81"/>
  <c r="AD80"/>
  <c r="M80"/>
  <c r="Q80"/>
  <c r="AD79"/>
  <c r="M79"/>
  <c r="Q79"/>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P48"/>
  <c r="Y76"/>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U48"/>
  <c r="Y7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Z48"/>
  <c r="Y78"/>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Q48"/>
  <c r="Z76"/>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DV48"/>
  <c r="Z7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A48"/>
  <c r="Z78"/>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R48"/>
  <c r="AA76"/>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DW48"/>
  <c r="AA7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EB48"/>
  <c r="AA78"/>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S48"/>
  <c r="AB76"/>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DX48"/>
  <c r="AB7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EC48"/>
  <c r="AB78"/>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T48"/>
  <c r="AC76"/>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DY48"/>
  <c r="AC7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ED48"/>
  <c r="AC78"/>
  <c r="AD78"/>
  <c r="H76"/>
  <c r="H77"/>
  <c r="H78"/>
  <c r="I76"/>
  <c r="I77"/>
  <c r="I78"/>
  <c r="J76"/>
  <c r="J77"/>
  <c r="J78"/>
  <c r="K76"/>
  <c r="K77"/>
  <c r="K78"/>
  <c r="L76"/>
  <c r="L77"/>
  <c r="L78"/>
  <c r="M78"/>
  <c r="Q78"/>
  <c r="AD77"/>
  <c r="M77"/>
  <c r="Q77"/>
  <c r="AD76"/>
  <c r="M76"/>
  <c r="Q76"/>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A48"/>
  <c r="Y73"/>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F48"/>
  <c r="Y74"/>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K48"/>
  <c r="Y75"/>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B48"/>
  <c r="Z73"/>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G48"/>
  <c r="Z74"/>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L48"/>
  <c r="Z75"/>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C48"/>
  <c r="AA73"/>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H48"/>
  <c r="AA74"/>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M48"/>
  <c r="AA75"/>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D48"/>
  <c r="AB73"/>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I48"/>
  <c r="AB74"/>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N48"/>
  <c r="AB75"/>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E48"/>
  <c r="AC73"/>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J48"/>
  <c r="AC74"/>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O48"/>
  <c r="AC75"/>
  <c r="AD75"/>
  <c r="H73"/>
  <c r="H74"/>
  <c r="H75"/>
  <c r="I73"/>
  <c r="I74"/>
  <c r="I75"/>
  <c r="J73"/>
  <c r="J74"/>
  <c r="J75"/>
  <c r="K73"/>
  <c r="K74"/>
  <c r="K75"/>
  <c r="L73"/>
  <c r="L74"/>
  <c r="L75"/>
  <c r="M75"/>
  <c r="Q75"/>
  <c r="AD74"/>
  <c r="M74"/>
  <c r="Q74"/>
  <c r="AD73"/>
  <c r="M73"/>
  <c r="Q73"/>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M48"/>
  <c r="Y69"/>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H48"/>
  <c r="Y70"/>
  <c r="Y71"/>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N48"/>
  <c r="Z69"/>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I48"/>
  <c r="Z70"/>
  <c r="Z71"/>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O48"/>
  <c r="AA69"/>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J48"/>
  <c r="AA70"/>
  <c r="AA71"/>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P48"/>
  <c r="AB69"/>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48"/>
  <c r="AB70"/>
  <c r="AB71"/>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Q48"/>
  <c r="AC69"/>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L48"/>
  <c r="AC70"/>
  <c r="AC71"/>
  <c r="AD71"/>
  <c r="H69"/>
  <c r="H70"/>
  <c r="H71"/>
  <c r="I69"/>
  <c r="I70"/>
  <c r="I71"/>
  <c r="J69"/>
  <c r="J70"/>
  <c r="J71"/>
  <c r="K69"/>
  <c r="K70"/>
  <c r="K71"/>
  <c r="L69"/>
  <c r="L70"/>
  <c r="L71"/>
  <c r="M71"/>
  <c r="Q71"/>
  <c r="AD70"/>
  <c r="M70"/>
  <c r="Q70"/>
  <c r="AD69"/>
  <c r="M69"/>
  <c r="Q69"/>
  <c r="AX10"/>
  <c r="AX11"/>
  <c r="AX12"/>
  <c r="AX13"/>
  <c r="AX14"/>
  <c r="AX15"/>
  <c r="AX16"/>
  <c r="AX17"/>
  <c r="AX18"/>
  <c r="AX19"/>
  <c r="AX20"/>
  <c r="AX21"/>
  <c r="AX22"/>
  <c r="AX23"/>
  <c r="AX24"/>
  <c r="AX25"/>
  <c r="AX26"/>
  <c r="AX27"/>
  <c r="AX28"/>
  <c r="AX29"/>
  <c r="AX30"/>
  <c r="AX31"/>
  <c r="AX32"/>
  <c r="AX33"/>
  <c r="AX34"/>
  <c r="AX35"/>
  <c r="AX36"/>
  <c r="AX37"/>
  <c r="AX38"/>
  <c r="AX39"/>
  <c r="AX40"/>
  <c r="AX41"/>
  <c r="AX42"/>
  <c r="AX43"/>
  <c r="AX44"/>
  <c r="AX45"/>
  <c r="AX46"/>
  <c r="AX47"/>
  <c r="AX48"/>
  <c r="Y65"/>
  <c r="AS10"/>
  <c r="AS11"/>
  <c r="AS12"/>
  <c r="AS13"/>
  <c r="AS14"/>
  <c r="AS15"/>
  <c r="AS16"/>
  <c r="AS17"/>
  <c r="AS18"/>
  <c r="AS19"/>
  <c r="AS20"/>
  <c r="AS21"/>
  <c r="AS22"/>
  <c r="AS23"/>
  <c r="AS24"/>
  <c r="AS25"/>
  <c r="AS26"/>
  <c r="AS27"/>
  <c r="AS28"/>
  <c r="AS29"/>
  <c r="AS30"/>
  <c r="AS31"/>
  <c r="AS32"/>
  <c r="AS33"/>
  <c r="AS34"/>
  <c r="AS35"/>
  <c r="AS36"/>
  <c r="AS37"/>
  <c r="AS38"/>
  <c r="AS39"/>
  <c r="AS40"/>
  <c r="AS41"/>
  <c r="AS42"/>
  <c r="AS43"/>
  <c r="AS44"/>
  <c r="AS45"/>
  <c r="AS46"/>
  <c r="AS47"/>
  <c r="AS48"/>
  <c r="Y66"/>
  <c r="Y67"/>
  <c r="AY10"/>
  <c r="AY11"/>
  <c r="AY12"/>
  <c r="AY13"/>
  <c r="AY14"/>
  <c r="AY15"/>
  <c r="AY16"/>
  <c r="AY17"/>
  <c r="AY18"/>
  <c r="AY19"/>
  <c r="AY20"/>
  <c r="AY21"/>
  <c r="AY22"/>
  <c r="AY23"/>
  <c r="AY24"/>
  <c r="AY25"/>
  <c r="AY26"/>
  <c r="AY27"/>
  <c r="AY28"/>
  <c r="AY29"/>
  <c r="AY30"/>
  <c r="AY31"/>
  <c r="AY32"/>
  <c r="AY33"/>
  <c r="AY34"/>
  <c r="AY35"/>
  <c r="AY36"/>
  <c r="AY37"/>
  <c r="AY38"/>
  <c r="AY39"/>
  <c r="AY40"/>
  <c r="AY41"/>
  <c r="AY42"/>
  <c r="AY43"/>
  <c r="AY44"/>
  <c r="AY45"/>
  <c r="AY46"/>
  <c r="AY47"/>
  <c r="AY48"/>
  <c r="Z65"/>
  <c r="AT10"/>
  <c r="AT11"/>
  <c r="AT12"/>
  <c r="AT13"/>
  <c r="AT14"/>
  <c r="AT15"/>
  <c r="AT16"/>
  <c r="AT17"/>
  <c r="AT18"/>
  <c r="AT19"/>
  <c r="AT20"/>
  <c r="AT21"/>
  <c r="AT22"/>
  <c r="AT23"/>
  <c r="AT24"/>
  <c r="AT25"/>
  <c r="AT26"/>
  <c r="AT27"/>
  <c r="AT28"/>
  <c r="AT29"/>
  <c r="AT30"/>
  <c r="AT31"/>
  <c r="AT32"/>
  <c r="AT33"/>
  <c r="AT34"/>
  <c r="AT35"/>
  <c r="AT36"/>
  <c r="AT37"/>
  <c r="AT38"/>
  <c r="AT39"/>
  <c r="AT40"/>
  <c r="AT41"/>
  <c r="AT42"/>
  <c r="AT43"/>
  <c r="AT44"/>
  <c r="AT45"/>
  <c r="AT46"/>
  <c r="AT47"/>
  <c r="AT48"/>
  <c r="Z66"/>
  <c r="Z67"/>
  <c r="AZ10"/>
  <c r="AZ11"/>
  <c r="AZ12"/>
  <c r="AZ13"/>
  <c r="AZ14"/>
  <c r="AZ15"/>
  <c r="AZ16"/>
  <c r="AZ17"/>
  <c r="AZ18"/>
  <c r="AZ19"/>
  <c r="AZ20"/>
  <c r="AZ21"/>
  <c r="AZ22"/>
  <c r="AZ23"/>
  <c r="AZ24"/>
  <c r="AZ25"/>
  <c r="AZ26"/>
  <c r="AZ27"/>
  <c r="AZ28"/>
  <c r="AZ29"/>
  <c r="AZ30"/>
  <c r="AZ31"/>
  <c r="AZ32"/>
  <c r="AZ33"/>
  <c r="AZ34"/>
  <c r="AZ35"/>
  <c r="AZ36"/>
  <c r="AZ37"/>
  <c r="AZ38"/>
  <c r="AZ39"/>
  <c r="AZ40"/>
  <c r="AZ41"/>
  <c r="AZ42"/>
  <c r="AZ43"/>
  <c r="AZ44"/>
  <c r="AZ45"/>
  <c r="AZ46"/>
  <c r="AZ47"/>
  <c r="AZ48"/>
  <c r="AA65"/>
  <c r="AU10"/>
  <c r="AU11"/>
  <c r="AU12"/>
  <c r="AU13"/>
  <c r="AU14"/>
  <c r="AU15"/>
  <c r="AU16"/>
  <c r="AU17"/>
  <c r="AU18"/>
  <c r="AU19"/>
  <c r="AU20"/>
  <c r="AU21"/>
  <c r="AU22"/>
  <c r="AU23"/>
  <c r="AU24"/>
  <c r="AU25"/>
  <c r="AU26"/>
  <c r="AU27"/>
  <c r="AU28"/>
  <c r="AU29"/>
  <c r="AU30"/>
  <c r="AU31"/>
  <c r="AU32"/>
  <c r="AU33"/>
  <c r="AU34"/>
  <c r="AU35"/>
  <c r="AU36"/>
  <c r="AU37"/>
  <c r="AU38"/>
  <c r="AU39"/>
  <c r="AU40"/>
  <c r="AU41"/>
  <c r="AU42"/>
  <c r="AU43"/>
  <c r="AU44"/>
  <c r="AU45"/>
  <c r="AU46"/>
  <c r="AU47"/>
  <c r="AU48"/>
  <c r="AA66"/>
  <c r="AA67"/>
  <c r="BA10"/>
  <c r="BA11"/>
  <c r="BA12"/>
  <c r="BA13"/>
  <c r="BA14"/>
  <c r="BA15"/>
  <c r="BA16"/>
  <c r="BA17"/>
  <c r="BA18"/>
  <c r="BA19"/>
  <c r="BA20"/>
  <c r="BA21"/>
  <c r="BA22"/>
  <c r="BA23"/>
  <c r="BA24"/>
  <c r="BA25"/>
  <c r="BA26"/>
  <c r="BA27"/>
  <c r="BA28"/>
  <c r="BA29"/>
  <c r="BA30"/>
  <c r="BA31"/>
  <c r="BA32"/>
  <c r="BA33"/>
  <c r="BA34"/>
  <c r="BA35"/>
  <c r="BA36"/>
  <c r="BA37"/>
  <c r="BA38"/>
  <c r="BA39"/>
  <c r="BA40"/>
  <c r="BA41"/>
  <c r="BA42"/>
  <c r="BA43"/>
  <c r="BA44"/>
  <c r="BA45"/>
  <c r="BA46"/>
  <c r="BA47"/>
  <c r="BA48"/>
  <c r="AB65"/>
  <c r="AV10"/>
  <c r="AV11"/>
  <c r="AV12"/>
  <c r="AV13"/>
  <c r="AV14"/>
  <c r="AV15"/>
  <c r="AV16"/>
  <c r="AV17"/>
  <c r="AV18"/>
  <c r="AV19"/>
  <c r="AV20"/>
  <c r="AV21"/>
  <c r="AV22"/>
  <c r="AV23"/>
  <c r="AV24"/>
  <c r="AV25"/>
  <c r="AV26"/>
  <c r="AV27"/>
  <c r="AV28"/>
  <c r="AV29"/>
  <c r="AV30"/>
  <c r="AV31"/>
  <c r="AV32"/>
  <c r="AV33"/>
  <c r="AV34"/>
  <c r="AV35"/>
  <c r="AV36"/>
  <c r="AV37"/>
  <c r="AV38"/>
  <c r="AV39"/>
  <c r="AV40"/>
  <c r="AV41"/>
  <c r="AV42"/>
  <c r="AV43"/>
  <c r="AV44"/>
  <c r="AV45"/>
  <c r="AV46"/>
  <c r="AV47"/>
  <c r="AV48"/>
  <c r="AB66"/>
  <c r="AB67"/>
  <c r="BB10"/>
  <c r="BB11"/>
  <c r="BB12"/>
  <c r="BB13"/>
  <c r="BB14"/>
  <c r="BB15"/>
  <c r="BB16"/>
  <c r="BB17"/>
  <c r="BB18"/>
  <c r="BB19"/>
  <c r="BB20"/>
  <c r="BB21"/>
  <c r="BB22"/>
  <c r="BB23"/>
  <c r="BB24"/>
  <c r="BB25"/>
  <c r="BB26"/>
  <c r="BB27"/>
  <c r="BB28"/>
  <c r="BB29"/>
  <c r="BB30"/>
  <c r="BB31"/>
  <c r="BB32"/>
  <c r="BB33"/>
  <c r="BB34"/>
  <c r="BB35"/>
  <c r="BB36"/>
  <c r="BB37"/>
  <c r="BB38"/>
  <c r="BB39"/>
  <c r="BB40"/>
  <c r="BB41"/>
  <c r="BB42"/>
  <c r="BB43"/>
  <c r="BB44"/>
  <c r="BB45"/>
  <c r="BB46"/>
  <c r="BB47"/>
  <c r="BB48"/>
  <c r="AC65"/>
  <c r="AW10"/>
  <c r="AW11"/>
  <c r="AW12"/>
  <c r="AW13"/>
  <c r="AW14"/>
  <c r="AW15"/>
  <c r="AW16"/>
  <c r="AW17"/>
  <c r="AW18"/>
  <c r="AW19"/>
  <c r="AW20"/>
  <c r="AW21"/>
  <c r="AW22"/>
  <c r="AW23"/>
  <c r="AW24"/>
  <c r="AW25"/>
  <c r="AW26"/>
  <c r="AW27"/>
  <c r="AW28"/>
  <c r="AW29"/>
  <c r="AW30"/>
  <c r="AW31"/>
  <c r="AW32"/>
  <c r="AW33"/>
  <c r="AW34"/>
  <c r="AW35"/>
  <c r="AW36"/>
  <c r="AW37"/>
  <c r="AW38"/>
  <c r="AW39"/>
  <c r="AW40"/>
  <c r="AW41"/>
  <c r="AW42"/>
  <c r="AW43"/>
  <c r="AW44"/>
  <c r="AW45"/>
  <c r="AW46"/>
  <c r="AW47"/>
  <c r="AW48"/>
  <c r="AC66"/>
  <c r="AC67"/>
  <c r="AD67"/>
  <c r="H65"/>
  <c r="H66"/>
  <c r="H67"/>
  <c r="I65"/>
  <c r="I66"/>
  <c r="I67"/>
  <c r="J65"/>
  <c r="J66"/>
  <c r="J67"/>
  <c r="K65"/>
  <c r="K66"/>
  <c r="K67"/>
  <c r="L65"/>
  <c r="L66"/>
  <c r="L67"/>
  <c r="M67"/>
  <c r="Q67"/>
  <c r="AD66"/>
  <c r="M66"/>
  <c r="Q66"/>
  <c r="AD65"/>
  <c r="M65"/>
  <c r="Q65"/>
  <c r="Y57"/>
  <c r="Y58"/>
  <c r="Y59"/>
  <c r="Y60"/>
  <c r="Y61"/>
  <c r="Y62"/>
  <c r="Y63"/>
  <c r="Z57"/>
  <c r="Z58"/>
  <c r="Z59"/>
  <c r="Z60"/>
  <c r="Z61"/>
  <c r="Z62"/>
  <c r="Z63"/>
  <c r="AA57"/>
  <c r="AA58"/>
  <c r="AA59"/>
  <c r="AA60"/>
  <c r="AA61"/>
  <c r="AA62"/>
  <c r="AA63"/>
  <c r="AB57"/>
  <c r="AB58"/>
  <c r="AB59"/>
  <c r="AB60"/>
  <c r="AB61"/>
  <c r="AB62"/>
  <c r="AB63"/>
  <c r="AC57"/>
  <c r="AC58"/>
  <c r="AC59"/>
  <c r="AC60"/>
  <c r="AC61"/>
  <c r="AC62"/>
  <c r="AC63"/>
  <c r="AD63"/>
  <c r="Q63"/>
  <c r="AD62"/>
  <c r="M62"/>
  <c r="Q62"/>
  <c r="AD61"/>
  <c r="M61"/>
  <c r="Q61"/>
  <c r="AD60"/>
  <c r="M60"/>
  <c r="Q60"/>
  <c r="AD59"/>
  <c r="M59"/>
  <c r="Q59"/>
  <c r="AD58"/>
  <c r="M58"/>
  <c r="Q58"/>
  <c r="AD57"/>
  <c r="M57"/>
  <c r="Q57"/>
  <c r="Q54"/>
  <c r="HK10"/>
  <c r="HK11"/>
  <c r="HK12"/>
  <c r="HK13"/>
  <c r="HK14"/>
  <c r="HK15"/>
  <c r="HK16"/>
  <c r="HK17"/>
  <c r="HK18"/>
  <c r="HK19"/>
  <c r="HK20"/>
  <c r="HK21"/>
  <c r="HK22"/>
  <c r="HK23"/>
  <c r="HK24"/>
  <c r="HK25"/>
  <c r="HK26"/>
  <c r="HK27"/>
  <c r="HK28"/>
  <c r="HK29"/>
  <c r="HK30"/>
  <c r="HK31"/>
  <c r="HK32"/>
  <c r="HK33"/>
  <c r="HK34"/>
  <c r="HK35"/>
  <c r="HK36"/>
  <c r="HK37"/>
  <c r="HK38"/>
  <c r="HK39"/>
  <c r="HK40"/>
  <c r="HK41"/>
  <c r="HK42"/>
  <c r="HK43"/>
  <c r="HK44"/>
  <c r="HK45"/>
  <c r="HK46"/>
  <c r="HK47"/>
  <c r="HK48"/>
  <c r="HJ10"/>
  <c r="HJ11"/>
  <c r="HJ12"/>
  <c r="HJ13"/>
  <c r="HJ14"/>
  <c r="HJ15"/>
  <c r="HJ16"/>
  <c r="HJ17"/>
  <c r="HJ18"/>
  <c r="HJ19"/>
  <c r="HJ20"/>
  <c r="HJ21"/>
  <c r="HJ22"/>
  <c r="HJ23"/>
  <c r="HJ24"/>
  <c r="HJ25"/>
  <c r="HJ26"/>
  <c r="HJ27"/>
  <c r="HJ28"/>
  <c r="HJ29"/>
  <c r="HJ30"/>
  <c r="HJ31"/>
  <c r="HJ32"/>
  <c r="HJ33"/>
  <c r="HJ34"/>
  <c r="HJ35"/>
  <c r="HJ36"/>
  <c r="HJ37"/>
  <c r="HJ38"/>
  <c r="HJ39"/>
  <c r="HJ40"/>
  <c r="HJ41"/>
  <c r="HJ42"/>
  <c r="HJ43"/>
  <c r="HJ44"/>
  <c r="HJ45"/>
  <c r="HJ46"/>
  <c r="HJ47"/>
  <c r="HJ48"/>
  <c r="HI10"/>
  <c r="HI11"/>
  <c r="HI12"/>
  <c r="HI13"/>
  <c r="HI14"/>
  <c r="HI15"/>
  <c r="HI16"/>
  <c r="HI17"/>
  <c r="HI18"/>
  <c r="HI19"/>
  <c r="HI20"/>
  <c r="HI21"/>
  <c r="HI22"/>
  <c r="HI23"/>
  <c r="HI24"/>
  <c r="HI25"/>
  <c r="HI26"/>
  <c r="HI27"/>
  <c r="HI28"/>
  <c r="HI29"/>
  <c r="HI30"/>
  <c r="HI31"/>
  <c r="HI32"/>
  <c r="HI33"/>
  <c r="HI34"/>
  <c r="HI35"/>
  <c r="HI36"/>
  <c r="HI37"/>
  <c r="HI38"/>
  <c r="HI39"/>
  <c r="HI40"/>
  <c r="HI41"/>
  <c r="HI42"/>
  <c r="HI43"/>
  <c r="HI44"/>
  <c r="HI45"/>
  <c r="HI46"/>
  <c r="HI47"/>
  <c r="HI48"/>
  <c r="HH10"/>
  <c r="HH11"/>
  <c r="HH12"/>
  <c r="HH13"/>
  <c r="HH14"/>
  <c r="HH15"/>
  <c r="HH16"/>
  <c r="HH17"/>
  <c r="HH18"/>
  <c r="HH19"/>
  <c r="HH20"/>
  <c r="HH21"/>
  <c r="HH22"/>
  <c r="HH23"/>
  <c r="HH24"/>
  <c r="HH25"/>
  <c r="HH26"/>
  <c r="HH27"/>
  <c r="HH28"/>
  <c r="HH29"/>
  <c r="HH30"/>
  <c r="HH31"/>
  <c r="HH32"/>
  <c r="HH33"/>
  <c r="HH34"/>
  <c r="HH35"/>
  <c r="HH36"/>
  <c r="HH37"/>
  <c r="HH38"/>
  <c r="HH39"/>
  <c r="HH40"/>
  <c r="HH41"/>
  <c r="HH42"/>
  <c r="HH43"/>
  <c r="HH44"/>
  <c r="HH45"/>
  <c r="HH46"/>
  <c r="HH47"/>
  <c r="HH48"/>
  <c r="HG10"/>
  <c r="HG11"/>
  <c r="HG12"/>
  <c r="HG13"/>
  <c r="HG14"/>
  <c r="HG15"/>
  <c r="HG16"/>
  <c r="HG17"/>
  <c r="HG18"/>
  <c r="HG19"/>
  <c r="HG20"/>
  <c r="HG21"/>
  <c r="HG22"/>
  <c r="HG23"/>
  <c r="HG24"/>
  <c r="HG25"/>
  <c r="HG26"/>
  <c r="HG27"/>
  <c r="HG28"/>
  <c r="HG29"/>
  <c r="HG30"/>
  <c r="HG31"/>
  <c r="HG32"/>
  <c r="HG33"/>
  <c r="HG34"/>
  <c r="HG35"/>
  <c r="HG36"/>
  <c r="HG37"/>
  <c r="HG38"/>
  <c r="HG39"/>
  <c r="HG40"/>
  <c r="HG41"/>
  <c r="HG42"/>
  <c r="HG43"/>
  <c r="HG44"/>
  <c r="HG45"/>
  <c r="HG46"/>
  <c r="HG47"/>
  <c r="HG48"/>
  <c r="HF10"/>
  <c r="HF11"/>
  <c r="HF12"/>
  <c r="HF13"/>
  <c r="HF14"/>
  <c r="HF15"/>
  <c r="HF16"/>
  <c r="HF17"/>
  <c r="HF18"/>
  <c r="HF19"/>
  <c r="HF20"/>
  <c r="HF21"/>
  <c r="HF22"/>
  <c r="HF23"/>
  <c r="HF24"/>
  <c r="HF25"/>
  <c r="HF26"/>
  <c r="HF27"/>
  <c r="HF28"/>
  <c r="HF29"/>
  <c r="HF30"/>
  <c r="HF31"/>
  <c r="HF32"/>
  <c r="HF33"/>
  <c r="HF34"/>
  <c r="HF35"/>
  <c r="HF36"/>
  <c r="HF37"/>
  <c r="HF38"/>
  <c r="HF39"/>
  <c r="HF40"/>
  <c r="HF41"/>
  <c r="HF42"/>
  <c r="HF43"/>
  <c r="HF44"/>
  <c r="HF45"/>
  <c r="HF46"/>
  <c r="HF47"/>
  <c r="HF48"/>
  <c r="HE10"/>
  <c r="HE11"/>
  <c r="HE12"/>
  <c r="HE13"/>
  <c r="HE14"/>
  <c r="HE15"/>
  <c r="HE16"/>
  <c r="HE17"/>
  <c r="HE18"/>
  <c r="HE19"/>
  <c r="HE20"/>
  <c r="HE21"/>
  <c r="HE22"/>
  <c r="HE23"/>
  <c r="HE24"/>
  <c r="HE25"/>
  <c r="HE26"/>
  <c r="HE27"/>
  <c r="HE28"/>
  <c r="HE29"/>
  <c r="HE30"/>
  <c r="HE31"/>
  <c r="HE32"/>
  <c r="HE33"/>
  <c r="HE34"/>
  <c r="HE35"/>
  <c r="HE36"/>
  <c r="HE37"/>
  <c r="HE38"/>
  <c r="HE39"/>
  <c r="HE40"/>
  <c r="HE41"/>
  <c r="HE42"/>
  <c r="HE43"/>
  <c r="HE44"/>
  <c r="HE45"/>
  <c r="HE46"/>
  <c r="HE47"/>
  <c r="HE48"/>
  <c r="HD10"/>
  <c r="HD11"/>
  <c r="HD12"/>
  <c r="HD13"/>
  <c r="HD14"/>
  <c r="HD15"/>
  <c r="HD16"/>
  <c r="HD17"/>
  <c r="HD18"/>
  <c r="HD19"/>
  <c r="HD20"/>
  <c r="HD21"/>
  <c r="HD22"/>
  <c r="HD23"/>
  <c r="HD24"/>
  <c r="HD25"/>
  <c r="HD26"/>
  <c r="HD27"/>
  <c r="HD28"/>
  <c r="HD29"/>
  <c r="HD30"/>
  <c r="HD31"/>
  <c r="HD32"/>
  <c r="HD33"/>
  <c r="HD34"/>
  <c r="HD35"/>
  <c r="HD36"/>
  <c r="HD37"/>
  <c r="HD38"/>
  <c r="HD39"/>
  <c r="HD40"/>
  <c r="HD41"/>
  <c r="HD42"/>
  <c r="HD43"/>
  <c r="HD44"/>
  <c r="HD45"/>
  <c r="HD46"/>
  <c r="HD47"/>
  <c r="HD48"/>
  <c r="HC10"/>
  <c r="HC11"/>
  <c r="HC12"/>
  <c r="HC13"/>
  <c r="HC14"/>
  <c r="HC15"/>
  <c r="HC16"/>
  <c r="HC17"/>
  <c r="HC18"/>
  <c r="HC19"/>
  <c r="HC20"/>
  <c r="HC21"/>
  <c r="HC22"/>
  <c r="HC23"/>
  <c r="HC24"/>
  <c r="HC25"/>
  <c r="HC26"/>
  <c r="HC27"/>
  <c r="HC28"/>
  <c r="HC29"/>
  <c r="HC30"/>
  <c r="HC31"/>
  <c r="HC32"/>
  <c r="HC33"/>
  <c r="HC34"/>
  <c r="HC35"/>
  <c r="HC36"/>
  <c r="HC37"/>
  <c r="HC38"/>
  <c r="HC39"/>
  <c r="HC40"/>
  <c r="HC41"/>
  <c r="HC42"/>
  <c r="HC43"/>
  <c r="HC44"/>
  <c r="HC45"/>
  <c r="HC46"/>
  <c r="HC47"/>
  <c r="HC48"/>
  <c r="HB10"/>
  <c r="HB11"/>
  <c r="HB12"/>
  <c r="HB13"/>
  <c r="HB14"/>
  <c r="HB15"/>
  <c r="HB16"/>
  <c r="HB17"/>
  <c r="HB18"/>
  <c r="HB19"/>
  <c r="HB20"/>
  <c r="HB21"/>
  <c r="HB22"/>
  <c r="HB23"/>
  <c r="HB24"/>
  <c r="HB25"/>
  <c r="HB26"/>
  <c r="HB27"/>
  <c r="HB28"/>
  <c r="HB29"/>
  <c r="HB30"/>
  <c r="HB31"/>
  <c r="HB32"/>
  <c r="HB33"/>
  <c r="HB34"/>
  <c r="HB35"/>
  <c r="HB36"/>
  <c r="HB37"/>
  <c r="HB38"/>
  <c r="HB39"/>
  <c r="HB40"/>
  <c r="HB41"/>
  <c r="HB42"/>
  <c r="HB43"/>
  <c r="HB44"/>
  <c r="HB45"/>
  <c r="HB46"/>
  <c r="HB47"/>
  <c r="HB48"/>
  <c r="HA10"/>
  <c r="HA11"/>
  <c r="HA12"/>
  <c r="HA13"/>
  <c r="HA14"/>
  <c r="HA15"/>
  <c r="HA16"/>
  <c r="HA17"/>
  <c r="HA18"/>
  <c r="HA19"/>
  <c r="HA20"/>
  <c r="HA21"/>
  <c r="HA22"/>
  <c r="HA23"/>
  <c r="HA24"/>
  <c r="HA25"/>
  <c r="HA26"/>
  <c r="HA27"/>
  <c r="HA28"/>
  <c r="HA29"/>
  <c r="HA30"/>
  <c r="HA31"/>
  <c r="HA32"/>
  <c r="HA33"/>
  <c r="HA34"/>
  <c r="HA35"/>
  <c r="HA36"/>
  <c r="HA37"/>
  <c r="HA38"/>
  <c r="HA39"/>
  <c r="HA40"/>
  <c r="HA41"/>
  <c r="HA42"/>
  <c r="HA43"/>
  <c r="HA44"/>
  <c r="HA45"/>
  <c r="HA46"/>
  <c r="HA47"/>
  <c r="HA48"/>
  <c r="GZ10"/>
  <c r="GZ11"/>
  <c r="GZ12"/>
  <c r="GZ13"/>
  <c r="GZ14"/>
  <c r="GZ15"/>
  <c r="GZ16"/>
  <c r="GZ17"/>
  <c r="GZ18"/>
  <c r="GZ19"/>
  <c r="GZ20"/>
  <c r="GZ21"/>
  <c r="GZ22"/>
  <c r="GZ23"/>
  <c r="GZ24"/>
  <c r="GZ25"/>
  <c r="GZ26"/>
  <c r="GZ27"/>
  <c r="GZ28"/>
  <c r="GZ29"/>
  <c r="GZ30"/>
  <c r="GZ31"/>
  <c r="GZ32"/>
  <c r="GZ33"/>
  <c r="GZ34"/>
  <c r="GZ35"/>
  <c r="GZ36"/>
  <c r="GZ37"/>
  <c r="GZ38"/>
  <c r="GZ39"/>
  <c r="GZ40"/>
  <c r="GZ41"/>
  <c r="GZ42"/>
  <c r="GZ43"/>
  <c r="GZ44"/>
  <c r="GZ45"/>
  <c r="GZ46"/>
  <c r="GZ47"/>
  <c r="GZ48"/>
  <c r="GY10"/>
  <c r="GY11"/>
  <c r="GY12"/>
  <c r="GY13"/>
  <c r="GY14"/>
  <c r="GY15"/>
  <c r="GY16"/>
  <c r="GY17"/>
  <c r="GY18"/>
  <c r="GY19"/>
  <c r="GY20"/>
  <c r="GY21"/>
  <c r="GY22"/>
  <c r="GY23"/>
  <c r="GY24"/>
  <c r="GY25"/>
  <c r="GY26"/>
  <c r="GY27"/>
  <c r="GY28"/>
  <c r="GY29"/>
  <c r="GY30"/>
  <c r="GY31"/>
  <c r="GY32"/>
  <c r="GY33"/>
  <c r="GY34"/>
  <c r="GY35"/>
  <c r="GY36"/>
  <c r="GY37"/>
  <c r="GY38"/>
  <c r="GY39"/>
  <c r="GY40"/>
  <c r="GY41"/>
  <c r="GY42"/>
  <c r="GY43"/>
  <c r="GY44"/>
  <c r="GY45"/>
  <c r="GY46"/>
  <c r="GY47"/>
  <c r="GY48"/>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GX48"/>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W48"/>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V48"/>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U48"/>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T48"/>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S48"/>
  <c r="GR10"/>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R48"/>
  <c r="GQ10"/>
  <c r="GQ11"/>
  <c r="GQ12"/>
  <c r="GQ13"/>
  <c r="GQ14"/>
  <c r="GQ15"/>
  <c r="GQ16"/>
  <c r="GQ17"/>
  <c r="GQ18"/>
  <c r="GQ19"/>
  <c r="GQ20"/>
  <c r="GQ21"/>
  <c r="GQ22"/>
  <c r="GQ23"/>
  <c r="GQ24"/>
  <c r="GQ25"/>
  <c r="GQ26"/>
  <c r="GQ27"/>
  <c r="GQ28"/>
  <c r="GQ29"/>
  <c r="GQ30"/>
  <c r="GQ31"/>
  <c r="GQ32"/>
  <c r="GQ33"/>
  <c r="GQ34"/>
  <c r="GQ35"/>
  <c r="GQ36"/>
  <c r="GQ37"/>
  <c r="GQ38"/>
  <c r="GQ39"/>
  <c r="GQ40"/>
  <c r="GQ41"/>
  <c r="GQ42"/>
  <c r="GQ43"/>
  <c r="GQ44"/>
  <c r="GQ45"/>
  <c r="GQ46"/>
  <c r="GQ47"/>
  <c r="GQ48"/>
  <c r="GP10"/>
  <c r="GP11"/>
  <c r="GP12"/>
  <c r="GP13"/>
  <c r="GP14"/>
  <c r="GP15"/>
  <c r="GP16"/>
  <c r="GP17"/>
  <c r="GP18"/>
  <c r="GP19"/>
  <c r="GP20"/>
  <c r="GP21"/>
  <c r="GP22"/>
  <c r="GP23"/>
  <c r="GP24"/>
  <c r="GP25"/>
  <c r="GP26"/>
  <c r="GP27"/>
  <c r="GP28"/>
  <c r="GP29"/>
  <c r="GP30"/>
  <c r="GP31"/>
  <c r="GP32"/>
  <c r="GP33"/>
  <c r="GP34"/>
  <c r="GP35"/>
  <c r="GP36"/>
  <c r="GP37"/>
  <c r="GP38"/>
  <c r="GP39"/>
  <c r="GP40"/>
  <c r="GP41"/>
  <c r="GP42"/>
  <c r="GP43"/>
  <c r="GP44"/>
  <c r="GP45"/>
  <c r="GP46"/>
  <c r="GP47"/>
  <c r="GP48"/>
  <c r="GO10"/>
  <c r="GO11"/>
  <c r="GO12"/>
  <c r="GO13"/>
  <c r="GO14"/>
  <c r="GO15"/>
  <c r="GO16"/>
  <c r="GO17"/>
  <c r="GO18"/>
  <c r="GO19"/>
  <c r="GO20"/>
  <c r="GO21"/>
  <c r="GO22"/>
  <c r="GO23"/>
  <c r="GO24"/>
  <c r="GO25"/>
  <c r="GO26"/>
  <c r="GO27"/>
  <c r="GO28"/>
  <c r="GO29"/>
  <c r="GO30"/>
  <c r="GO31"/>
  <c r="GO32"/>
  <c r="GO33"/>
  <c r="GO34"/>
  <c r="GO35"/>
  <c r="GO36"/>
  <c r="GO37"/>
  <c r="GO38"/>
  <c r="GO39"/>
  <c r="GO40"/>
  <c r="GO41"/>
  <c r="GO42"/>
  <c r="GO43"/>
  <c r="GO44"/>
  <c r="GO45"/>
  <c r="GO46"/>
  <c r="GO47"/>
  <c r="GO48"/>
  <c r="GN10"/>
  <c r="GN11"/>
  <c r="GN12"/>
  <c r="GN13"/>
  <c r="GN14"/>
  <c r="GN15"/>
  <c r="GN16"/>
  <c r="GN17"/>
  <c r="GN18"/>
  <c r="GN19"/>
  <c r="GN20"/>
  <c r="GN21"/>
  <c r="GN22"/>
  <c r="GN23"/>
  <c r="GN24"/>
  <c r="GN25"/>
  <c r="GN26"/>
  <c r="GN27"/>
  <c r="GN28"/>
  <c r="GN29"/>
  <c r="GN30"/>
  <c r="GN31"/>
  <c r="GN32"/>
  <c r="GN33"/>
  <c r="GN34"/>
  <c r="GN35"/>
  <c r="GN36"/>
  <c r="GN37"/>
  <c r="GN38"/>
  <c r="GN39"/>
  <c r="GN40"/>
  <c r="GN41"/>
  <c r="GN42"/>
  <c r="GN43"/>
  <c r="GN44"/>
  <c r="GN45"/>
  <c r="GN46"/>
  <c r="GN47"/>
  <c r="GN48"/>
  <c r="GM10"/>
  <c r="GM11"/>
  <c r="GM12"/>
  <c r="GM13"/>
  <c r="GM14"/>
  <c r="GM15"/>
  <c r="GM16"/>
  <c r="GM17"/>
  <c r="GM18"/>
  <c r="GM19"/>
  <c r="GM20"/>
  <c r="GM21"/>
  <c r="GM22"/>
  <c r="GM23"/>
  <c r="GM24"/>
  <c r="GM25"/>
  <c r="GM26"/>
  <c r="GM27"/>
  <c r="GM28"/>
  <c r="GM29"/>
  <c r="GM30"/>
  <c r="GM31"/>
  <c r="GM32"/>
  <c r="GM33"/>
  <c r="GM34"/>
  <c r="GM35"/>
  <c r="GM36"/>
  <c r="GM37"/>
  <c r="GM38"/>
  <c r="GM39"/>
  <c r="GM40"/>
  <c r="GM41"/>
  <c r="GM42"/>
  <c r="GM43"/>
  <c r="GM44"/>
  <c r="GM45"/>
  <c r="GM46"/>
  <c r="GM47"/>
  <c r="GM48"/>
  <c r="GL10"/>
  <c r="GL11"/>
  <c r="GL12"/>
  <c r="GL13"/>
  <c r="GL14"/>
  <c r="GL15"/>
  <c r="GL16"/>
  <c r="GL17"/>
  <c r="GL18"/>
  <c r="GL19"/>
  <c r="GL20"/>
  <c r="GL21"/>
  <c r="GL22"/>
  <c r="GL23"/>
  <c r="GL24"/>
  <c r="GL25"/>
  <c r="GL26"/>
  <c r="GL27"/>
  <c r="GL28"/>
  <c r="GL29"/>
  <c r="GL30"/>
  <c r="GL31"/>
  <c r="GL32"/>
  <c r="GL33"/>
  <c r="GL34"/>
  <c r="GL35"/>
  <c r="GL36"/>
  <c r="GL37"/>
  <c r="GL38"/>
  <c r="GL39"/>
  <c r="GL40"/>
  <c r="GL41"/>
  <c r="GL42"/>
  <c r="GL43"/>
  <c r="GL44"/>
  <c r="GL45"/>
  <c r="GL46"/>
  <c r="GL47"/>
  <c r="GL48"/>
  <c r="GK10"/>
  <c r="GK11"/>
  <c r="GK12"/>
  <c r="GK13"/>
  <c r="GK14"/>
  <c r="GK15"/>
  <c r="GK16"/>
  <c r="GK17"/>
  <c r="GK18"/>
  <c r="GK19"/>
  <c r="GK20"/>
  <c r="GK21"/>
  <c r="GK22"/>
  <c r="GK23"/>
  <c r="GK24"/>
  <c r="GK25"/>
  <c r="GK26"/>
  <c r="GK27"/>
  <c r="GK28"/>
  <c r="GK29"/>
  <c r="GK30"/>
  <c r="GK31"/>
  <c r="GK32"/>
  <c r="GK33"/>
  <c r="GK34"/>
  <c r="GK35"/>
  <c r="GK36"/>
  <c r="GK37"/>
  <c r="GK38"/>
  <c r="GK39"/>
  <c r="GK40"/>
  <c r="GK41"/>
  <c r="GK42"/>
  <c r="GK43"/>
  <c r="GK44"/>
  <c r="GK45"/>
  <c r="GK46"/>
  <c r="GK47"/>
  <c r="GK48"/>
  <c r="GJ10"/>
  <c r="GJ11"/>
  <c r="GJ12"/>
  <c r="GJ13"/>
  <c r="GJ14"/>
  <c r="GJ15"/>
  <c r="GJ16"/>
  <c r="GJ17"/>
  <c r="GJ18"/>
  <c r="GJ19"/>
  <c r="GJ20"/>
  <c r="GJ21"/>
  <c r="GJ22"/>
  <c r="GJ23"/>
  <c r="GJ24"/>
  <c r="GJ25"/>
  <c r="GJ26"/>
  <c r="GJ27"/>
  <c r="GJ28"/>
  <c r="GJ29"/>
  <c r="GJ30"/>
  <c r="GJ31"/>
  <c r="GJ32"/>
  <c r="GJ33"/>
  <c r="GJ34"/>
  <c r="GJ35"/>
  <c r="GJ36"/>
  <c r="GJ37"/>
  <c r="GJ38"/>
  <c r="GJ39"/>
  <c r="GJ40"/>
  <c r="GJ41"/>
  <c r="GJ42"/>
  <c r="GJ43"/>
  <c r="GJ44"/>
  <c r="GJ45"/>
  <c r="GJ46"/>
  <c r="GJ47"/>
  <c r="GJ48"/>
  <c r="GI10"/>
  <c r="GI11"/>
  <c r="GI12"/>
  <c r="GI13"/>
  <c r="GI14"/>
  <c r="GI15"/>
  <c r="GI16"/>
  <c r="GI17"/>
  <c r="GI18"/>
  <c r="GI19"/>
  <c r="GI20"/>
  <c r="GI21"/>
  <c r="GI22"/>
  <c r="GI23"/>
  <c r="GI24"/>
  <c r="GI25"/>
  <c r="GI26"/>
  <c r="GI27"/>
  <c r="GI28"/>
  <c r="GI29"/>
  <c r="GI30"/>
  <c r="GI31"/>
  <c r="GI32"/>
  <c r="GI33"/>
  <c r="GI34"/>
  <c r="GI35"/>
  <c r="GI36"/>
  <c r="GI37"/>
  <c r="GI38"/>
  <c r="GI39"/>
  <c r="GI40"/>
  <c r="GI41"/>
  <c r="GI42"/>
  <c r="GI43"/>
  <c r="GI44"/>
  <c r="GI45"/>
  <c r="GI46"/>
  <c r="GI47"/>
  <c r="GI48"/>
  <c r="GH10"/>
  <c r="GH11"/>
  <c r="GH12"/>
  <c r="GH13"/>
  <c r="GH14"/>
  <c r="GH15"/>
  <c r="GH16"/>
  <c r="GH17"/>
  <c r="GH18"/>
  <c r="GH19"/>
  <c r="GH20"/>
  <c r="GH21"/>
  <c r="GH22"/>
  <c r="GH23"/>
  <c r="GH24"/>
  <c r="GH25"/>
  <c r="GH26"/>
  <c r="GH27"/>
  <c r="GH28"/>
  <c r="GH29"/>
  <c r="GH30"/>
  <c r="GH31"/>
  <c r="GH32"/>
  <c r="GH33"/>
  <c r="GH34"/>
  <c r="GH35"/>
  <c r="GH36"/>
  <c r="GH37"/>
  <c r="GH38"/>
  <c r="GH39"/>
  <c r="GH40"/>
  <c r="GH41"/>
  <c r="GH42"/>
  <c r="GH43"/>
  <c r="GH44"/>
  <c r="GH45"/>
  <c r="GH46"/>
  <c r="GH47"/>
  <c r="GH48"/>
  <c r="GG10"/>
  <c r="GG11"/>
  <c r="GG12"/>
  <c r="GG13"/>
  <c r="GG14"/>
  <c r="GG15"/>
  <c r="GG16"/>
  <c r="GG17"/>
  <c r="GG18"/>
  <c r="GG19"/>
  <c r="GG20"/>
  <c r="GG21"/>
  <c r="GG22"/>
  <c r="GG23"/>
  <c r="GG24"/>
  <c r="GG25"/>
  <c r="GG26"/>
  <c r="GG27"/>
  <c r="GG28"/>
  <c r="GG29"/>
  <c r="GG30"/>
  <c r="GG31"/>
  <c r="GG32"/>
  <c r="GG33"/>
  <c r="GG34"/>
  <c r="GG35"/>
  <c r="GG36"/>
  <c r="GG37"/>
  <c r="GG38"/>
  <c r="GG39"/>
  <c r="GG40"/>
  <c r="GG41"/>
  <c r="GG42"/>
  <c r="GG43"/>
  <c r="GG44"/>
  <c r="GG45"/>
  <c r="GG46"/>
  <c r="GG47"/>
  <c r="GG48"/>
  <c r="GF10"/>
  <c r="GF11"/>
  <c r="GF12"/>
  <c r="GF13"/>
  <c r="GF14"/>
  <c r="GF15"/>
  <c r="GF16"/>
  <c r="GF17"/>
  <c r="GF18"/>
  <c r="GF19"/>
  <c r="GF20"/>
  <c r="GF21"/>
  <c r="GF22"/>
  <c r="GF23"/>
  <c r="GF24"/>
  <c r="GF25"/>
  <c r="GF26"/>
  <c r="GF27"/>
  <c r="GF28"/>
  <c r="GF29"/>
  <c r="GF30"/>
  <c r="GF31"/>
  <c r="GF32"/>
  <c r="GF33"/>
  <c r="GF34"/>
  <c r="GF35"/>
  <c r="GF36"/>
  <c r="GF37"/>
  <c r="GF38"/>
  <c r="GF39"/>
  <c r="GF40"/>
  <c r="GF41"/>
  <c r="GF42"/>
  <c r="GF43"/>
  <c r="GF44"/>
  <c r="GF45"/>
  <c r="GF46"/>
  <c r="GF47"/>
  <c r="GF48"/>
  <c r="GE10"/>
  <c r="GE11"/>
  <c r="GE12"/>
  <c r="GE13"/>
  <c r="GE14"/>
  <c r="GE15"/>
  <c r="GE16"/>
  <c r="GE17"/>
  <c r="GE18"/>
  <c r="GE19"/>
  <c r="GE20"/>
  <c r="GE21"/>
  <c r="GE22"/>
  <c r="GE23"/>
  <c r="GE24"/>
  <c r="GE25"/>
  <c r="GE26"/>
  <c r="GE27"/>
  <c r="GE28"/>
  <c r="GE29"/>
  <c r="GE30"/>
  <c r="GE31"/>
  <c r="GE32"/>
  <c r="GE33"/>
  <c r="GE34"/>
  <c r="GE35"/>
  <c r="GE36"/>
  <c r="GE37"/>
  <c r="GE38"/>
  <c r="GE39"/>
  <c r="GE40"/>
  <c r="GE41"/>
  <c r="GE42"/>
  <c r="GE43"/>
  <c r="GE44"/>
  <c r="GE45"/>
  <c r="GE46"/>
  <c r="GE47"/>
  <c r="GE48"/>
  <c r="GD10"/>
  <c r="GD11"/>
  <c r="GD12"/>
  <c r="GD13"/>
  <c r="GD14"/>
  <c r="GD15"/>
  <c r="GD16"/>
  <c r="GD17"/>
  <c r="GD18"/>
  <c r="GD19"/>
  <c r="GD20"/>
  <c r="GD21"/>
  <c r="GD22"/>
  <c r="GD23"/>
  <c r="GD24"/>
  <c r="GD25"/>
  <c r="GD26"/>
  <c r="GD27"/>
  <c r="GD28"/>
  <c r="GD29"/>
  <c r="GD30"/>
  <c r="GD31"/>
  <c r="GD32"/>
  <c r="GD33"/>
  <c r="GD34"/>
  <c r="GD35"/>
  <c r="GD36"/>
  <c r="GD37"/>
  <c r="GD38"/>
  <c r="GD39"/>
  <c r="GD40"/>
  <c r="GD41"/>
  <c r="GD42"/>
  <c r="GD43"/>
  <c r="GD44"/>
  <c r="GD45"/>
  <c r="GD46"/>
  <c r="GD47"/>
  <c r="GD48"/>
  <c r="GC10"/>
  <c r="GC11"/>
  <c r="GC12"/>
  <c r="GC13"/>
  <c r="GC14"/>
  <c r="GC15"/>
  <c r="GC16"/>
  <c r="GC17"/>
  <c r="GC18"/>
  <c r="GC19"/>
  <c r="GC20"/>
  <c r="GC21"/>
  <c r="GC22"/>
  <c r="GC23"/>
  <c r="GC24"/>
  <c r="GC25"/>
  <c r="GC26"/>
  <c r="GC27"/>
  <c r="GC28"/>
  <c r="GC29"/>
  <c r="GC30"/>
  <c r="GC31"/>
  <c r="GC32"/>
  <c r="GC33"/>
  <c r="GC34"/>
  <c r="GC35"/>
  <c r="GC36"/>
  <c r="GC37"/>
  <c r="GC38"/>
  <c r="GC39"/>
  <c r="GC40"/>
  <c r="GC41"/>
  <c r="GC42"/>
  <c r="GC43"/>
  <c r="GC44"/>
  <c r="GC45"/>
  <c r="GC46"/>
  <c r="GC47"/>
  <c r="GC48"/>
  <c r="GB10"/>
  <c r="GB11"/>
  <c r="GB12"/>
  <c r="GB13"/>
  <c r="GB14"/>
  <c r="GB15"/>
  <c r="GB16"/>
  <c r="GB17"/>
  <c r="GB18"/>
  <c r="GB19"/>
  <c r="GB20"/>
  <c r="GB21"/>
  <c r="GB22"/>
  <c r="GB23"/>
  <c r="GB24"/>
  <c r="GB25"/>
  <c r="GB26"/>
  <c r="GB27"/>
  <c r="GB28"/>
  <c r="GB29"/>
  <c r="GB30"/>
  <c r="GB31"/>
  <c r="GB32"/>
  <c r="GB33"/>
  <c r="GB34"/>
  <c r="GB35"/>
  <c r="GB36"/>
  <c r="GB37"/>
  <c r="GB38"/>
  <c r="GB39"/>
  <c r="GB40"/>
  <c r="GB41"/>
  <c r="GB42"/>
  <c r="GB43"/>
  <c r="GB44"/>
  <c r="GB45"/>
  <c r="GB46"/>
  <c r="GB47"/>
  <c r="GB48"/>
  <c r="GA10"/>
  <c r="GA11"/>
  <c r="GA12"/>
  <c r="GA13"/>
  <c r="GA14"/>
  <c r="GA15"/>
  <c r="GA16"/>
  <c r="GA17"/>
  <c r="GA18"/>
  <c r="GA19"/>
  <c r="GA20"/>
  <c r="GA21"/>
  <c r="GA22"/>
  <c r="GA23"/>
  <c r="GA24"/>
  <c r="GA25"/>
  <c r="GA26"/>
  <c r="GA27"/>
  <c r="GA28"/>
  <c r="GA29"/>
  <c r="GA30"/>
  <c r="GA31"/>
  <c r="GA32"/>
  <c r="GA33"/>
  <c r="GA34"/>
  <c r="GA35"/>
  <c r="GA36"/>
  <c r="GA37"/>
  <c r="GA38"/>
  <c r="GA39"/>
  <c r="GA40"/>
  <c r="GA41"/>
  <c r="GA42"/>
  <c r="GA43"/>
  <c r="GA44"/>
  <c r="GA45"/>
  <c r="GA46"/>
  <c r="GA47"/>
  <c r="GA48"/>
  <c r="FZ10"/>
  <c r="FZ11"/>
  <c r="FZ12"/>
  <c r="FZ13"/>
  <c r="FZ14"/>
  <c r="FZ15"/>
  <c r="FZ16"/>
  <c r="FZ17"/>
  <c r="FZ18"/>
  <c r="FZ19"/>
  <c r="FZ20"/>
  <c r="FZ21"/>
  <c r="FZ22"/>
  <c r="FZ23"/>
  <c r="FZ24"/>
  <c r="FZ25"/>
  <c r="FZ26"/>
  <c r="FZ27"/>
  <c r="FZ28"/>
  <c r="FZ29"/>
  <c r="FZ30"/>
  <c r="FZ31"/>
  <c r="FZ32"/>
  <c r="FZ33"/>
  <c r="FZ34"/>
  <c r="FZ35"/>
  <c r="FZ36"/>
  <c r="FZ37"/>
  <c r="FZ38"/>
  <c r="FZ39"/>
  <c r="FZ40"/>
  <c r="FZ41"/>
  <c r="FZ42"/>
  <c r="FZ43"/>
  <c r="FZ44"/>
  <c r="FZ45"/>
  <c r="FZ46"/>
  <c r="FZ47"/>
  <c r="FZ48"/>
  <c r="FY10"/>
  <c r="FY11"/>
  <c r="FY12"/>
  <c r="FY13"/>
  <c r="FY14"/>
  <c r="FY15"/>
  <c r="FY16"/>
  <c r="FY17"/>
  <c r="FY18"/>
  <c r="FY19"/>
  <c r="FY20"/>
  <c r="FY21"/>
  <c r="FY22"/>
  <c r="FY23"/>
  <c r="FY24"/>
  <c r="FY25"/>
  <c r="FY26"/>
  <c r="FY27"/>
  <c r="FY28"/>
  <c r="FY29"/>
  <c r="FY30"/>
  <c r="FY31"/>
  <c r="FY32"/>
  <c r="FY33"/>
  <c r="FY34"/>
  <c r="FY35"/>
  <c r="FY36"/>
  <c r="FY37"/>
  <c r="FY38"/>
  <c r="FY39"/>
  <c r="FY40"/>
  <c r="FY41"/>
  <c r="FY42"/>
  <c r="FY43"/>
  <c r="FY44"/>
  <c r="FY45"/>
  <c r="FY46"/>
  <c r="FY47"/>
  <c r="FY48"/>
  <c r="FX10"/>
  <c r="FX11"/>
  <c r="FX12"/>
  <c r="FX13"/>
  <c r="FX14"/>
  <c r="FX15"/>
  <c r="FX16"/>
  <c r="FX17"/>
  <c r="FX18"/>
  <c r="FX19"/>
  <c r="FX20"/>
  <c r="FX21"/>
  <c r="FX22"/>
  <c r="FX23"/>
  <c r="FX24"/>
  <c r="FX25"/>
  <c r="FX26"/>
  <c r="FX27"/>
  <c r="FX28"/>
  <c r="FX29"/>
  <c r="FX30"/>
  <c r="FX31"/>
  <c r="FX32"/>
  <c r="FX33"/>
  <c r="FX34"/>
  <c r="FX35"/>
  <c r="FX36"/>
  <c r="FX37"/>
  <c r="FX38"/>
  <c r="FX39"/>
  <c r="FX40"/>
  <c r="FX41"/>
  <c r="FX42"/>
  <c r="FX43"/>
  <c r="FX44"/>
  <c r="FX45"/>
  <c r="FX46"/>
  <c r="FX47"/>
  <c r="FX48"/>
  <c r="FW10"/>
  <c r="FW11"/>
  <c r="FW12"/>
  <c r="FW13"/>
  <c r="FW14"/>
  <c r="FW15"/>
  <c r="FW16"/>
  <c r="FW17"/>
  <c r="FW18"/>
  <c r="FW19"/>
  <c r="FW20"/>
  <c r="FW21"/>
  <c r="FW22"/>
  <c r="FW23"/>
  <c r="FW24"/>
  <c r="FW25"/>
  <c r="FW26"/>
  <c r="FW27"/>
  <c r="FW28"/>
  <c r="FW29"/>
  <c r="FW30"/>
  <c r="FW31"/>
  <c r="FW32"/>
  <c r="FW33"/>
  <c r="FW34"/>
  <c r="FW35"/>
  <c r="FW36"/>
  <c r="FW37"/>
  <c r="FW38"/>
  <c r="FW39"/>
  <c r="FW40"/>
  <c r="FW41"/>
  <c r="FW42"/>
  <c r="FW43"/>
  <c r="FW44"/>
  <c r="FW45"/>
  <c r="FW46"/>
  <c r="FW47"/>
  <c r="FW48"/>
  <c r="FV10"/>
  <c r="FV11"/>
  <c r="FV12"/>
  <c r="FV13"/>
  <c r="FV14"/>
  <c r="FV15"/>
  <c r="FV16"/>
  <c r="FV17"/>
  <c r="FV18"/>
  <c r="FV19"/>
  <c r="FV20"/>
  <c r="FV21"/>
  <c r="FV22"/>
  <c r="FV23"/>
  <c r="FV24"/>
  <c r="FV25"/>
  <c r="FV26"/>
  <c r="FV27"/>
  <c r="FV28"/>
  <c r="FV29"/>
  <c r="FV30"/>
  <c r="FV31"/>
  <c r="FV32"/>
  <c r="FV33"/>
  <c r="FV34"/>
  <c r="FV35"/>
  <c r="FV36"/>
  <c r="FV37"/>
  <c r="FV38"/>
  <c r="FV39"/>
  <c r="FV40"/>
  <c r="FV41"/>
  <c r="FV42"/>
  <c r="FV43"/>
  <c r="FV44"/>
  <c r="FV45"/>
  <c r="FV46"/>
  <c r="FV47"/>
  <c r="FV48"/>
  <c r="FU10"/>
  <c r="FU11"/>
  <c r="FU12"/>
  <c r="FU13"/>
  <c r="FU14"/>
  <c r="FU15"/>
  <c r="FU16"/>
  <c r="FU17"/>
  <c r="FU18"/>
  <c r="FU19"/>
  <c r="FU20"/>
  <c r="FU21"/>
  <c r="FU22"/>
  <c r="FU23"/>
  <c r="FU24"/>
  <c r="FU25"/>
  <c r="FU26"/>
  <c r="FU27"/>
  <c r="FU28"/>
  <c r="FU29"/>
  <c r="FU30"/>
  <c r="FU31"/>
  <c r="FU32"/>
  <c r="FU33"/>
  <c r="FU34"/>
  <c r="FU35"/>
  <c r="FU36"/>
  <c r="FU37"/>
  <c r="FU38"/>
  <c r="FU39"/>
  <c r="FU40"/>
  <c r="FU41"/>
  <c r="FU42"/>
  <c r="FU43"/>
  <c r="FU44"/>
  <c r="FU45"/>
  <c r="FU46"/>
  <c r="FU47"/>
  <c r="FU48"/>
  <c r="FT10"/>
  <c r="FT11"/>
  <c r="FT12"/>
  <c r="FT13"/>
  <c r="FT14"/>
  <c r="FT15"/>
  <c r="FT16"/>
  <c r="FT17"/>
  <c r="FT18"/>
  <c r="FT19"/>
  <c r="FT20"/>
  <c r="FT21"/>
  <c r="FT22"/>
  <c r="FT23"/>
  <c r="FT24"/>
  <c r="FT25"/>
  <c r="FT26"/>
  <c r="FT27"/>
  <c r="FT28"/>
  <c r="FT29"/>
  <c r="FT30"/>
  <c r="FT31"/>
  <c r="FT32"/>
  <c r="FT33"/>
  <c r="FT34"/>
  <c r="FT35"/>
  <c r="FT36"/>
  <c r="FT37"/>
  <c r="FT38"/>
  <c r="FT39"/>
  <c r="FT40"/>
  <c r="FT41"/>
  <c r="FT42"/>
  <c r="FT43"/>
  <c r="FT44"/>
  <c r="FT45"/>
  <c r="FT46"/>
  <c r="FT47"/>
  <c r="FT48"/>
  <c r="FS10"/>
  <c r="FS11"/>
  <c r="FS12"/>
  <c r="FS13"/>
  <c r="FS14"/>
  <c r="FS15"/>
  <c r="FS16"/>
  <c r="FS17"/>
  <c r="FS18"/>
  <c r="FS19"/>
  <c r="FS20"/>
  <c r="FS21"/>
  <c r="FS22"/>
  <c r="FS23"/>
  <c r="FS24"/>
  <c r="FS25"/>
  <c r="FS26"/>
  <c r="FS27"/>
  <c r="FS28"/>
  <c r="FS29"/>
  <c r="FS30"/>
  <c r="FS31"/>
  <c r="FS32"/>
  <c r="FS33"/>
  <c r="FS34"/>
  <c r="FS35"/>
  <c r="FS36"/>
  <c r="FS37"/>
  <c r="FS38"/>
  <c r="FS39"/>
  <c r="FS40"/>
  <c r="FS41"/>
  <c r="FS42"/>
  <c r="FS43"/>
  <c r="FS44"/>
  <c r="FS45"/>
  <c r="FS46"/>
  <c r="FS47"/>
  <c r="FS48"/>
  <c r="CU10"/>
  <c r="CU11"/>
  <c r="CU12"/>
  <c r="CU13"/>
  <c r="CU14"/>
  <c r="CU15"/>
  <c r="CU16"/>
  <c r="CU17"/>
  <c r="CU18"/>
  <c r="CU19"/>
  <c r="CU20"/>
  <c r="CU21"/>
  <c r="CU22"/>
  <c r="CU23"/>
  <c r="CU24"/>
  <c r="CU25"/>
  <c r="CU26"/>
  <c r="CU27"/>
  <c r="CU28"/>
  <c r="CU29"/>
  <c r="CU30"/>
  <c r="CU31"/>
  <c r="CU32"/>
  <c r="CU33"/>
  <c r="CU34"/>
  <c r="CU35"/>
  <c r="CU36"/>
  <c r="CU37"/>
  <c r="CU38"/>
  <c r="CU39"/>
  <c r="CU40"/>
  <c r="CU41"/>
  <c r="CU42"/>
  <c r="CU43"/>
  <c r="CU44"/>
  <c r="CU45"/>
  <c r="CU46"/>
  <c r="CU47"/>
  <c r="CU48"/>
  <c r="CT10"/>
  <c r="CT11"/>
  <c r="CT12"/>
  <c r="CT13"/>
  <c r="CT14"/>
  <c r="CT15"/>
  <c r="CT16"/>
  <c r="CT17"/>
  <c r="CT18"/>
  <c r="CT19"/>
  <c r="CT20"/>
  <c r="CT21"/>
  <c r="CT22"/>
  <c r="CT23"/>
  <c r="CT24"/>
  <c r="CT25"/>
  <c r="CT26"/>
  <c r="CT27"/>
  <c r="CT28"/>
  <c r="CT29"/>
  <c r="CT30"/>
  <c r="CT31"/>
  <c r="CT32"/>
  <c r="CT33"/>
  <c r="CT34"/>
  <c r="CT35"/>
  <c r="CT36"/>
  <c r="CT37"/>
  <c r="CT38"/>
  <c r="CT39"/>
  <c r="CT40"/>
  <c r="CT41"/>
  <c r="CT42"/>
  <c r="CT43"/>
  <c r="CT44"/>
  <c r="CT45"/>
  <c r="CT46"/>
  <c r="CT47"/>
  <c r="CT48"/>
  <c r="CS10"/>
  <c r="CS11"/>
  <c r="CS12"/>
  <c r="CS13"/>
  <c r="CS14"/>
  <c r="CS15"/>
  <c r="CS16"/>
  <c r="CS17"/>
  <c r="CS18"/>
  <c r="CS19"/>
  <c r="CS20"/>
  <c r="CS21"/>
  <c r="CS22"/>
  <c r="CS23"/>
  <c r="CS24"/>
  <c r="CS25"/>
  <c r="CS26"/>
  <c r="CS27"/>
  <c r="CS28"/>
  <c r="CS29"/>
  <c r="CS30"/>
  <c r="CS31"/>
  <c r="CS32"/>
  <c r="CS33"/>
  <c r="CS34"/>
  <c r="CS35"/>
  <c r="CS36"/>
  <c r="CS37"/>
  <c r="CS38"/>
  <c r="CS39"/>
  <c r="CS40"/>
  <c r="CS41"/>
  <c r="CS42"/>
  <c r="CS43"/>
  <c r="CS44"/>
  <c r="CS45"/>
  <c r="CS46"/>
  <c r="CS47"/>
  <c r="CS48"/>
  <c r="CR10"/>
  <c r="CR11"/>
  <c r="CR12"/>
  <c r="CR13"/>
  <c r="CR14"/>
  <c r="CR15"/>
  <c r="CR16"/>
  <c r="CR17"/>
  <c r="CR18"/>
  <c r="CR19"/>
  <c r="CR20"/>
  <c r="CR21"/>
  <c r="CR22"/>
  <c r="CR23"/>
  <c r="CR24"/>
  <c r="CR25"/>
  <c r="CR26"/>
  <c r="CR27"/>
  <c r="CR28"/>
  <c r="CR29"/>
  <c r="CR30"/>
  <c r="CR31"/>
  <c r="CR32"/>
  <c r="CR33"/>
  <c r="CR34"/>
  <c r="CR35"/>
  <c r="CR36"/>
  <c r="CR37"/>
  <c r="CR38"/>
  <c r="CR39"/>
  <c r="CR40"/>
  <c r="CR41"/>
  <c r="CR42"/>
  <c r="CR43"/>
  <c r="CR44"/>
  <c r="CR45"/>
  <c r="CR46"/>
  <c r="CR47"/>
  <c r="CR48"/>
  <c r="CQ10"/>
  <c r="CQ11"/>
  <c r="CQ12"/>
  <c r="CQ13"/>
  <c r="CQ14"/>
  <c r="CQ15"/>
  <c r="CQ16"/>
  <c r="CQ17"/>
  <c r="CQ18"/>
  <c r="CQ19"/>
  <c r="CQ20"/>
  <c r="CQ21"/>
  <c r="CQ22"/>
  <c r="CQ23"/>
  <c r="CQ24"/>
  <c r="CQ25"/>
  <c r="CQ26"/>
  <c r="CQ27"/>
  <c r="CQ28"/>
  <c r="CQ29"/>
  <c r="CQ30"/>
  <c r="CQ31"/>
  <c r="CQ32"/>
  <c r="CQ33"/>
  <c r="CQ34"/>
  <c r="CQ35"/>
  <c r="CQ36"/>
  <c r="CQ37"/>
  <c r="CQ38"/>
  <c r="CQ39"/>
  <c r="CQ40"/>
  <c r="CQ41"/>
  <c r="CQ42"/>
  <c r="CQ43"/>
  <c r="CQ44"/>
  <c r="CQ45"/>
  <c r="CQ46"/>
  <c r="CQ47"/>
  <c r="CQ48"/>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K48"/>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J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I48"/>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H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G48"/>
  <c r="BG10"/>
  <c r="BG11"/>
  <c r="BG12"/>
  <c r="BG13"/>
  <c r="BG14"/>
  <c r="BG15"/>
  <c r="BG16"/>
  <c r="BG17"/>
  <c r="BG18"/>
  <c r="BG19"/>
  <c r="BG20"/>
  <c r="BG21"/>
  <c r="BG22"/>
  <c r="BG23"/>
  <c r="BG24"/>
  <c r="BG25"/>
  <c r="BG26"/>
  <c r="BG27"/>
  <c r="BG28"/>
  <c r="BG29"/>
  <c r="BG30"/>
  <c r="BG31"/>
  <c r="BG32"/>
  <c r="BG33"/>
  <c r="BG34"/>
  <c r="BG35"/>
  <c r="BG36"/>
  <c r="BG37"/>
  <c r="BG38"/>
  <c r="BG39"/>
  <c r="BG40"/>
  <c r="BG41"/>
  <c r="BG42"/>
  <c r="BG43"/>
  <c r="BG44"/>
  <c r="BG45"/>
  <c r="BG46"/>
  <c r="BG47"/>
  <c r="BG48"/>
  <c r="BF10"/>
  <c r="BF11"/>
  <c r="BF12"/>
  <c r="BF13"/>
  <c r="BF14"/>
  <c r="BF15"/>
  <c r="BF16"/>
  <c r="BF17"/>
  <c r="BF18"/>
  <c r="BF19"/>
  <c r="BF20"/>
  <c r="BF21"/>
  <c r="BF22"/>
  <c r="BF23"/>
  <c r="BF24"/>
  <c r="BF25"/>
  <c r="BF26"/>
  <c r="BF27"/>
  <c r="BF28"/>
  <c r="BF29"/>
  <c r="BF30"/>
  <c r="BF31"/>
  <c r="BF32"/>
  <c r="BF33"/>
  <c r="BF34"/>
  <c r="BF35"/>
  <c r="BF36"/>
  <c r="BF37"/>
  <c r="BF38"/>
  <c r="BF39"/>
  <c r="BF40"/>
  <c r="BF41"/>
  <c r="BF42"/>
  <c r="BF43"/>
  <c r="BF44"/>
  <c r="BF45"/>
  <c r="BF46"/>
  <c r="BF47"/>
  <c r="BF48"/>
  <c r="BE10"/>
  <c r="BE11"/>
  <c r="BE12"/>
  <c r="BE13"/>
  <c r="BE14"/>
  <c r="BE15"/>
  <c r="BE16"/>
  <c r="BE17"/>
  <c r="BE18"/>
  <c r="BE19"/>
  <c r="BE20"/>
  <c r="BE21"/>
  <c r="BE22"/>
  <c r="BE23"/>
  <c r="BE24"/>
  <c r="BE25"/>
  <c r="BE26"/>
  <c r="BE27"/>
  <c r="BE28"/>
  <c r="BE29"/>
  <c r="BE30"/>
  <c r="BE31"/>
  <c r="BE32"/>
  <c r="BE33"/>
  <c r="BE34"/>
  <c r="BE35"/>
  <c r="BE36"/>
  <c r="BE37"/>
  <c r="BE38"/>
  <c r="BE39"/>
  <c r="BE40"/>
  <c r="BE41"/>
  <c r="BE42"/>
  <c r="BE43"/>
  <c r="BE44"/>
  <c r="BE45"/>
  <c r="BE46"/>
  <c r="BE47"/>
  <c r="BE48"/>
  <c r="BD10"/>
  <c r="BD11"/>
  <c r="BD12"/>
  <c r="BD13"/>
  <c r="BD14"/>
  <c r="BD15"/>
  <c r="BD16"/>
  <c r="BD17"/>
  <c r="BD18"/>
  <c r="BD19"/>
  <c r="BD20"/>
  <c r="BD21"/>
  <c r="BD22"/>
  <c r="BD23"/>
  <c r="BD24"/>
  <c r="BD25"/>
  <c r="BD26"/>
  <c r="BD27"/>
  <c r="BD28"/>
  <c r="BD29"/>
  <c r="BD30"/>
  <c r="BD31"/>
  <c r="BD32"/>
  <c r="BD33"/>
  <c r="BD34"/>
  <c r="BD35"/>
  <c r="BD36"/>
  <c r="BD37"/>
  <c r="BD38"/>
  <c r="BD39"/>
  <c r="BD40"/>
  <c r="BD41"/>
  <c r="BD42"/>
  <c r="BD43"/>
  <c r="BD44"/>
  <c r="BD45"/>
  <c r="BD46"/>
  <c r="BD47"/>
  <c r="BD48"/>
  <c r="BC10"/>
  <c r="BC11"/>
  <c r="BC12"/>
  <c r="BC13"/>
  <c r="BC14"/>
  <c r="BC15"/>
  <c r="BC16"/>
  <c r="BC17"/>
  <c r="BC18"/>
  <c r="BC19"/>
  <c r="BC20"/>
  <c r="BC21"/>
  <c r="BC22"/>
  <c r="BC23"/>
  <c r="BC24"/>
  <c r="BC25"/>
  <c r="BC26"/>
  <c r="BC27"/>
  <c r="BC28"/>
  <c r="BC29"/>
  <c r="BC30"/>
  <c r="BC31"/>
  <c r="BC32"/>
  <c r="BC33"/>
  <c r="BC34"/>
  <c r="BC35"/>
  <c r="BC36"/>
  <c r="BC37"/>
  <c r="BC38"/>
  <c r="BC39"/>
  <c r="BC40"/>
  <c r="BC41"/>
  <c r="BC42"/>
  <c r="BC43"/>
  <c r="BC44"/>
  <c r="BC45"/>
  <c r="BC46"/>
  <c r="BC47"/>
  <c r="BC48"/>
  <c r="AR10"/>
  <c r="AR11"/>
  <c r="AR12"/>
  <c r="AR13"/>
  <c r="AR14"/>
  <c r="AR15"/>
  <c r="AR16"/>
  <c r="AR17"/>
  <c r="AR18"/>
  <c r="AR19"/>
  <c r="AR20"/>
  <c r="AR21"/>
  <c r="AR22"/>
  <c r="AR23"/>
  <c r="AR24"/>
  <c r="AR25"/>
  <c r="AR26"/>
  <c r="AR27"/>
  <c r="AR28"/>
  <c r="AR29"/>
  <c r="AR30"/>
  <c r="AR31"/>
  <c r="AR32"/>
  <c r="AR33"/>
  <c r="AR34"/>
  <c r="AR35"/>
  <c r="AR36"/>
  <c r="AR37"/>
  <c r="AR38"/>
  <c r="AR39"/>
  <c r="AR40"/>
  <c r="AR41"/>
  <c r="AR42"/>
  <c r="AR43"/>
  <c r="AR44"/>
  <c r="AR45"/>
  <c r="AR46"/>
  <c r="AR47"/>
  <c r="AR48"/>
  <c r="AQ10"/>
  <c r="AQ11"/>
  <c r="AQ12"/>
  <c r="AQ13"/>
  <c r="AQ14"/>
  <c r="AQ15"/>
  <c r="AQ16"/>
  <c r="AQ17"/>
  <c r="AQ18"/>
  <c r="AQ19"/>
  <c r="AQ20"/>
  <c r="AQ21"/>
  <c r="AQ22"/>
  <c r="AQ23"/>
  <c r="AQ24"/>
  <c r="AQ25"/>
  <c r="AQ26"/>
  <c r="AQ27"/>
  <c r="AQ28"/>
  <c r="AQ29"/>
  <c r="AQ30"/>
  <c r="AQ31"/>
  <c r="AQ32"/>
  <c r="AQ33"/>
  <c r="AQ34"/>
  <c r="AQ35"/>
  <c r="AQ36"/>
  <c r="AQ37"/>
  <c r="AQ38"/>
  <c r="AQ39"/>
  <c r="AQ40"/>
  <c r="AQ41"/>
  <c r="AQ42"/>
  <c r="AQ43"/>
  <c r="AQ44"/>
  <c r="AQ45"/>
  <c r="AQ46"/>
  <c r="AQ47"/>
  <c r="AQ48"/>
  <c r="AP10"/>
  <c r="AP11"/>
  <c r="AP12"/>
  <c r="AP13"/>
  <c r="AP14"/>
  <c r="AP15"/>
  <c r="AP16"/>
  <c r="AP17"/>
  <c r="AP18"/>
  <c r="AP19"/>
  <c r="AP20"/>
  <c r="AP21"/>
  <c r="AP22"/>
  <c r="AP23"/>
  <c r="AP24"/>
  <c r="AP25"/>
  <c r="AP26"/>
  <c r="AP27"/>
  <c r="AP28"/>
  <c r="AP29"/>
  <c r="AP30"/>
  <c r="AP31"/>
  <c r="AP32"/>
  <c r="AP33"/>
  <c r="AP34"/>
  <c r="AP35"/>
  <c r="AP36"/>
  <c r="AP37"/>
  <c r="AP38"/>
  <c r="AP39"/>
  <c r="AP40"/>
  <c r="AP41"/>
  <c r="AP42"/>
  <c r="AP43"/>
  <c r="AP44"/>
  <c r="AP45"/>
  <c r="AP46"/>
  <c r="AP47"/>
  <c r="AP48"/>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AO48"/>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AN48"/>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G48"/>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F48"/>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F48"/>
  <c r="E48"/>
  <c r="A10"/>
  <c r="A11"/>
  <c r="A12"/>
  <c r="A13"/>
  <c r="A14"/>
  <c r="A15"/>
  <c r="A16"/>
  <c r="A17"/>
  <c r="A18"/>
  <c r="A19"/>
  <c r="A20"/>
  <c r="A21"/>
  <c r="A22"/>
  <c r="A23"/>
  <c r="A24"/>
  <c r="A25"/>
  <c r="A26"/>
  <c r="A27"/>
  <c r="A28"/>
  <c r="A29"/>
  <c r="A30"/>
  <c r="A31"/>
  <c r="A32"/>
  <c r="A33"/>
  <c r="A34"/>
  <c r="A35"/>
  <c r="A36"/>
  <c r="A37"/>
  <c r="A38"/>
  <c r="A39"/>
  <c r="A48"/>
  <c r="Q47"/>
  <c r="Q1762" i="35" s="1"/>
  <c r="P47" i="36"/>
  <c r="A47"/>
  <c r="Q46"/>
  <c r="Q1761" i="35" s="1"/>
  <c r="P46" i="36"/>
  <c r="A46"/>
  <c r="Q45"/>
  <c r="Q1760" i="35" s="1"/>
  <c r="P45" i="36"/>
  <c r="A45"/>
  <c r="Q44"/>
  <c r="Q1759" i="35" s="1"/>
  <c r="P44" i="36"/>
  <c r="A44"/>
  <c r="Q43"/>
  <c r="Q1758" i="35" s="1"/>
  <c r="P43" i="36"/>
  <c r="A43"/>
  <c r="Q42"/>
  <c r="Q1757" i="35" s="1"/>
  <c r="P42" i="36"/>
  <c r="A42"/>
  <c r="Q41"/>
  <c r="Q1756" i="35" s="1"/>
  <c r="P41" i="36"/>
  <c r="A41"/>
  <c r="Q40"/>
  <c r="Q1755" i="35" s="1"/>
  <c r="P40" i="36"/>
  <c r="A40"/>
  <c r="Q39"/>
  <c r="Q1754" i="35" s="1"/>
  <c r="P39" i="36"/>
  <c r="Q38"/>
  <c r="Q1753" i="35" s="1"/>
  <c r="P38" i="36"/>
  <c r="Q37"/>
  <c r="Q1752" i="35" s="1"/>
  <c r="P37" i="36"/>
  <c r="Q36"/>
  <c r="Q1751" i="35" s="1"/>
  <c r="P36" i="36"/>
  <c r="Q35"/>
  <c r="Q1750" i="35" s="1"/>
  <c r="P35" i="36"/>
  <c r="Q34"/>
  <c r="Q1749" i="35" s="1"/>
  <c r="P34" i="36"/>
  <c r="Q33"/>
  <c r="Q1748" i="35" s="1"/>
  <c r="P33" i="36"/>
  <c r="Q32"/>
  <c r="Q1747" i="35" s="1"/>
  <c r="P32" i="36"/>
  <c r="Q31"/>
  <c r="Q1746" i="35" s="1"/>
  <c r="P31" i="36"/>
  <c r="Q30"/>
  <c r="Q1745" i="35" s="1"/>
  <c r="P30" i="36"/>
  <c r="Q29"/>
  <c r="Q1744" i="35" s="1"/>
  <c r="P29" i="36"/>
  <c r="Q28"/>
  <c r="Q1743" i="35" s="1"/>
  <c r="P28" i="36"/>
  <c r="Q27"/>
  <c r="Q1742" i="35" s="1"/>
  <c r="P27" i="36"/>
  <c r="Q26"/>
  <c r="Q1741" i="35" s="1"/>
  <c r="P26" i="36"/>
  <c r="Q25"/>
  <c r="Q1740" i="35" s="1"/>
  <c r="P25" i="36"/>
  <c r="Q24"/>
  <c r="Q1739" i="35" s="1"/>
  <c r="P24" i="36"/>
  <c r="Q23"/>
  <c r="Q1738" i="35" s="1"/>
  <c r="P23" i="36"/>
  <c r="Q22"/>
  <c r="Q1737" i="35" s="1"/>
  <c r="P22" i="36"/>
  <c r="Q21"/>
  <c r="Q1736" i="35" s="1"/>
  <c r="P21" i="36"/>
  <c r="Q20"/>
  <c r="Q1735" i="35" s="1"/>
  <c r="P20" i="36"/>
  <c r="Q19"/>
  <c r="Q1734" i="35" s="1"/>
  <c r="P19" i="36"/>
  <c r="Q18"/>
  <c r="Q1733" i="35" s="1"/>
  <c r="P18" i="36"/>
  <c r="Q17"/>
  <c r="Q1732" i="35" s="1"/>
  <c r="P17" i="36"/>
  <c r="Q16"/>
  <c r="Q1731" i="35" s="1"/>
  <c r="P16" i="36"/>
  <c r="P15"/>
  <c r="P6"/>
  <c r="Q15"/>
  <c r="Q1730" i="35" s="1"/>
  <c r="P14" i="36"/>
  <c r="Q14"/>
  <c r="Q1729" i="35" s="1"/>
  <c r="Q13" i="36"/>
  <c r="Q1728" i="35" s="1"/>
  <c r="P13" i="36"/>
  <c r="P12"/>
  <c r="Q12"/>
  <c r="Q1727" i="35" s="1"/>
  <c r="P11" i="36"/>
  <c r="Q11"/>
  <c r="Q1726" i="35" s="1"/>
  <c r="Q10" i="36"/>
  <c r="Q1725" i="35" s="1"/>
  <c r="P10" i="36"/>
  <c r="A7"/>
  <c r="O3"/>
  <c r="A1"/>
  <c r="B46" i="8"/>
  <c r="B1934" i="35" s="1"/>
  <c r="C46" i="8"/>
  <c r="C1934" i="35" s="1"/>
  <c r="D46" i="8"/>
  <c r="D1934" i="35" s="1"/>
  <c r="E46" i="8"/>
  <c r="E1934" i="35" s="1"/>
  <c r="F46" i="8"/>
  <c r="F1934" i="35" s="1"/>
  <c r="G46" i="8"/>
  <c r="G1934" i="35" s="1"/>
  <c r="H46" i="8"/>
  <c r="H1934" i="35" s="1"/>
  <c r="I46" i="8"/>
  <c r="I1934" i="35" s="1"/>
  <c r="J46" i="8"/>
  <c r="J1934" i="35" s="1"/>
  <c r="K46" i="8"/>
  <c r="K1934" i="35" s="1"/>
  <c r="B81" i="8"/>
  <c r="B1969" i="35" s="1"/>
  <c r="C81" i="8"/>
  <c r="C1969" i="35" s="1"/>
  <c r="D81" i="8"/>
  <c r="D1969" i="35" s="1"/>
  <c r="E81" i="8"/>
  <c r="E1969" i="35" s="1"/>
  <c r="F81" i="8"/>
  <c r="F1969" i="35" s="1"/>
  <c r="G81" i="8"/>
  <c r="G1969" i="35" s="1"/>
  <c r="H81" i="8"/>
  <c r="H1969" i="35" s="1"/>
  <c r="I81" i="8"/>
  <c r="I1969" i="35" s="1"/>
  <c r="J81" i="8"/>
  <c r="J1969" i="35" s="1"/>
  <c r="K81" i="8"/>
  <c r="K1969" i="35" s="1"/>
  <c r="B116" i="8"/>
  <c r="B2004" i="35" s="1"/>
  <c r="C116" i="8"/>
  <c r="C2004" i="35" s="1"/>
  <c r="D116" i="8"/>
  <c r="D2004" i="35" s="1"/>
  <c r="E116" i="8"/>
  <c r="E2004" i="35" s="1"/>
  <c r="F116" i="8"/>
  <c r="F2004" i="35" s="1"/>
  <c r="G116" i="8"/>
  <c r="G2004" i="35" s="1"/>
  <c r="H116" i="8"/>
  <c r="H2004" i="35" s="1"/>
  <c r="I116" i="8"/>
  <c r="I2004" i="35" s="1"/>
  <c r="J116" i="8"/>
  <c r="J2004" i="35" s="1"/>
  <c r="K116" i="8"/>
  <c r="K2004" i="35" s="1"/>
  <c r="B151" i="8"/>
  <c r="B2039" i="35" s="1"/>
  <c r="C151" i="8"/>
  <c r="C2039" i="35" s="1"/>
  <c r="D151" i="8"/>
  <c r="D2039" i="35" s="1"/>
  <c r="E151" i="8"/>
  <c r="E2039" i="35" s="1"/>
  <c r="F151" i="8"/>
  <c r="F2039" i="35" s="1"/>
  <c r="F150" i="8"/>
  <c r="F2038" i="35" s="1"/>
  <c r="E150" i="8"/>
  <c r="E2038" i="35" s="1"/>
  <c r="D150" i="8"/>
  <c r="D2038" i="35" s="1"/>
  <c r="C150" i="8"/>
  <c r="C2038" i="35" s="1"/>
  <c r="B150" i="8"/>
  <c r="B2038" i="35" s="1"/>
  <c r="F149" i="8"/>
  <c r="F2037" i="35" s="1"/>
  <c r="E149" i="8"/>
  <c r="E2037" i="35" s="1"/>
  <c r="D149" i="8"/>
  <c r="D2037" i="35" s="1"/>
  <c r="C149" i="8"/>
  <c r="C2037" i="35" s="1"/>
  <c r="B149" i="8"/>
  <c r="B2037" i="35" s="1"/>
  <c r="F148" i="8"/>
  <c r="F2036" i="35" s="1"/>
  <c r="E148" i="8"/>
  <c r="E2036" i="35" s="1"/>
  <c r="D148" i="8"/>
  <c r="D2036" i="35" s="1"/>
  <c r="C148" i="8"/>
  <c r="C2036" i="35" s="1"/>
  <c r="B148" i="8"/>
  <c r="B2036" i="35" s="1"/>
  <c r="A148" i="8"/>
  <c r="F112"/>
  <c r="F2000" i="35" s="1"/>
  <c r="G112" i="8"/>
  <c r="G2000" i="35" s="1"/>
  <c r="H112" i="8"/>
  <c r="H2000" i="35" s="1"/>
  <c r="I112" i="8"/>
  <c r="I2000" i="35" s="1"/>
  <c r="J112" i="8"/>
  <c r="J2000" i="35" s="1"/>
  <c r="K112" i="8"/>
  <c r="K2000" i="35" s="1"/>
  <c r="B147" i="8"/>
  <c r="B2035" i="35" s="1"/>
  <c r="C147" i="8"/>
  <c r="C2035" i="35" s="1"/>
  <c r="D147" i="8"/>
  <c r="D2035" i="35" s="1"/>
  <c r="E147" i="8"/>
  <c r="E2035" i="35" s="1"/>
  <c r="F147" i="8"/>
  <c r="F2035" i="35" s="1"/>
  <c r="A147" i="8"/>
  <c r="F128"/>
  <c r="E128"/>
  <c r="D128"/>
  <c r="C128"/>
  <c r="B128"/>
  <c r="K93"/>
  <c r="J93"/>
  <c r="I93"/>
  <c r="H93"/>
  <c r="G93"/>
  <c r="F93"/>
  <c r="E93"/>
  <c r="D93"/>
  <c r="C93"/>
  <c r="B93"/>
  <c r="K58"/>
  <c r="J58"/>
  <c r="I58"/>
  <c r="H58"/>
  <c r="G58"/>
  <c r="F58"/>
  <c r="E58"/>
  <c r="D58"/>
  <c r="C58"/>
  <c r="B58"/>
  <c r="K23"/>
  <c r="J23"/>
  <c r="I23"/>
  <c r="H23"/>
  <c r="G23"/>
  <c r="F23"/>
  <c r="E23"/>
  <c r="D23"/>
  <c r="C23"/>
  <c r="B23"/>
  <c r="B41"/>
  <c r="B1929" i="35" s="1"/>
  <c r="C41" i="8"/>
  <c r="C1929" i="35" s="1"/>
  <c r="D41" i="8"/>
  <c r="D1929" i="35" s="1"/>
  <c r="E41" i="8"/>
  <c r="E1929" i="35" s="1"/>
  <c r="F41" i="8"/>
  <c r="F1929" i="35" s="1"/>
  <c r="G41" i="8"/>
  <c r="G1929" i="35" s="1"/>
  <c r="H41" i="8"/>
  <c r="H1929" i="35" s="1"/>
  <c r="I41" i="8"/>
  <c r="I1929" i="35" s="1"/>
  <c r="J41" i="8"/>
  <c r="J1929" i="35" s="1"/>
  <c r="K41" i="8"/>
  <c r="K1929" i="35" s="1"/>
  <c r="B76" i="8"/>
  <c r="B1964" i="35" s="1"/>
  <c r="C76" i="8"/>
  <c r="C1964" i="35" s="1"/>
  <c r="D76" i="8"/>
  <c r="D1964" i="35" s="1"/>
  <c r="E76" i="8"/>
  <c r="E1964" i="35" s="1"/>
  <c r="F76" i="8"/>
  <c r="F1964" i="35" s="1"/>
  <c r="G76" i="8"/>
  <c r="G1964" i="35" s="1"/>
  <c r="H76" i="8"/>
  <c r="H1964" i="35" s="1"/>
  <c r="I76" i="8"/>
  <c r="I1964" i="35" s="1"/>
  <c r="J76" i="8"/>
  <c r="J1964" i="35" s="1"/>
  <c r="K76" i="8"/>
  <c r="K1964" i="35" s="1"/>
  <c r="B111" i="8"/>
  <c r="B1999" i="35" s="1"/>
  <c r="C111" i="8"/>
  <c r="C1999" i="35" s="1"/>
  <c r="D111" i="8"/>
  <c r="D1999" i="35" s="1"/>
  <c r="E111" i="8"/>
  <c r="E1999" i="35" s="1"/>
  <c r="F111" i="8"/>
  <c r="F1999" i="35" s="1"/>
  <c r="G111" i="8"/>
  <c r="G1999" i="35" s="1"/>
  <c r="H111" i="8"/>
  <c r="H1999" i="35" s="1"/>
  <c r="I111" i="8"/>
  <c r="I1999" i="35" s="1"/>
  <c r="J111" i="8"/>
  <c r="J1999" i="35" s="1"/>
  <c r="K111" i="8"/>
  <c r="K1999" i="35" s="1"/>
  <c r="B146" i="8"/>
  <c r="B2034" i="35" s="1"/>
  <c r="C146" i="8"/>
  <c r="C2034" i="35" s="1"/>
  <c r="D146" i="8"/>
  <c r="D2034" i="35" s="1"/>
  <c r="E146" i="8"/>
  <c r="E2034" i="35" s="1"/>
  <c r="F146" i="8"/>
  <c r="F2034" i="35" s="1"/>
  <c r="A146" i="8"/>
  <c r="C13"/>
  <c r="D13"/>
  <c r="E13"/>
  <c r="F13"/>
  <c r="G13"/>
  <c r="H13"/>
  <c r="I13"/>
  <c r="J13"/>
  <c r="K13"/>
  <c r="B48"/>
  <c r="C48"/>
  <c r="D48"/>
  <c r="E48"/>
  <c r="F48"/>
  <c r="G48"/>
  <c r="H48"/>
  <c r="I48"/>
  <c r="J48"/>
  <c r="K48"/>
  <c r="B83"/>
  <c r="C83"/>
  <c r="D83"/>
  <c r="E83"/>
  <c r="F83"/>
  <c r="G83"/>
  <c r="H83"/>
  <c r="I83"/>
  <c r="J83"/>
  <c r="K83"/>
  <c r="B118"/>
  <c r="C118"/>
  <c r="D118"/>
  <c r="E118"/>
  <c r="F118"/>
  <c r="F125"/>
  <c r="B14"/>
  <c r="F119"/>
  <c r="B15"/>
  <c r="F120"/>
  <c r="F121"/>
  <c r="E125"/>
  <c r="E119"/>
  <c r="E120"/>
  <c r="E121"/>
  <c r="D125"/>
  <c r="D119"/>
  <c r="D120"/>
  <c r="D121"/>
  <c r="C125"/>
  <c r="C119"/>
  <c r="C120"/>
  <c r="C121"/>
  <c r="B125"/>
  <c r="B119"/>
  <c r="B120"/>
  <c r="B121"/>
  <c r="F133"/>
  <c r="F2021" i="35" s="1"/>
  <c r="F129" i="8"/>
  <c r="F131"/>
  <c r="F2019" i="35" s="1"/>
  <c r="F132" i="8"/>
  <c r="F2020" i="35" s="1"/>
  <c r="F144" i="8"/>
  <c r="E133"/>
  <c r="E2021" i="35" s="1"/>
  <c r="E129" i="8"/>
  <c r="E131"/>
  <c r="E2019" i="35" s="1"/>
  <c r="E132" i="8"/>
  <c r="E2020" i="35" s="1"/>
  <c r="E144" i="8"/>
  <c r="D133"/>
  <c r="D2021" i="35" s="1"/>
  <c r="D129" i="8"/>
  <c r="D131"/>
  <c r="D2019" i="35" s="1"/>
  <c r="D132" i="8"/>
  <c r="D2020" i="35" s="1"/>
  <c r="D144" i="8"/>
  <c r="C133"/>
  <c r="C2021" i="35" s="1"/>
  <c r="C129" i="8"/>
  <c r="C131"/>
  <c r="C2019" i="35" s="1"/>
  <c r="C132" i="8"/>
  <c r="C2020" i="35" s="1"/>
  <c r="C144" i="8"/>
  <c r="B133"/>
  <c r="B2021" i="35" s="1"/>
  <c r="B129" i="8"/>
  <c r="B131"/>
  <c r="B2019" i="35" s="1"/>
  <c r="B132" i="8"/>
  <c r="B2020" i="35" s="1"/>
  <c r="B144" i="8"/>
  <c r="A74"/>
  <c r="A109"/>
  <c r="A144"/>
  <c r="F143"/>
  <c r="E143"/>
  <c r="D143"/>
  <c r="C143"/>
  <c r="B143"/>
  <c r="A73"/>
  <c r="A108"/>
  <c r="A143"/>
  <c r="F142"/>
  <c r="E142"/>
  <c r="D142"/>
  <c r="C142"/>
  <c r="B142"/>
  <c r="A37"/>
  <c r="A72"/>
  <c r="A107"/>
  <c r="A142"/>
  <c r="A36"/>
  <c r="A71"/>
  <c r="A106"/>
  <c r="A141"/>
  <c r="F140"/>
  <c r="E140"/>
  <c r="D140"/>
  <c r="C140"/>
  <c r="B140"/>
  <c r="A35"/>
  <c r="A70"/>
  <c r="A105"/>
  <c r="A140"/>
  <c r="F139"/>
  <c r="E139"/>
  <c r="D139"/>
  <c r="C139"/>
  <c r="B139"/>
  <c r="A34"/>
  <c r="A69"/>
  <c r="A104"/>
  <c r="A139"/>
  <c r="B30"/>
  <c r="C30"/>
  <c r="D30"/>
  <c r="E30"/>
  <c r="F30"/>
  <c r="G30"/>
  <c r="H30"/>
  <c r="I30"/>
  <c r="J30"/>
  <c r="K30"/>
  <c r="B65"/>
  <c r="C65"/>
  <c r="D65"/>
  <c r="E65"/>
  <c r="F65"/>
  <c r="G65"/>
  <c r="H65"/>
  <c r="I65"/>
  <c r="J65"/>
  <c r="K65"/>
  <c r="B100"/>
  <c r="C100"/>
  <c r="D100"/>
  <c r="E100"/>
  <c r="F100"/>
  <c r="G100"/>
  <c r="H100"/>
  <c r="I100"/>
  <c r="J100"/>
  <c r="K100"/>
  <c r="B135"/>
  <c r="C135"/>
  <c r="D135"/>
  <c r="E135"/>
  <c r="F135"/>
  <c r="B32"/>
  <c r="C32"/>
  <c r="D32"/>
  <c r="E32"/>
  <c r="F32"/>
  <c r="G32"/>
  <c r="H32"/>
  <c r="I32"/>
  <c r="J32"/>
  <c r="K32"/>
  <c r="B67"/>
  <c r="C67"/>
  <c r="D67"/>
  <c r="E67"/>
  <c r="F67"/>
  <c r="G67"/>
  <c r="H67"/>
  <c r="I67"/>
  <c r="J67"/>
  <c r="K67"/>
  <c r="B102"/>
  <c r="C102"/>
  <c r="D102"/>
  <c r="E102"/>
  <c r="F102"/>
  <c r="G102"/>
  <c r="H102"/>
  <c r="I102"/>
  <c r="J102"/>
  <c r="K102"/>
  <c r="B137"/>
  <c r="C137"/>
  <c r="D137"/>
  <c r="E137"/>
  <c r="F137"/>
  <c r="A63"/>
  <c r="A98"/>
  <c r="A133"/>
  <c r="A62"/>
  <c r="A97"/>
  <c r="A132"/>
  <c r="A26"/>
  <c r="A61"/>
  <c r="A96"/>
  <c r="A131"/>
  <c r="A25"/>
  <c r="A60"/>
  <c r="A95"/>
  <c r="A130"/>
  <c r="A24"/>
  <c r="A59"/>
  <c r="A94"/>
  <c r="A129"/>
  <c r="A23"/>
  <c r="A58"/>
  <c r="A93"/>
  <c r="A128"/>
  <c r="B21"/>
  <c r="F126"/>
  <c r="E126"/>
  <c r="D126"/>
  <c r="C126"/>
  <c r="B126"/>
  <c r="K115"/>
  <c r="K2003" i="35" s="1"/>
  <c r="J115" i="8"/>
  <c r="J2003" i="35" s="1"/>
  <c r="I115" i="8"/>
  <c r="I2003" i="35" s="1"/>
  <c r="H115" i="8"/>
  <c r="H2003" i="35" s="1"/>
  <c r="G115" i="8"/>
  <c r="G2003" i="35" s="1"/>
  <c r="F115" i="8"/>
  <c r="F2003" i="35" s="1"/>
  <c r="E115" i="8"/>
  <c r="E2003" i="35" s="1"/>
  <c r="D115" i="8"/>
  <c r="D2003" i="35" s="1"/>
  <c r="C115" i="8"/>
  <c r="C2003" i="35" s="1"/>
  <c r="B115" i="8"/>
  <c r="B2003" i="35" s="1"/>
  <c r="K114" i="8"/>
  <c r="K2002" i="35" s="1"/>
  <c r="J114" i="8"/>
  <c r="J2002" i="35" s="1"/>
  <c r="I114" i="8"/>
  <c r="I2002" i="35" s="1"/>
  <c r="H114" i="8"/>
  <c r="H2002" i="35" s="1"/>
  <c r="G114" i="8"/>
  <c r="G2002" i="35" s="1"/>
  <c r="F114" i="8"/>
  <c r="F2002" i="35" s="1"/>
  <c r="E114" i="8"/>
  <c r="E2002" i="35" s="1"/>
  <c r="D114" i="8"/>
  <c r="D2002" i="35" s="1"/>
  <c r="C114" i="8"/>
  <c r="C2002" i="35" s="1"/>
  <c r="B114" i="8"/>
  <c r="B2002" i="35" s="1"/>
  <c r="K113" i="8"/>
  <c r="K2001" i="35" s="1"/>
  <c r="J113" i="8"/>
  <c r="J2001" i="35" s="1"/>
  <c r="I113" i="8"/>
  <c r="I2001" i="35" s="1"/>
  <c r="H113" i="8"/>
  <c r="H2001" i="35" s="1"/>
  <c r="G113" i="8"/>
  <c r="G2001" i="35" s="1"/>
  <c r="F113" i="8"/>
  <c r="F2001" i="35" s="1"/>
  <c r="E113" i="8"/>
  <c r="E2001" i="35" s="1"/>
  <c r="D113" i="8"/>
  <c r="D2001" i="35" s="1"/>
  <c r="C113" i="8"/>
  <c r="C2001" i="35" s="1"/>
  <c r="B113" i="8"/>
  <c r="B2001" i="35" s="1"/>
  <c r="A113" i="8"/>
  <c r="A112"/>
  <c r="A111"/>
  <c r="K90"/>
  <c r="K84"/>
  <c r="K85"/>
  <c r="K86"/>
  <c r="K87"/>
  <c r="K88"/>
  <c r="J90"/>
  <c r="J84"/>
  <c r="J85"/>
  <c r="J86"/>
  <c r="J87"/>
  <c r="J88"/>
  <c r="I90"/>
  <c r="I84"/>
  <c r="I85"/>
  <c r="I86"/>
  <c r="I87"/>
  <c r="I88"/>
  <c r="H90"/>
  <c r="H84"/>
  <c r="H85"/>
  <c r="H86"/>
  <c r="H87"/>
  <c r="H88"/>
  <c r="G90"/>
  <c r="G84"/>
  <c r="G85"/>
  <c r="G86"/>
  <c r="G87"/>
  <c r="G88"/>
  <c r="F90"/>
  <c r="F84"/>
  <c r="F85"/>
  <c r="F86"/>
  <c r="F87"/>
  <c r="F88"/>
  <c r="E90"/>
  <c r="E84"/>
  <c r="E85"/>
  <c r="E86"/>
  <c r="E87"/>
  <c r="E88"/>
  <c r="D90"/>
  <c r="D84"/>
  <c r="D85"/>
  <c r="D86"/>
  <c r="D87"/>
  <c r="D88"/>
  <c r="C90"/>
  <c r="C84"/>
  <c r="C85"/>
  <c r="C86"/>
  <c r="C87"/>
  <c r="C88"/>
  <c r="B90"/>
  <c r="B84"/>
  <c r="B85"/>
  <c r="B86"/>
  <c r="B87"/>
  <c r="B88"/>
  <c r="K98"/>
  <c r="K1986" i="35" s="1"/>
  <c r="K94" i="8"/>
  <c r="K96"/>
  <c r="K1984" i="35" s="1"/>
  <c r="K97" i="8"/>
  <c r="K1985" i="35" s="1"/>
  <c r="K109" i="8"/>
  <c r="J98"/>
  <c r="J1986" i="35" s="1"/>
  <c r="J94" i="8"/>
  <c r="J96"/>
  <c r="J1984" i="35" s="1"/>
  <c r="J97" i="8"/>
  <c r="J1985" i="35" s="1"/>
  <c r="J109" i="8"/>
  <c r="I98"/>
  <c r="I1986" i="35" s="1"/>
  <c r="I94" i="8"/>
  <c r="I96"/>
  <c r="I1984" i="35" s="1"/>
  <c r="I97" i="8"/>
  <c r="I1985" i="35" s="1"/>
  <c r="I109" i="8"/>
  <c r="H98"/>
  <c r="H1986" i="35" s="1"/>
  <c r="H94" i="8"/>
  <c r="H96"/>
  <c r="H1984" i="35" s="1"/>
  <c r="H97" i="8"/>
  <c r="H1985" i="35" s="1"/>
  <c r="H109" i="8"/>
  <c r="G98"/>
  <c r="G1986" i="35" s="1"/>
  <c r="G94" i="8"/>
  <c r="G96"/>
  <c r="G1984" i="35" s="1"/>
  <c r="G97" i="8"/>
  <c r="G1985" i="35" s="1"/>
  <c r="G109" i="8"/>
  <c r="F98"/>
  <c r="F1986" i="35" s="1"/>
  <c r="F94" i="8"/>
  <c r="F96"/>
  <c r="F1984" i="35" s="1"/>
  <c r="F97" i="8"/>
  <c r="F1985" i="35" s="1"/>
  <c r="F109" i="8"/>
  <c r="E98"/>
  <c r="E1986" i="35" s="1"/>
  <c r="E94" i="8"/>
  <c r="E96"/>
  <c r="E1984" i="35" s="1"/>
  <c r="E97" i="8"/>
  <c r="E1985" i="35" s="1"/>
  <c r="E109" i="8"/>
  <c r="D98"/>
  <c r="D1986" i="35" s="1"/>
  <c r="D94" i="8"/>
  <c r="D96"/>
  <c r="D1984" i="35" s="1"/>
  <c r="D97" i="8"/>
  <c r="D1985" i="35" s="1"/>
  <c r="D109" i="8"/>
  <c r="C98"/>
  <c r="C1986" i="35" s="1"/>
  <c r="C94" i="8"/>
  <c r="C96"/>
  <c r="C1984" i="35" s="1"/>
  <c r="C97" i="8"/>
  <c r="C1985" i="35" s="1"/>
  <c r="C109" i="8"/>
  <c r="B98"/>
  <c r="B1986" i="35" s="1"/>
  <c r="B94" i="8"/>
  <c r="B96"/>
  <c r="B1984" i="35" s="1"/>
  <c r="B97" i="8"/>
  <c r="B1985" i="35" s="1"/>
  <c r="B109" i="8"/>
  <c r="K108"/>
  <c r="J108"/>
  <c r="I108"/>
  <c r="H108"/>
  <c r="G108"/>
  <c r="F108"/>
  <c r="E108"/>
  <c r="D108"/>
  <c r="C108"/>
  <c r="B108"/>
  <c r="K107"/>
  <c r="J107"/>
  <c r="I107"/>
  <c r="H107"/>
  <c r="G107"/>
  <c r="F107"/>
  <c r="E107"/>
  <c r="D107"/>
  <c r="C107"/>
  <c r="B107"/>
  <c r="K105"/>
  <c r="J105"/>
  <c r="I105"/>
  <c r="H105"/>
  <c r="G105"/>
  <c r="F105"/>
  <c r="E105"/>
  <c r="D105"/>
  <c r="C105"/>
  <c r="B105"/>
  <c r="K104"/>
  <c r="J104"/>
  <c r="I104"/>
  <c r="H104"/>
  <c r="G104"/>
  <c r="F104"/>
  <c r="E104"/>
  <c r="D104"/>
  <c r="C104"/>
  <c r="B104"/>
  <c r="K91"/>
  <c r="J91"/>
  <c r="I91"/>
  <c r="H91"/>
  <c r="G91"/>
  <c r="F91"/>
  <c r="E91"/>
  <c r="D91"/>
  <c r="C91"/>
  <c r="B91"/>
  <c r="K80"/>
  <c r="K1968" i="35" s="1"/>
  <c r="J80" i="8"/>
  <c r="J1968" i="35" s="1"/>
  <c r="I80" i="8"/>
  <c r="I1968" i="35" s="1"/>
  <c r="H80" i="8"/>
  <c r="H1968" i="35" s="1"/>
  <c r="G80" i="8"/>
  <c r="G1968" i="35" s="1"/>
  <c r="F80" i="8"/>
  <c r="F1968" i="35" s="1"/>
  <c r="E80" i="8"/>
  <c r="E1968" i="35" s="1"/>
  <c r="D80" i="8"/>
  <c r="D1968" i="35" s="1"/>
  <c r="C80" i="8"/>
  <c r="C1968" i="35" s="1"/>
  <c r="B80" i="8"/>
  <c r="B1968" i="35" s="1"/>
  <c r="K79" i="8"/>
  <c r="K1967" i="35" s="1"/>
  <c r="J79" i="8"/>
  <c r="J1967" i="35" s="1"/>
  <c r="I79" i="8"/>
  <c r="I1967" i="35" s="1"/>
  <c r="H79" i="8"/>
  <c r="H1967" i="35" s="1"/>
  <c r="G79" i="8"/>
  <c r="G1967" i="35" s="1"/>
  <c r="F79" i="8"/>
  <c r="F1967" i="35" s="1"/>
  <c r="E79" i="8"/>
  <c r="E1967" i="35" s="1"/>
  <c r="D79" i="8"/>
  <c r="D1967" i="35" s="1"/>
  <c r="C79" i="8"/>
  <c r="C1967" i="35" s="1"/>
  <c r="B79" i="8"/>
  <c r="B1967" i="35" s="1"/>
  <c r="K78" i="8"/>
  <c r="K1966" i="35" s="1"/>
  <c r="J78" i="8"/>
  <c r="J1966" i="35" s="1"/>
  <c r="I78" i="8"/>
  <c r="I1966" i="35" s="1"/>
  <c r="H78" i="8"/>
  <c r="H1966" i="35" s="1"/>
  <c r="G78" i="8"/>
  <c r="G1966" i="35" s="1"/>
  <c r="F78" i="8"/>
  <c r="F1966" i="35" s="1"/>
  <c r="E78" i="8"/>
  <c r="E1966" i="35" s="1"/>
  <c r="D78" i="8"/>
  <c r="D1966" i="35" s="1"/>
  <c r="C78" i="8"/>
  <c r="C1966" i="35" s="1"/>
  <c r="B78" i="8"/>
  <c r="B1966" i="35" s="1"/>
  <c r="A78" i="8"/>
  <c r="A77"/>
  <c r="A76"/>
  <c r="K55"/>
  <c r="K49"/>
  <c r="K50"/>
  <c r="K51"/>
  <c r="K52"/>
  <c r="K53"/>
  <c r="J55"/>
  <c r="J49"/>
  <c r="J50"/>
  <c r="J51"/>
  <c r="J52"/>
  <c r="J53"/>
  <c r="I55"/>
  <c r="I49"/>
  <c r="I50"/>
  <c r="I51"/>
  <c r="I52"/>
  <c r="I53"/>
  <c r="H55"/>
  <c r="H49"/>
  <c r="H50"/>
  <c r="H51"/>
  <c r="H52"/>
  <c r="H53"/>
  <c r="G55"/>
  <c r="G49"/>
  <c r="G50"/>
  <c r="G51"/>
  <c r="G52"/>
  <c r="G53"/>
  <c r="F55"/>
  <c r="F49"/>
  <c r="F50"/>
  <c r="F51"/>
  <c r="F52"/>
  <c r="F53"/>
  <c r="E55"/>
  <c r="E49"/>
  <c r="E50"/>
  <c r="E51"/>
  <c r="E52"/>
  <c r="E53"/>
  <c r="D55"/>
  <c r="D49"/>
  <c r="D50"/>
  <c r="D51"/>
  <c r="D52"/>
  <c r="D53"/>
  <c r="C55"/>
  <c r="C49"/>
  <c r="C50"/>
  <c r="C51"/>
  <c r="C52"/>
  <c r="C53"/>
  <c r="B55"/>
  <c r="B49"/>
  <c r="B50"/>
  <c r="B51"/>
  <c r="B52"/>
  <c r="B53"/>
  <c r="K63"/>
  <c r="K1951" i="35" s="1"/>
  <c r="K59" i="8"/>
  <c r="K61"/>
  <c r="K1949" i="35" s="1"/>
  <c r="K62" i="8"/>
  <c r="K1950" i="35" s="1"/>
  <c r="K74" i="8"/>
  <c r="J63"/>
  <c r="J1951" i="35" s="1"/>
  <c r="J59" i="8"/>
  <c r="J61"/>
  <c r="J1949" i="35" s="1"/>
  <c r="J62" i="8"/>
  <c r="J1950" i="35" s="1"/>
  <c r="J74" i="8"/>
  <c r="I63"/>
  <c r="I1951" i="35" s="1"/>
  <c r="I59" i="8"/>
  <c r="I61"/>
  <c r="I1949" i="35" s="1"/>
  <c r="I62" i="8"/>
  <c r="I1950" i="35" s="1"/>
  <c r="I74" i="8"/>
  <c r="H63"/>
  <c r="H1951" i="35" s="1"/>
  <c r="H59" i="8"/>
  <c r="H61"/>
  <c r="H1949" i="35" s="1"/>
  <c r="H62" i="8"/>
  <c r="H1950" i="35" s="1"/>
  <c r="H74" i="8"/>
  <c r="G63"/>
  <c r="G1951" i="35" s="1"/>
  <c r="G59" i="8"/>
  <c r="G61"/>
  <c r="G1949" i="35" s="1"/>
  <c r="G62" i="8"/>
  <c r="G1950" i="35" s="1"/>
  <c r="G74" i="8"/>
  <c r="F63"/>
  <c r="F1951" i="35" s="1"/>
  <c r="F59" i="8"/>
  <c r="F61"/>
  <c r="F1949" i="35" s="1"/>
  <c r="F62" i="8"/>
  <c r="F1950" i="35" s="1"/>
  <c r="F74" i="8"/>
  <c r="E63"/>
  <c r="E1951" i="35" s="1"/>
  <c r="E59" i="8"/>
  <c r="E61"/>
  <c r="E1949" i="35" s="1"/>
  <c r="E62" i="8"/>
  <c r="E1950" i="35" s="1"/>
  <c r="E74" i="8"/>
  <c r="D63"/>
  <c r="D1951" i="35" s="1"/>
  <c r="D59" i="8"/>
  <c r="D61"/>
  <c r="D1949" i="35" s="1"/>
  <c r="D62" i="8"/>
  <c r="D1950" i="35" s="1"/>
  <c r="D74" i="8"/>
  <c r="C63"/>
  <c r="C1951" i="35" s="1"/>
  <c r="C59" i="8"/>
  <c r="C61"/>
  <c r="C1949" i="35" s="1"/>
  <c r="C62" i="8"/>
  <c r="C1950" i="35" s="1"/>
  <c r="C74" i="8"/>
  <c r="B63"/>
  <c r="B1951" i="35" s="1"/>
  <c r="B59" i="8"/>
  <c r="B61"/>
  <c r="B1949" i="35" s="1"/>
  <c r="B62" i="8"/>
  <c r="B1950" i="35" s="1"/>
  <c r="B74" i="8"/>
  <c r="K73"/>
  <c r="J73"/>
  <c r="I73"/>
  <c r="H73"/>
  <c r="G73"/>
  <c r="F73"/>
  <c r="E73"/>
  <c r="D73"/>
  <c r="C73"/>
  <c r="B73"/>
  <c r="K72"/>
  <c r="J72"/>
  <c r="I72"/>
  <c r="H72"/>
  <c r="G72"/>
  <c r="F72"/>
  <c r="E72"/>
  <c r="D72"/>
  <c r="C72"/>
  <c r="B72"/>
  <c r="K70"/>
  <c r="J70"/>
  <c r="I70"/>
  <c r="H70"/>
  <c r="G70"/>
  <c r="F70"/>
  <c r="E70"/>
  <c r="D70"/>
  <c r="C70"/>
  <c r="B70"/>
  <c r="K69"/>
  <c r="J69"/>
  <c r="I69"/>
  <c r="H69"/>
  <c r="G69"/>
  <c r="F69"/>
  <c r="E69"/>
  <c r="D69"/>
  <c r="C69"/>
  <c r="B69"/>
  <c r="K56"/>
  <c r="J56"/>
  <c r="I56"/>
  <c r="H56"/>
  <c r="G56"/>
  <c r="F56"/>
  <c r="E56"/>
  <c r="D56"/>
  <c r="C56"/>
  <c r="B56"/>
  <c r="K45"/>
  <c r="K1933" i="35" s="1"/>
  <c r="J45" i="8"/>
  <c r="J1933" i="35" s="1"/>
  <c r="I45" i="8"/>
  <c r="I1933" i="35" s="1"/>
  <c r="H45" i="8"/>
  <c r="H1933" i="35" s="1"/>
  <c r="G45" i="8"/>
  <c r="G1933" i="35" s="1"/>
  <c r="F45" i="8"/>
  <c r="F1933" i="35" s="1"/>
  <c r="E45" i="8"/>
  <c r="E1933" i="35" s="1"/>
  <c r="D45" i="8"/>
  <c r="D1933" i="35" s="1"/>
  <c r="C45" i="8"/>
  <c r="C1933" i="35" s="1"/>
  <c r="B45" i="8"/>
  <c r="B1933" i="35" s="1"/>
  <c r="K44" i="8"/>
  <c r="K1932" i="35" s="1"/>
  <c r="J44" i="8"/>
  <c r="J1932" i="35" s="1"/>
  <c r="I44" i="8"/>
  <c r="I1932" i="35" s="1"/>
  <c r="H44" i="8"/>
  <c r="H1932" i="35" s="1"/>
  <c r="G44" i="8"/>
  <c r="G1932" i="35" s="1"/>
  <c r="F44" i="8"/>
  <c r="F1932" i="35" s="1"/>
  <c r="E44" i="8"/>
  <c r="E1932" i="35" s="1"/>
  <c r="D44" i="8"/>
  <c r="D1932" i="35" s="1"/>
  <c r="C44" i="8"/>
  <c r="C1932" i="35" s="1"/>
  <c r="B44" i="8"/>
  <c r="B1932" i="35" s="1"/>
  <c r="K43" i="8"/>
  <c r="K1931" i="35" s="1"/>
  <c r="J43" i="8"/>
  <c r="J1931" i="35" s="1"/>
  <c r="I43" i="8"/>
  <c r="I1931" i="35" s="1"/>
  <c r="H43" i="8"/>
  <c r="H1931" i="35" s="1"/>
  <c r="G43" i="8"/>
  <c r="G1931" i="35" s="1"/>
  <c r="F43" i="8"/>
  <c r="F1931" i="35" s="1"/>
  <c r="E43" i="8"/>
  <c r="E1931" i="35" s="1"/>
  <c r="D43" i="8"/>
  <c r="D1931" i="35" s="1"/>
  <c r="C43" i="8"/>
  <c r="C1931" i="35" s="1"/>
  <c r="B43" i="8"/>
  <c r="B1931" i="35" s="1"/>
  <c r="A43" i="8"/>
  <c r="A42"/>
  <c r="A41"/>
  <c r="K20"/>
  <c r="K14"/>
  <c r="K15"/>
  <c r="K16"/>
  <c r="K17"/>
  <c r="K18"/>
  <c r="J20"/>
  <c r="J14"/>
  <c r="J15"/>
  <c r="J16"/>
  <c r="J17"/>
  <c r="J18"/>
  <c r="I20"/>
  <c r="I14"/>
  <c r="I15"/>
  <c r="I16"/>
  <c r="I17"/>
  <c r="I18"/>
  <c r="H20"/>
  <c r="H14"/>
  <c r="H15"/>
  <c r="H16"/>
  <c r="H17"/>
  <c r="H18"/>
  <c r="G20"/>
  <c r="G14"/>
  <c r="G15"/>
  <c r="G16"/>
  <c r="G17"/>
  <c r="G18"/>
  <c r="F20"/>
  <c r="F14"/>
  <c r="F15"/>
  <c r="F16"/>
  <c r="F17"/>
  <c r="F18"/>
  <c r="E20"/>
  <c r="E14"/>
  <c r="E15"/>
  <c r="E16"/>
  <c r="E17"/>
  <c r="E18"/>
  <c r="D20"/>
  <c r="D14"/>
  <c r="D15"/>
  <c r="D16"/>
  <c r="D17"/>
  <c r="D18"/>
  <c r="C20"/>
  <c r="C14"/>
  <c r="C15"/>
  <c r="C16"/>
  <c r="C17"/>
  <c r="C18"/>
  <c r="B20"/>
  <c r="P1863" i="35" s="1"/>
  <c r="B16" i="8"/>
  <c r="B17"/>
  <c r="B18"/>
  <c r="K28"/>
  <c r="K1916" i="35" s="1"/>
  <c r="K24" i="8"/>
  <c r="K26"/>
  <c r="K1914" i="35" s="1"/>
  <c r="K27" i="8"/>
  <c r="K1915" i="35" s="1"/>
  <c r="K39" i="8"/>
  <c r="J28"/>
  <c r="J1916" i="35" s="1"/>
  <c r="J24" i="8"/>
  <c r="J26"/>
  <c r="J1914" i="35" s="1"/>
  <c r="J27" i="8"/>
  <c r="J1915" i="35" s="1"/>
  <c r="J39" i="8"/>
  <c r="I28"/>
  <c r="I1916" i="35" s="1"/>
  <c r="I24" i="8"/>
  <c r="I26"/>
  <c r="I1914" i="35" s="1"/>
  <c r="I27" i="8"/>
  <c r="I1915" i="35" s="1"/>
  <c r="I39" i="8"/>
  <c r="H28"/>
  <c r="H1916" i="35" s="1"/>
  <c r="H24" i="8"/>
  <c r="H26"/>
  <c r="H1914" i="35" s="1"/>
  <c r="H27" i="8"/>
  <c r="H1915" i="35" s="1"/>
  <c r="H39" i="8"/>
  <c r="G28"/>
  <c r="G1916" i="35" s="1"/>
  <c r="G24" i="8"/>
  <c r="G26"/>
  <c r="G1914" i="35" s="1"/>
  <c r="G27" i="8"/>
  <c r="G1915" i="35" s="1"/>
  <c r="G39" i="8"/>
  <c r="F28"/>
  <c r="F1916" i="35" s="1"/>
  <c r="F24" i="8"/>
  <c r="F26"/>
  <c r="F1914" i="35" s="1"/>
  <c r="F27" i="8"/>
  <c r="F1915" i="35" s="1"/>
  <c r="F39" i="8"/>
  <c r="E28"/>
  <c r="E1916" i="35" s="1"/>
  <c r="E24" i="8"/>
  <c r="E26"/>
  <c r="E1914" i="35" s="1"/>
  <c r="E27" i="8"/>
  <c r="E1915" i="35" s="1"/>
  <c r="E39" i="8"/>
  <c r="D28"/>
  <c r="D1916" i="35" s="1"/>
  <c r="D24" i="8"/>
  <c r="D26"/>
  <c r="D1914" i="35" s="1"/>
  <c r="D27" i="8"/>
  <c r="D1915" i="35" s="1"/>
  <c r="D39" i="8"/>
  <c r="C28"/>
  <c r="C1916" i="35" s="1"/>
  <c r="C24" i="8"/>
  <c r="C26"/>
  <c r="C1914" i="35" s="1"/>
  <c r="C27" i="8"/>
  <c r="C1915" i="35" s="1"/>
  <c r="C39" i="8"/>
  <c r="B28"/>
  <c r="B1916" i="35" s="1"/>
  <c r="B24" i="8"/>
  <c r="B26"/>
  <c r="B1914" i="35" s="1"/>
  <c r="B27" i="8"/>
  <c r="B1915" i="35" s="1"/>
  <c r="B39" i="8"/>
  <c r="K38"/>
  <c r="J38"/>
  <c r="I38"/>
  <c r="H38"/>
  <c r="G38"/>
  <c r="F38"/>
  <c r="E38"/>
  <c r="D38"/>
  <c r="C38"/>
  <c r="B38"/>
  <c r="K37"/>
  <c r="J37"/>
  <c r="I37"/>
  <c r="H37"/>
  <c r="G37"/>
  <c r="F37"/>
  <c r="E37"/>
  <c r="D37"/>
  <c r="C37"/>
  <c r="B37"/>
  <c r="K35"/>
  <c r="J35"/>
  <c r="I35"/>
  <c r="H35"/>
  <c r="G35"/>
  <c r="F35"/>
  <c r="E35"/>
  <c r="D35"/>
  <c r="C35"/>
  <c r="B35"/>
  <c r="K34"/>
  <c r="J34"/>
  <c r="I34"/>
  <c r="H34"/>
  <c r="G34"/>
  <c r="F34"/>
  <c r="E34"/>
  <c r="D34"/>
  <c r="C34"/>
  <c r="B34"/>
  <c r="K21"/>
  <c r="J21"/>
  <c r="I21"/>
  <c r="H21"/>
  <c r="G21"/>
  <c r="F21"/>
  <c r="E21"/>
  <c r="D21"/>
  <c r="C21"/>
  <c r="K7"/>
  <c r="K6"/>
  <c r="K5"/>
  <c r="A1"/>
  <c r="K106"/>
  <c r="J106"/>
  <c r="I106"/>
  <c r="H106"/>
  <c r="G106"/>
  <c r="F106"/>
  <c r="E106"/>
  <c r="D106"/>
  <c r="C106"/>
  <c r="B106"/>
  <c r="F141"/>
  <c r="E141"/>
  <c r="D141"/>
  <c r="C141"/>
  <c r="B141"/>
  <c r="J47" i="6"/>
  <c r="J2095" i="35" s="1"/>
  <c r="A3" i="6"/>
  <c r="H3"/>
  <c r="A1"/>
  <c r="A3" i="37"/>
  <c r="A2"/>
  <c r="A3" i="38"/>
  <c r="A2"/>
  <c r="L2699" i="35" l="1"/>
  <c r="O2786"/>
  <c r="O2498" s="1"/>
  <c r="J1650"/>
  <c r="J1651" s="1"/>
  <c r="J1653" s="1"/>
  <c r="J1655" s="1"/>
  <c r="J1657" s="1"/>
  <c r="P1873"/>
  <c r="P1881" s="1"/>
  <c r="N1865"/>
  <c r="N1864"/>
  <c r="F2016"/>
  <c r="E2016"/>
  <c r="D2016"/>
  <c r="C2016"/>
  <c r="B2016"/>
  <c r="K1981"/>
  <c r="J1981"/>
  <c r="I1981"/>
  <c r="H1981"/>
  <c r="G1981"/>
  <c r="F1981"/>
  <c r="E1981"/>
  <c r="D1981"/>
  <c r="C1981"/>
  <c r="B1981"/>
  <c r="K1946"/>
  <c r="J1946"/>
  <c r="I1946"/>
  <c r="H1946"/>
  <c r="G1946"/>
  <c r="F1946"/>
  <c r="E1946"/>
  <c r="D1946"/>
  <c r="C1946"/>
  <c r="B1946"/>
  <c r="K1911"/>
  <c r="J1911"/>
  <c r="I1911"/>
  <c r="H1911"/>
  <c r="G1911"/>
  <c r="F1911"/>
  <c r="E1911"/>
  <c r="D1911"/>
  <c r="C1911"/>
  <c r="C1927"/>
  <c r="D1927"/>
  <c r="E1927"/>
  <c r="F1927"/>
  <c r="G1927"/>
  <c r="H1927"/>
  <c r="I1927"/>
  <c r="J1927"/>
  <c r="K1927"/>
  <c r="B1961"/>
  <c r="B1960"/>
  <c r="B1962"/>
  <c r="C1961"/>
  <c r="C1960"/>
  <c r="C1962"/>
  <c r="D1961"/>
  <c r="D1960"/>
  <c r="D1962"/>
  <c r="E1961"/>
  <c r="E1960"/>
  <c r="E1962"/>
  <c r="F1961"/>
  <c r="F1960"/>
  <c r="F1962"/>
  <c r="G1961"/>
  <c r="G1960"/>
  <c r="G1962"/>
  <c r="H1961"/>
  <c r="H1960"/>
  <c r="H1962"/>
  <c r="I1961"/>
  <c r="I1960"/>
  <c r="I1962"/>
  <c r="J1961"/>
  <c r="J1960"/>
  <c r="J1962"/>
  <c r="K1961"/>
  <c r="K1960"/>
  <c r="K1962"/>
  <c r="P148" i="36"/>
  <c r="J40" i="3"/>
  <c r="L40" s="1"/>
  <c r="J41"/>
  <c r="L41" s="1"/>
  <c r="J6" i="7"/>
  <c r="M385" i="35"/>
  <c r="J394"/>
  <c r="L394" s="1"/>
  <c r="B1911"/>
  <c r="M1659" l="1"/>
  <c r="J1661"/>
  <c r="B1924"/>
  <c r="B1923"/>
  <c r="B1922"/>
  <c r="B1921"/>
  <c r="P158" i="36"/>
  <c r="N150"/>
  <c r="N149"/>
  <c r="C1924" i="35"/>
  <c r="C1923"/>
  <c r="C1922"/>
  <c r="D1924"/>
  <c r="D1923"/>
  <c r="D1922"/>
  <c r="E1924"/>
  <c r="E1923"/>
  <c r="E1922"/>
  <c r="F1924"/>
  <c r="F1923"/>
  <c r="F1922"/>
  <c r="G1924"/>
  <c r="G1923"/>
  <c r="G1922"/>
  <c r="H1924"/>
  <c r="H1923"/>
  <c r="H1922"/>
  <c r="I1924"/>
  <c r="I1923"/>
  <c r="I1922"/>
  <c r="J1924"/>
  <c r="J1923"/>
  <c r="J1922"/>
  <c r="K1924"/>
  <c r="K1923"/>
  <c r="K1922"/>
  <c r="B1959"/>
  <c r="B1958"/>
  <c r="B1957"/>
  <c r="C1959"/>
  <c r="C1958"/>
  <c r="C1957"/>
  <c r="D1959"/>
  <c r="D1958"/>
  <c r="D1957"/>
  <c r="E1959"/>
  <c r="E1958"/>
  <c r="E1957"/>
  <c r="F1959"/>
  <c r="F1958"/>
  <c r="F1957"/>
  <c r="G1959"/>
  <c r="G1958"/>
  <c r="G1957"/>
  <c r="H1959"/>
  <c r="H1958"/>
  <c r="H1957"/>
  <c r="I1959"/>
  <c r="I1958"/>
  <c r="I1957"/>
  <c r="J1959"/>
  <c r="J1958"/>
  <c r="J1957"/>
  <c r="K1959"/>
  <c r="K1958"/>
  <c r="K1957"/>
  <c r="B1993"/>
  <c r="B1992"/>
  <c r="B1994"/>
  <c r="C1993"/>
  <c r="C1992"/>
  <c r="C1994"/>
  <c r="D1993"/>
  <c r="D1992"/>
  <c r="D1994"/>
  <c r="E1993"/>
  <c r="E1992"/>
  <c r="E1994"/>
  <c r="F1993"/>
  <c r="F1992"/>
  <c r="F1994"/>
  <c r="G1993"/>
  <c r="G1992"/>
  <c r="G1994"/>
  <c r="H1993"/>
  <c r="H1992"/>
  <c r="H1994"/>
  <c r="I1993"/>
  <c r="I1992"/>
  <c r="I1994"/>
  <c r="J1993"/>
  <c r="J1992"/>
  <c r="J1994"/>
  <c r="K1993"/>
  <c r="K1992"/>
  <c r="K1994"/>
  <c r="B2028"/>
  <c r="B2027"/>
  <c r="B2029"/>
  <c r="C2028"/>
  <c r="C2027"/>
  <c r="C2029"/>
  <c r="D2028"/>
  <c r="D2027"/>
  <c r="D2029"/>
  <c r="E2028"/>
  <c r="E2027"/>
  <c r="E2029"/>
  <c r="F2028"/>
  <c r="F2027"/>
  <c r="F2029"/>
  <c r="F2032"/>
  <c r="F2030"/>
  <c r="F2031"/>
  <c r="E2032"/>
  <c r="E2030"/>
  <c r="E2031"/>
  <c r="D2032"/>
  <c r="D2030"/>
  <c r="D2031"/>
  <c r="C2032"/>
  <c r="C2030"/>
  <c r="C2031"/>
  <c r="B2032"/>
  <c r="B2030"/>
  <c r="B2031"/>
  <c r="K1997"/>
  <c r="K1995"/>
  <c r="K1996"/>
  <c r="J1997"/>
  <c r="J1995"/>
  <c r="J1996"/>
  <c r="I1997"/>
  <c r="I1995"/>
  <c r="I1996"/>
  <c r="H1997"/>
  <c r="H1995"/>
  <c r="H1996"/>
  <c r="G1997"/>
  <c r="G1995"/>
  <c r="G1996"/>
  <c r="F1997"/>
  <c r="F1995"/>
  <c r="F1996"/>
  <c r="E1997"/>
  <c r="E1995"/>
  <c r="E1996"/>
  <c r="D1997"/>
  <c r="D1995"/>
  <c r="D1996"/>
  <c r="C1997"/>
  <c r="C1995"/>
  <c r="C1996"/>
  <c r="B1997"/>
  <c r="B1995"/>
  <c r="B1996"/>
  <c r="K1925"/>
  <c r="K1926"/>
  <c r="J1925"/>
  <c r="J1926"/>
  <c r="I1925"/>
  <c r="I1926"/>
  <c r="H1925"/>
  <c r="H1926"/>
  <c r="G1925"/>
  <c r="G1926"/>
  <c r="F1925"/>
  <c r="F1926"/>
  <c r="E1925"/>
  <c r="E1926"/>
  <c r="D1925"/>
  <c r="D1926"/>
  <c r="C1925"/>
  <c r="C1926"/>
  <c r="B1927"/>
  <c r="B1925"/>
  <c r="B1926"/>
  <c r="P166" i="36" l="1"/>
  <c r="N158"/>
  <c r="B19" i="8"/>
  <c r="F124" l="1"/>
  <c r="E124"/>
  <c r="D124"/>
  <c r="C124"/>
  <c r="B124"/>
  <c r="K89"/>
  <c r="J89"/>
  <c r="I89"/>
  <c r="H89"/>
  <c r="G89"/>
  <c r="F89"/>
  <c r="E89"/>
  <c r="D89"/>
  <c r="C89"/>
  <c r="B89"/>
  <c r="K54"/>
  <c r="J54"/>
  <c r="I54"/>
  <c r="H54"/>
  <c r="G54"/>
  <c r="F54"/>
  <c r="E54"/>
  <c r="D54"/>
  <c r="C54"/>
  <c r="B54"/>
  <c r="K19"/>
  <c r="J19"/>
  <c r="I19"/>
  <c r="H19"/>
  <c r="G19"/>
  <c r="F19"/>
  <c r="E19"/>
  <c r="D19"/>
  <c r="C19"/>
  <c r="B40"/>
  <c r="B22"/>
  <c r="B36" l="1"/>
  <c r="B33"/>
  <c r="C40"/>
  <c r="C22"/>
  <c r="D40"/>
  <c r="D22"/>
  <c r="E40"/>
  <c r="E22"/>
  <c r="F40"/>
  <c r="F22"/>
  <c r="G40"/>
  <c r="G22"/>
  <c r="H40"/>
  <c r="H22"/>
  <c r="I40"/>
  <c r="I22"/>
  <c r="J40"/>
  <c r="J22"/>
  <c r="K40"/>
  <c r="K22"/>
  <c r="B75"/>
  <c r="B57"/>
  <c r="C75"/>
  <c r="C57"/>
  <c r="D75"/>
  <c r="D57"/>
  <c r="E75"/>
  <c r="E57"/>
  <c r="F75"/>
  <c r="F57"/>
  <c r="G75"/>
  <c r="G57"/>
  <c r="H75"/>
  <c r="H57"/>
  <c r="I75"/>
  <c r="I57"/>
  <c r="J75"/>
  <c r="J57"/>
  <c r="K75"/>
  <c r="K57"/>
  <c r="B110"/>
  <c r="B92"/>
  <c r="B103" s="1"/>
  <c r="C110"/>
  <c r="C92"/>
  <c r="C103" s="1"/>
  <c r="D110"/>
  <c r="D92"/>
  <c r="D103" s="1"/>
  <c r="E110"/>
  <c r="E92"/>
  <c r="E103" s="1"/>
  <c r="F110"/>
  <c r="F92"/>
  <c r="F103" s="1"/>
  <c r="G110"/>
  <c r="G92"/>
  <c r="G103" s="1"/>
  <c r="H110"/>
  <c r="H92"/>
  <c r="H103" s="1"/>
  <c r="I110"/>
  <c r="I92"/>
  <c r="I103" s="1"/>
  <c r="J110"/>
  <c r="J92"/>
  <c r="J103" s="1"/>
  <c r="K110"/>
  <c r="K92"/>
  <c r="K103" s="1"/>
  <c r="B145"/>
  <c r="B127"/>
  <c r="B138" s="1"/>
  <c r="C145"/>
  <c r="C127"/>
  <c r="C138" s="1"/>
  <c r="D145"/>
  <c r="D127"/>
  <c r="D138" s="1"/>
  <c r="E145"/>
  <c r="E127"/>
  <c r="E138" s="1"/>
  <c r="F145"/>
  <c r="F127"/>
  <c r="F138" s="1"/>
  <c r="K71" l="1"/>
  <c r="K68"/>
  <c r="J71"/>
  <c r="J68"/>
  <c r="I71"/>
  <c r="I68"/>
  <c r="H71"/>
  <c r="H68"/>
  <c r="G71"/>
  <c r="G68"/>
  <c r="F71"/>
  <c r="F68"/>
  <c r="E71"/>
  <c r="E68"/>
  <c r="D71"/>
  <c r="D68"/>
  <c r="C71"/>
  <c r="C68"/>
  <c r="B71"/>
  <c r="B68"/>
  <c r="K36"/>
  <c r="K33"/>
  <c r="J36"/>
  <c r="J33"/>
  <c r="I36"/>
  <c r="I33"/>
  <c r="H36"/>
  <c r="H33"/>
  <c r="G36"/>
  <c r="G33"/>
  <c r="F36"/>
  <c r="F33"/>
  <c r="E36"/>
  <c r="E33"/>
  <c r="D36"/>
  <c r="D33"/>
  <c r="C36"/>
  <c r="C33"/>
</calcChain>
</file>

<file path=xl/sharedStrings.xml><?xml version="1.0" encoding="utf-8"?>
<sst xmlns="http://schemas.openxmlformats.org/spreadsheetml/2006/main" count="10156" uniqueCount="4145">
  <si>
    <t xml:space="preserve">We have submitted for the superior project concept based on the extremely urgent need for housing in the region due to devastating tornadoes this April.  Walker Co. has been declared a disaster zone by President Obama and </t>
    <phoneticPr fontId="5" type="noConversion"/>
  </si>
  <si>
    <t xml:space="preserve">half of the power consumed at the community level (site lights, community center, etc). We anticipate that the community will consume 75,000 kilowatt hours of electricity annually -- which is based on our analysis of Juniper Court (2007-043) and Camellia Lane (2008-056), which are materially identical communities.  We believe the array will produce about half of the energy needed, based on the attached analysis from National Renewable Energy Laboratory's PVWatts program.  We are also proposing LED parking lot lights with a 12+ year lifespan to avoid the expense of a cherry picker every time a parking lot light burns out ($500 per trip).  The solar array also allows this proposal to leverage an additional, non-DCA source of funds via the sale of the clean energy tax credit, which is equal to 30% of installed cost of the array or $63,750 and will be sold for $47,807.  The market study has indicated a great need for Endeavor Pointe -- every program assisted elderly property surveyed had a waiting list.  Local officials have endorsed it, including county commissioner Bebe Heiskell who provided a resolution of support as well as several positive comments in a newspaper interview regarding the Endeavor Pointe proposal (see attached article "Rock Spring </t>
    <phoneticPr fontId="5" type="noConversion"/>
  </si>
  <si>
    <t>N/a</t>
    <phoneticPr fontId="5" type="noConversion"/>
  </si>
  <si>
    <t>Yes</t>
    <phoneticPr fontId="5" type="noConversion"/>
  </si>
  <si>
    <t xml:space="preserve">per the preliminary equity commitment included in tab 5.  We do not view this as a material change and hereby certify that no other changes to the project participants has occurred between our pre app submission and </t>
    <phoneticPr fontId="5" type="noConversion"/>
  </si>
  <si>
    <t>this submission of final app.</t>
    <phoneticPr fontId="5" type="noConversion"/>
  </si>
  <si>
    <t xml:space="preserve">Unfortunately, damage was not confined to Walker County, with all but two of the six counties contiguous to Walker County also being declared disaster zones (see map included herewith).  Given the results of Endeavor Pointe's market study, all suveyed program assisted elderly properties had waiting lists, meaning those Seniors who were displaced will likely remain so for the forseeable future. Included herewith is documentation from FEMA indicating the declaration of disaster zone.  In addition to the urgent need for housing, this proposal is also unique in its use of sustainability to create a cleaner, lower carbon footprint, more energy efficient community.  Endeavor Pointe will achieve certification under Earthcraft multifamily sustainable building certification, which will include efficient building practices designed to eliminate thermal loss, improve indoor air quality, enhance the lifespan of the community and reduce the impact of development on the environment.  In addition, several other "green" items have also been incorporated into the proposal, such as a solar array, compact fluorescent lighting through out and automated rheostats to harvest natural light.  Included in the budget is $212,500 for a 50 kilowatt solar array, which will produce approximately </t>
    <phoneticPr fontId="5" type="noConversion"/>
  </si>
  <si>
    <t xml:space="preserve">We've closed two proposals since 7/2008:Juniper Court, Camella Lane. Juniper was HOME/LIHTC, Camellia was 100% 1602 funds. Our 2010 app, Green Mountain Village, was ready to close on/before 6/23/11 but didn't go through loan committee until 6/20/11. We expect closing, which includes syndicated federal/state equity along with a HOME loan,within 2 weeks of delivering this application.We did everything in our power to earn a point  </t>
    <phoneticPr fontId="5" type="noConversion"/>
  </si>
  <si>
    <t>Estimated schedule of values included in tab 8. Taxes calculated based on ad valorem expense per unit of comparable properties in Walker County, per documentation in tab 8.  Water ($1000 per tap) and sewer ($510 per tap) fee schedules included in tab 8.</t>
    <phoneticPr fontId="5" type="noConversion"/>
  </si>
  <si>
    <t>Governor Deal. In addition, this proposal features a high degree of energy efficiency and sustainability, and a demonstrated need for senior housing in the market.</t>
    <phoneticPr fontId="5" type="noConversion"/>
  </si>
  <si>
    <t>as well as manager's "pass" rating included in tab 38.  Also included is compliance scoring documentation submitted during pre application.</t>
    <phoneticPr fontId="5" type="noConversion"/>
  </si>
  <si>
    <t>Proposed site is in census tract 206.01 of Walker County and is eligible for 4 points under part A 1 above.  The applicable income and demographic documentation from FFIEC has been included in tab 30.</t>
    <phoneticPr fontId="5" type="noConversion"/>
  </si>
  <si>
    <t xml:space="preserve">Per enclosed market study, overall estimated vacancy rate for LIHTC elderly approximately 1%.  All elderly LIHTC properties surveyed reported waiting lists.  </t>
    <phoneticPr fontId="5" type="noConversion"/>
  </si>
  <si>
    <t xml:space="preserve">Bebe Heiskell, Sole County Commissioner, stated there is a need for senior housing in Walker County, particularly after the storms ravaged the area earlier this year, which destroyed a significant portion of the region's housing stock.  </t>
    <phoneticPr fontId="5" type="noConversion"/>
  </si>
  <si>
    <t xml:space="preserve">Community supports development.Walker Co Commissioner Bebe Heiskell provided resolution of support &amp; said in newspaper interview the "strong need" for sr. housing in Walker Co. Need is acute b/c tornadoes in April 2011.  </t>
    <phoneticPr fontId="5" type="noConversion"/>
  </si>
  <si>
    <t>Endeavor Pointe commits to obtaining a sustainable building certification through Earthcraft House multifamily.  A draft scoring sheet is included in tab 29, along with certification that member of GP/Dev entities have completed the training necessary to claim these</t>
    <phoneticPr fontId="5" type="noConversion"/>
  </si>
  <si>
    <t xml:space="preserve">TDC&lt; PUCL,proposal leverages LIHTC's, DCA HOME loan, sale of clean energy tax credits per IRC Sec. 48. No identities of interest that would lead to undue enrichment (please see section v of tab II of core app). </t>
    <phoneticPr fontId="5" type="noConversion"/>
  </si>
  <si>
    <t>Rent limits used in part I above are based off of the lower tax credit rents and FMR's per the most recent data available. Gross rents used are well below max gross rent and should not be affected by any changes to program rents from 2010 to 2011.</t>
    <phoneticPr fontId="5" type="noConversion"/>
  </si>
  <si>
    <t>Asset management fee prepaid, per equity commitment letter in tab 5 of app binder, and uses of funds.</t>
    <phoneticPr fontId="5" type="noConversion"/>
  </si>
  <si>
    <t>We're not aware of any LIHTC communities funded by DCA in 2008-2010 competitive rounds</t>
    <phoneticPr fontId="5" type="noConversion"/>
  </si>
  <si>
    <t>Minority concentration of 6.83% makes this census tract characterized as non-minority.  All applicable documentation listed in in tab 20: Additional HOME/HUD requirements.</t>
    <phoneticPr fontId="5" type="noConversion"/>
  </si>
  <si>
    <t>Not applicable to this proposal as Endeavor Pointe is a proposal for new construction.</t>
    <phoneticPr fontId="5" type="noConversion"/>
  </si>
  <si>
    <t>has been filled right up.  There is a need for it in Walker County."  That article is included in tab 16.</t>
    <phoneticPr fontId="5" type="noConversion"/>
  </si>
  <si>
    <t xml:space="preserve">  Please see resolution of support, along with minutes from zoning meetings as well as resolution of support meeting, as well as newspaper article on proposed development in tab 16</t>
    <phoneticPr fontId="5" type="noConversion"/>
  </si>
  <si>
    <t>Item C not applicable. This proposal will go through Earthcraft building certification and will also incorporate a solar array to provide approximately 50% of community level (common areas) electricity.</t>
    <phoneticPr fontId="5" type="noConversion"/>
  </si>
  <si>
    <t>in the site plan, on the western side of the site.  All applicable floodplain/floodzone buffers will be met or exceeded as depicted in site plan.</t>
    <phoneticPr fontId="5" type="noConversion"/>
  </si>
  <si>
    <t>Site control thru 12/31/11, per tab 12</t>
    <phoneticPr fontId="5" type="noConversion"/>
  </si>
  <si>
    <t>Site is accessible from Kay Conley Road, which is a Walker County road per documentation listed in tab 13</t>
    <phoneticPr fontId="5" type="noConversion"/>
  </si>
  <si>
    <t>Walker County Water and Sewerage Authority</t>
    <phoneticPr fontId="5" type="noConversion"/>
  </si>
  <si>
    <t>Walker County sole commissioner, Bebe Heiskell, provided a resolution of support for Endeavor Pointe.  In addition, she indicated the strong need for elderly housing in Walker County in an interview with a local newspaper.</t>
    <phoneticPr fontId="5" type="noConversion"/>
  </si>
  <si>
    <t xml:space="preserve">The financing for Endeavor Pointe includes LIHTC and a HOME loan from DCA -- a combination imperative for the low rents necessary to not only serve the area's affordable housing needs, but also achieve a market advantage.  20% of those units will be affordable to individuals with 50% or less AMI and the remainder to those with 60% or less AMI. Due to the tornadoes that ravaged the area in April 2011, the area is in extreme need of such housing and has been declared a disaster zone by President Obama.   Proposed rents are well below gross rent limits at $335 and $355 for all one and two bedroom units, respectively. Endeavor Pointe's market study validates the strong need in both Rock Spring as well as Walker County for housing affordable to Seniors, particularly housing that features such substantial amenities and quality of life as Endeavor Pointe.   Walker County's sole County Commissioner, Bebe Heiskell, confirmed this need through her provision of a resolution of support.  She emphasized this in a statement to the local newspaper regarding the Endeavor Pointe proposal, saying "It was just to show the Georgia Department of Community Affairs that the county supports this type of project...Everything that's been built relative to Senior housing     </t>
    <phoneticPr fontId="5" type="noConversion"/>
  </si>
  <si>
    <t xml:space="preserve"> </t>
    <phoneticPr fontId="5" type="noConversion"/>
  </si>
  <si>
    <t>There are no principals of the GP/Developer/Manager other than Nicholas Sherman and Cheryl Murphy</t>
    <phoneticPr fontId="5" type="noConversion"/>
  </si>
  <si>
    <t>Insurance calculation consistent with Tower Management Company's average insurance cost per unit of $200 per unit, which yields a value of $12,749 on 64 units, rounded up to $13,000.  Accounting expense based on Tower Management Company, Inc. comp data included in tab 8.  This data suggests accounting expense of $6,558, which has been rounded up to $7K, with documentation also included in tab 8.</t>
    <phoneticPr fontId="5" type="noConversion"/>
  </si>
  <si>
    <t xml:space="preserve">Endeavor Pointe will also feature a high degree of sustainability designed to reduce the carbon footprint of the development.  The community will achieve Southface Institute's Earthcraft Multifamily Building Certification and feature a solar array designed to produce approximately half of the electricity consumed at the community level (clubhouse facility, parking lot lights, hallway lights, etc.).  The solar array has an expected life of 25 years -- five years longer than the proposed HOME loan term.  Endeavor Pointe will also make widespread use of compact fluorescent lighting throughout the community (clubhouse, hallways, apartment units), and will harvest natural light through an automated rheostat/light sensor system.  Finally, the community will employ LED lighting for parking areas.  The lights have a lifespan of in excess of 12 years.  This solution to parking lot lighting reduces long term operating expense because a cherry picker, around $500 per visit, is required to change parking lot lights.  This creates a moral hazard in that it is more efficient to wait for several lights to burn out before calling in the cherry picker.  </t>
    <phoneticPr fontId="5" type="noConversion"/>
  </si>
  <si>
    <t>The proposed community design includes three two story buildings arranged in a "U" configuration, with an elevator at each corner of the "U".  In the center of the community will be a 1,949 square foot community building with a kitchen and will feature such amenities as equipped computer center, furnished fitness/exercise center, a video gaming area to encourage low impact exercise -- through games such as Nintendo's Wii bowling, a manager's office and equipped library.  The clubhouse facility, with all of its resources, will make a great venue for social and recreational services planned and overseen by the project manager.  Endeavor Pointe will have a complete built-in fire sprinkler system and will employ an energy package that exceeds Georgia State Energy code.  Finally, the community will feature a largely brick exterior, accentuated by decorative gables.</t>
    <phoneticPr fontId="5" type="noConversion"/>
  </si>
  <si>
    <t xml:space="preserve">We believe that this proposal meets a unique and particularly urgent housing need as a reult of the natural disasters that occurred in the area in April, as well as for the sustainable, efficient design of the proposed Community.   As a result of the tornadoes this past April, 250 homes sustained damage in Walker County alone, with thirty homes completely decimated.  Hundreds, if not thousands of individuals were left without a home.  As a result, both President Obama and Governor Deal declared the region a disaster area, on April 29 2011, which includes Walker County, and therefore makes this proposal a priority for federal and state funding.  Several hundred individuals in the region were left homeless, not to mention those folks who perished altogether.  Within Walker County, the communities of Flintstone, Rossville and Chattanooga Valley -- all are in the northern portion of the county and are within 13 miles of the site, which is also located in the northern portion of the County (see attached articles from local newspaper).  It was for this reason that the County designated the Walker County Agricultural Center, located in Rock Spring and just a mile away from Endeavor Pointe's proposed site, as the disaster recovery center for the area. </t>
    <phoneticPr fontId="5" type="noConversion"/>
  </si>
  <si>
    <t xml:space="preserve">Cartersville </t>
    <phoneticPr fontId="5" type="noConversion"/>
  </si>
  <si>
    <t xml:space="preserve"> </t>
    <phoneticPr fontId="5" type="noConversion"/>
  </si>
  <si>
    <t>Endeavor Pointe is new construction for a new community.  There have been no projects funded in the local area or the boundaries of the local gov't (unincorporated Walker County) in 4+ rounds.</t>
    <phoneticPr fontId="5" type="noConversion"/>
  </si>
  <si>
    <t xml:space="preserve"> </t>
    <phoneticPr fontId="5" type="noConversion"/>
  </si>
  <si>
    <t>Alliant Tax Credit Funds (both state and fed)</t>
    <phoneticPr fontId="5" type="noConversion"/>
  </si>
  <si>
    <t>Endeavor Pointe's project team is qualified without conditions, per the 2011 pre application submission.  As such, we've put "yes" to first question of this section.  Documentation from DCA on our qualification determination</t>
    <phoneticPr fontId="5" type="noConversion"/>
  </si>
  <si>
    <t>Per 2011 QAP (page 5 of Appendix II), 50% rent/income restrictions on 15% or more of total units are eligible for three points. Three one bedroom units and ten two bedroom units @ 50% rent/income</t>
    <phoneticPr fontId="5" type="noConversion"/>
  </si>
  <si>
    <t>Not applicable to this proposal -- new construction</t>
    <phoneticPr fontId="5" type="noConversion"/>
  </si>
  <si>
    <t>Not applicable to this proposal -- site is vacant, rural land.</t>
    <phoneticPr fontId="5" type="noConversion"/>
  </si>
  <si>
    <t>N/A</t>
    <phoneticPr fontId="5" type="noConversion"/>
  </si>
  <si>
    <t>points.</t>
    <phoneticPr fontId="5" type="noConversion"/>
  </si>
  <si>
    <t>N/a</t>
    <phoneticPr fontId="5" type="noConversion"/>
  </si>
  <si>
    <t>As Tower Management Company is proposed owner/developer/manager, management fee of $35 per unit per month is consistent with that quoted to and/or charged to third party unrelated developers.</t>
    <phoneticPr fontId="5" type="noConversion"/>
  </si>
  <si>
    <t>Rehab is not applicable to this proposal as Endeavor Pointe is a proposal for new construction</t>
    <phoneticPr fontId="5" type="noConversion"/>
  </si>
  <si>
    <t>Not applicable to this proposal as it is a proposal for new construction on an empty site.</t>
    <phoneticPr fontId="5" type="noConversion"/>
  </si>
  <si>
    <t>Per Environmental, site has no floodplain or wetland.  We have shown a floodplain on the site plan, as we understand from Walker County that new floodplain data is being compiled indicating a floodplain, as depicted</t>
    <phoneticPr fontId="5" type="noConversion"/>
  </si>
  <si>
    <t>Building is two stories, so D. 2 above was answered "no"</t>
    <phoneticPr fontId="5" type="noConversion"/>
  </si>
  <si>
    <t>9 months</t>
    <phoneticPr fontId="5" type="noConversion"/>
  </si>
  <si>
    <t>Property was rezoned to R-2 multifamily designation to accept the Endeavor Pointe proposal.  A letter confirming the zoning is included in tab 14: Zoning</t>
    <phoneticPr fontId="5" type="noConversion"/>
  </si>
  <si>
    <t>&lt;65</t>
    <phoneticPr fontId="5" type="noConversion"/>
  </si>
  <si>
    <t xml:space="preserve">Project is located in Rock Spring, GA which is approximately 8 miles north of Lafayette and in an unincorporated part of Walker County.  Nine digit zip code unavailable, as the site has no street address number.  Since Rock Spring was not an option in the Cities list, we put LaFayette </t>
    <phoneticPr fontId="5" type="noConversion"/>
  </si>
  <si>
    <t>Neither</t>
    <phoneticPr fontId="5" type="noConversion"/>
  </si>
  <si>
    <t>DCA HOME Loan</t>
    <phoneticPr fontId="5" type="noConversion"/>
  </si>
  <si>
    <t>This proposal is not claiming points under this section.</t>
    <phoneticPr fontId="5" type="noConversion"/>
  </si>
  <si>
    <t>This is the only proposal we've submitted in the 2011 round.  It is in a rural area, per documentation from USDA in tab 1. Also, Walker Co appears on list of rural counties in Appendix II of 2011 QAP</t>
    <phoneticPr fontId="5" type="noConversion"/>
  </si>
  <si>
    <t>Please see HOME loan consent from DCA in tab 5 -- financing commitments -- of application binder.  Commitment is for $1,600,000.</t>
    <phoneticPr fontId="5" type="noConversion"/>
  </si>
  <si>
    <t>Erosion Control + Construction Inspections</t>
    <phoneticPr fontId="5" type="noConversion"/>
  </si>
  <si>
    <t xml:space="preserve">The Endeavor Pointe proposal features a solar array with an estimated cost of $212,500.  Per IRC Section 48, the solar equipment is eligible for a federal tax credit equal to 30% of the system's installed value, or $63,750 in this case.  We have shown proceeds from the sale of these credits, at $0.75 per $1 of credit as a source above.  </t>
    <phoneticPr fontId="5" type="noConversion"/>
  </si>
  <si>
    <t xml:space="preserve">The GP and developer entities are both owned by the same two entities/individuals: 1) Tower Management Company, Inc., -- 15% ownership in both gp and dev entities, and 2) Nicholas Sherman -- 85% ownership in both gp and dev entities.  It is for this reason that section 4 above is marked "yes" for gp and developer entities.  </t>
    <phoneticPr fontId="5" type="noConversion"/>
  </si>
  <si>
    <t>Agree</t>
  </si>
  <si>
    <t>Koontz and Salinger</t>
    <phoneticPr fontId="5" type="noConversion"/>
  </si>
  <si>
    <t>3 months</t>
    <phoneticPr fontId="5" type="noConversion"/>
  </si>
  <si>
    <t>Geotechnical and Environmental Consultants</t>
    <phoneticPr fontId="5" type="noConversion"/>
  </si>
  <si>
    <t>Yes</t>
    <phoneticPr fontId="5" type="noConversion"/>
  </si>
  <si>
    <t>Contract/Option</t>
  </si>
  <si>
    <t>Endeavor Pointe L.P.</t>
    <phoneticPr fontId="5" type="noConversion"/>
  </si>
  <si>
    <t>Member</t>
    <phoneticPr fontId="5" type="noConversion"/>
  </si>
  <si>
    <t>nicholassherman@me.com</t>
    <phoneticPr fontId="5" type="noConversion"/>
  </si>
  <si>
    <t>Federal Energy Credit</t>
    <phoneticPr fontId="5" type="noConversion"/>
  </si>
  <si>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</si>
  <si>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</si>
  <si>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</si>
  <si>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</si>
  <si>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</si>
  <si>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</si>
  <si>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</si>
  <si>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</si>
  <si>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</si>
  <si>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</si>
  <si>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</si>
  <si>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Water Study (Required by utility provider to issue letter of water availability)</t>
    <phoneticPr fontId="5" type="noConversion"/>
  </si>
  <si>
    <t>Not applicable to this proposal as Endeavor Pointe is a proposal for new construction</t>
    <phoneticPr fontId="5" type="noConversion"/>
  </si>
  <si>
    <t>Not applicable to project team/proposal -- all are for profit entities.</t>
    <phoneticPr fontId="5" type="noConversion"/>
  </si>
  <si>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</si>
  <si>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</si>
  <si>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</si>
  <si>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</si>
  <si>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</si>
  <si>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</si>
  <si>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</si>
  <si>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</si>
  <si>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</si>
  <si>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</si>
  <si>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</si>
  <si>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</si>
  <si>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</si>
  <si>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</si>
  <si>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</si>
  <si>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</si>
  <si>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Railway noise 57.9-60.5 dnl, Roadway noise 57.9-60.5 dnl, aircraft noise&lt;55 dnl.  NAG indicates all noise levels acceptable and meet all DCA+HOME/HUD requirements&amp;guidelines</t>
    <phoneticPr fontId="5" type="noConversion"/>
  </si>
  <si>
    <t>Tower Management Company, solely owned by its president Cheryl Murphy, is the proposed property manager and a member of both the proposed GP and Developer entities for this proposal.  Proposed management fee of $35 per unit is consistent with Tower's peer group as well as those rates quoted to and charged to unrelated third party clients of Tower Management.</t>
    <phoneticPr fontId="5" type="noConversion"/>
  </si>
  <si>
    <t>Brunswick</t>
  </si>
  <si>
    <t>Development Authority of Bibb County</t>
  </si>
  <si>
    <t>Buchanan</t>
  </si>
  <si>
    <t>Housing Authority of the City of Fort Oglethorpe, Georgia</t>
  </si>
  <si>
    <t>Chatham-Savannah Authority for the Homeless</t>
  </si>
  <si>
    <t>Barwick</t>
  </si>
  <si>
    <t>High-speed internet access (see QAP requirements)</t>
  </si>
  <si>
    <t>Annual Debt Service in Year One</t>
  </si>
  <si>
    <t>Downtown Development Authority of the City of Norcross</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</si>
  <si>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</si>
  <si>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</si>
  <si>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</si>
  <si>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</si>
  <si>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</si>
  <si>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</si>
  <si>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</si>
  <si>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</si>
  <si>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</si>
  <si>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</si>
  <si>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Endeavor Pointe Development LLC</t>
    <phoneticPr fontId="5" type="noConversion"/>
  </si>
  <si>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</si>
  <si>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</si>
  <si>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</si>
  <si>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</si>
  <si>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</si>
  <si>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</si>
  <si>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</si>
  <si>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</si>
  <si>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</si>
  <si>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</si>
  <si>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</si>
  <si>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No</t>
  </si>
  <si>
    <t>No</t>
    <phoneticPr fontId="5" type="noConversion"/>
  </si>
  <si>
    <t>No</t>
    <phoneticPr fontId="5" type="noConversion"/>
  </si>
  <si>
    <t>Glenwood</t>
  </si>
  <si>
    <t>Development Authority of Brooks County, Georgia</t>
  </si>
  <si>
    <t>Buckhead</t>
  </si>
  <si>
    <t>Dan Winters</t>
    <phoneticPr fontId="5" type="noConversion"/>
  </si>
  <si>
    <t>Development Authority of Bulloch County</t>
  </si>
  <si>
    <t>Buena Vista</t>
  </si>
  <si>
    <t>Nick Sherman</t>
    <phoneticPr fontId="5" type="noConversion"/>
  </si>
  <si>
    <t>II.  OPERATING PRO FORMA</t>
  </si>
  <si>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</si>
  <si>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</si>
  <si>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</si>
  <si>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</si>
  <si>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</si>
  <si>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</si>
  <si>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</si>
  <si>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</si>
  <si>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</si>
  <si>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Alliant Tax Credit Funds</t>
    <phoneticPr fontId="5" type="noConversion"/>
  </si>
  <si>
    <t>Check applicable utilities and enter provider name:</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</si>
  <si>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</si>
  <si>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</si>
  <si>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Efficiency New Construction CS Units</t>
  </si>
  <si>
    <t>4 BR New Construction CS Units</t>
  </si>
  <si>
    <t>Efficiency CS Acq/Rhb Units</t>
  </si>
  <si>
    <t>Efficiency Rehab CS Units</t>
  </si>
  <si>
    <t>1 BR Rehab CS Units</t>
  </si>
  <si>
    <t>2 BR Rehab CS Units</t>
  </si>
  <si>
    <t>3 BR Rehab CS Units</t>
  </si>
  <si>
    <t>4 BR Rehab CS Units</t>
  </si>
  <si>
    <t>Total + CS</t>
  </si>
  <si>
    <t>Description and location of improvements on site map</t>
  </si>
  <si>
    <t>Alliant Tax Credit Funds</t>
    <phoneticPr fontId="5" type="noConversion"/>
  </si>
  <si>
    <t>340 Royal Ponciana Way Suite 305</t>
    <phoneticPr fontId="5" type="noConversion"/>
  </si>
  <si>
    <t>Palm Beach</t>
    <phoneticPr fontId="5" type="noConversion"/>
  </si>
  <si>
    <t>Commitment from DCA Permanent Supportive Housing Program</t>
  </si>
  <si>
    <t>CHOICE Neighborhoods / HOPE VI Set Aside</t>
  </si>
  <si>
    <t>Documentation from USDA specifying the projects’ High Priority designation</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</si>
  <si>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</si>
  <si>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</si>
  <si>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</si>
  <si>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</si>
  <si>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</si>
  <si>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</si>
  <si>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Tot lot (fenced and equipped with a minimum of three pieces of equipment)</t>
  </si>
  <si>
    <t>Operating Reserve Annual Payment Growth Rate</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</si>
  <si>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</si>
  <si>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</si>
  <si>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</si>
  <si>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</si>
  <si>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</si>
  <si>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</si>
  <si>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</si>
  <si>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</si>
  <si>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</si>
  <si>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</si>
  <si>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</si>
  <si>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</si>
  <si>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</si>
  <si>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</si>
  <si>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</si>
  <si>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</si>
  <si>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</si>
  <si>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</si>
  <si>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</si>
  <si>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</si>
  <si>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</si>
  <si>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</si>
  <si>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</si>
  <si>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</si>
  <si>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Documentation of the process the government used for developing and adopting the plan</t>
  </si>
  <si>
    <t>Nashville Downtown Development Authority</t>
  </si>
  <si>
    <t>Local Redevelopment Plans</t>
  </si>
  <si>
    <t>DCA Neighborhood Redevelopment Certification Form</t>
  </si>
  <si>
    <t>Urban Redevelopment Authority of the City of Suwanee</t>
  </si>
  <si>
    <t>Hazlehurst Downtown Development Authority</t>
  </si>
  <si>
    <t>Jeffersonville</t>
  </si>
  <si>
    <t>Basis Reduction of 15% of installed cost of solar equipment, or .15*$212,500=$31,875</t>
    <phoneticPr fontId="5" type="noConversion"/>
  </si>
  <si>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</si>
  <si>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</si>
  <si>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</si>
  <si>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</si>
  <si>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</si>
  <si>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</si>
  <si>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</si>
  <si>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</si>
  <si>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</si>
  <si>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</si>
  <si>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</si>
  <si>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Daniel.Winters@alliantcapital.com</t>
    <phoneticPr fontId="5" type="noConversion"/>
  </si>
  <si>
    <t>Alliant Capital, Ltd.</t>
    <phoneticPr fontId="5" type="noConversion"/>
  </si>
  <si>
    <t>340 Royal Ponciana Way</t>
    <phoneticPr fontId="5" type="noConversion"/>
  </si>
  <si>
    <t>Daniel.Winters@alliantcapital.com</t>
    <phoneticPr fontId="5" type="noConversion"/>
  </si>
  <si>
    <t>Partnership’s tax returns for the first and last years in which credits were claimed, along with the appropriate IRS Forms 8609 attached</t>
  </si>
  <si>
    <t>Project Feasibility, Viability Analysis, and Conformance with Plan</t>
  </si>
  <si>
    <t>Nonprofit Sponsor</t>
  </si>
  <si>
    <t>Value</t>
  </si>
  <si>
    <t>&lt;---- Enter unlisted city here as needed, then select it from the corresponding box's drop down list.</t>
  </si>
  <si>
    <t>CDP Name</t>
  </si>
  <si>
    <t>CDP</t>
  </si>
  <si>
    <t>CDP County</t>
  </si>
  <si>
    <t>Lake Oconee Area Development Authority</t>
  </si>
  <si>
    <t>Rebecca</t>
  </si>
  <si>
    <t>Laurens-Treutlen Joint Development Authority</t>
  </si>
  <si>
    <t>Development Authority of Ben Hill County</t>
  </si>
  <si>
    <t>Housing Authority of the City of College Park</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</si>
  <si>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</si>
  <si>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</si>
  <si>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</si>
  <si>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</si>
  <si>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</si>
  <si>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</si>
  <si>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</si>
  <si>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</si>
  <si>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</si>
  <si>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</si>
  <si>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</si>
  <si>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</si>
  <si>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</si>
  <si>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</si>
  <si>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</si>
  <si>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</si>
  <si>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</si>
  <si>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</si>
  <si>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</si>
  <si>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1 BR New Construction CS Units</t>
  </si>
  <si>
    <t>2 BR New Construction CS Units</t>
  </si>
  <si>
    <t>3 BR New Construction CS Units</t>
  </si>
  <si>
    <t>1 BR Acq/Rhb CS Units</t>
  </si>
  <si>
    <t>2 BR Acq/Rhb CS Units</t>
  </si>
  <si>
    <t>3 BR Acq/Rhb CS Units</t>
  </si>
  <si>
    <t>4 BR Acq/Rhb CS Units</t>
  </si>
  <si>
    <t>If an identity of interest exists between the buyer and seller, did the seller purchase this property within the past three (3) years?</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</si>
  <si>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</si>
  <si>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</si>
  <si>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</si>
  <si>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</si>
  <si>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</si>
  <si>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</si>
  <si>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</si>
  <si>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</si>
  <si>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</si>
  <si>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</si>
  <si>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</si>
  <si>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</si>
  <si>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</si>
  <si>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</si>
  <si>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Narrative that includes benefit specific to the tenant base</t>
  </si>
  <si>
    <t>Photographs of the desirable and undesirable activities/characteristics</t>
  </si>
  <si>
    <t>Special Needs Set Aside</t>
  </si>
  <si>
    <t>CHOICE Neighborhoods / HOPE VI</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</si>
  <si>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</si>
  <si>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</si>
  <si>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</si>
  <si>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</si>
  <si>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</si>
  <si>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</si>
  <si>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</si>
  <si>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Development Authority of Wilkinson County</t>
  </si>
  <si>
    <t>Doraville</t>
  </si>
  <si>
    <t>Other (describe here)</t>
  </si>
  <si>
    <t>Other Income (OI)</t>
  </si>
  <si>
    <t>OI Not Subject to Mgt Fee</t>
  </si>
  <si>
    <t>Downtown Development Authority of Hartwell, Georgia</t>
  </si>
  <si>
    <t>Operating Expense Growth Rate</t>
  </si>
  <si>
    <t>Replacement Reserve Annual Payment Growth Rate</t>
  </si>
  <si>
    <t>Amortizable or Non-Depreciable Basis</t>
  </si>
  <si>
    <t>Housing Authority of City of Danielsville</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</si>
  <si>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</si>
  <si>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</si>
  <si>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</si>
  <si>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</si>
  <si>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</si>
  <si>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</si>
  <si>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</si>
  <si>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</si>
  <si>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</si>
  <si>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</si>
  <si>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</si>
  <si>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</si>
  <si>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</si>
  <si>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</si>
  <si>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</si>
  <si>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</si>
  <si>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</si>
  <si>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</si>
  <si>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</si>
  <si>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</si>
  <si>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Cobbtown</t>
  </si>
  <si>
    <t>Development Authority of Johnson County, Georgia</t>
  </si>
  <si>
    <t>Cochran</t>
  </si>
  <si>
    <t>Marion County Development Authority</t>
  </si>
  <si>
    <t>Rest Haven</t>
  </si>
  <si>
    <t>I.  OPERATING ASSUMPTIONS</t>
  </si>
  <si>
    <t>Copy of preliminary equity commitment for federal and Georgia historic rehab credits</t>
  </si>
  <si>
    <t>Appraisals</t>
  </si>
  <si>
    <t>Deferred Devlpr Fee</t>
  </si>
  <si>
    <t>Downtown Development Authority of the City of Buford</t>
  </si>
  <si>
    <t>12.</t>
  </si>
  <si>
    <t>13.</t>
  </si>
  <si>
    <t>Development Authority of Dougherty County</t>
  </si>
  <si>
    <t>Cecil</t>
  </si>
  <si>
    <t>Development Authority of Douglas County</t>
  </si>
  <si>
    <t>Phase II Environmental Study (if applicable)</t>
  </si>
  <si>
    <t>Applicant Commissioned Appraisal (if applicable)</t>
  </si>
  <si>
    <t>Housing Authority of the City of Conyers</t>
  </si>
  <si>
    <t>Porterdale</t>
  </si>
  <si>
    <t>Is this site legally accessible by paved roads and are drawings or photographs included showing these roads?</t>
  </si>
  <si>
    <t>Heard</t>
  </si>
  <si>
    <t>Henry</t>
  </si>
  <si>
    <t>Houston</t>
  </si>
  <si>
    <t>Irwin</t>
  </si>
  <si>
    <t>Irwin Co.</t>
  </si>
  <si>
    <t>Jackson</t>
  </si>
  <si>
    <t>Jackson Co.</t>
  </si>
  <si>
    <t>Jasper</t>
  </si>
  <si>
    <t>Jeff Davis</t>
  </si>
  <si>
    <t>Housing Authority of the City of Forsyth</t>
  </si>
  <si>
    <t>Martin</t>
  </si>
  <si>
    <t>Housing Authority of the City of Fort Gaines</t>
  </si>
  <si>
    <t>Johnson</t>
  </si>
  <si>
    <t>Johnson Co.</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</si>
  <si>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</si>
  <si>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</si>
  <si>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</si>
  <si>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</si>
  <si>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</si>
  <si>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</si>
  <si>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</si>
  <si>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</si>
  <si>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</si>
  <si>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</si>
  <si>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</si>
  <si>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</si>
  <si>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</si>
  <si>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Locate HVAC ductwork in conditioned spaces</t>
  </si>
  <si>
    <t>Installation of at least two plumbing fixture types having lower flow rates than NEPA standards</t>
  </si>
  <si>
    <t>II. Interest Credit / USDA Annual Guaranty Fee</t>
  </si>
  <si>
    <t>Nbr of</t>
  </si>
  <si>
    <t>Baths</t>
  </si>
  <si>
    <t>Exterior gathering area (if "Other" is selected, applicant must explain in Comments Section below):</t>
  </si>
  <si>
    <t>Buildings more than two story construction have interior furnished gathering areas in several locations in the lobbies and/or corridors</t>
  </si>
  <si>
    <t>Insurance**</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</si>
  <si>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</si>
  <si>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</si>
  <si>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</si>
  <si>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</si>
  <si>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</si>
  <si>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</si>
  <si>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</si>
  <si>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Property Mgt Fee Growth Rate (choose one):</t>
  </si>
  <si>
    <t>Andersonville</t>
  </si>
  <si>
    <t>Boston Downtown Development Authority</t>
  </si>
  <si>
    <t>Downtown Development Authority of the City of Tifton</t>
  </si>
  <si>
    <t>Grovetown</t>
  </si>
  <si>
    <t>CERTIFICATION OF ACTUAL COST AND OPINION AS TO ELIGIBLE BASIS</t>
  </si>
  <si>
    <t>New Construction Basis</t>
  </si>
  <si>
    <t>Rehabilitation Basis</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</si>
  <si>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</si>
  <si>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</si>
  <si>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</si>
  <si>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</si>
  <si>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</si>
  <si>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1 BR 120% NSP SF</t>
  </si>
  <si>
    <t>2 BR 120% NSP SF</t>
  </si>
  <si>
    <t>3 BR 120% NSP SF</t>
  </si>
  <si>
    <t>1 BR New Construction NSP 120% Units</t>
  </si>
  <si>
    <t>2 BR New Construction NSP 120% Units</t>
  </si>
  <si>
    <t>Copy of the entire plan</t>
  </si>
  <si>
    <t>Tax Credit Legal Opinion</t>
  </si>
  <si>
    <t>DEVELOPER'S FEE</t>
  </si>
  <si>
    <t>TOTAL DEVELOPMENT COST</t>
  </si>
  <si>
    <t>DEVELOPER</t>
  </si>
  <si>
    <t>General Partnership Joint Venture Agreement if applicable</t>
  </si>
  <si>
    <t>Amount of federal grant(s) used to finance qualifying development costs</t>
  </si>
  <si>
    <t>Monthly Net Rent</t>
  </si>
  <si>
    <t>Does the “as is” value delineate the value of the land and building?</t>
  </si>
  <si>
    <t>Copy of the Georgia DNR-HPD and NPS approved Part 1, Part 2 and, if applying, the Georgia-approved Part A</t>
  </si>
  <si>
    <t>Downtown Development Authority of the City of Baconton</t>
  </si>
  <si>
    <t>Fort Valley</t>
  </si>
  <si>
    <t>Does the total hard cost of the project exceed 90% of the as completed unencumbered appraised value of the property?</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</si>
  <si>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</si>
  <si>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</si>
  <si>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</si>
  <si>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</si>
  <si>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</si>
  <si>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</si>
  <si>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</si>
  <si>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</si>
  <si>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</si>
  <si>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</si>
  <si>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Other Type (specify)</t>
  </si>
  <si>
    <t>*This source may possibly trigger Uniform Relocation Act and/or HUD 104(d) reqmts.  Check with source.  For DCA HOME, refer to Relocation Manual.  NSP = Neighborhood Stabilization Program</t>
  </si>
  <si>
    <t xml:space="preserve"> </t>
  </si>
  <si>
    <t>If the nonprofit is also a developer of the project, does the nonprofit receive a percentage of the developer fee greater than or equal to its percentage of its ownership interest?</t>
  </si>
  <si>
    <t>Jeff Davis Co.</t>
  </si>
  <si>
    <t>Jefferson</t>
  </si>
  <si>
    <t>Jefferson Co.</t>
  </si>
  <si>
    <t>Jenkins</t>
  </si>
  <si>
    <t>Jenkins Co.</t>
  </si>
  <si>
    <t>Development Authority of the City of Folkston and Charlton County</t>
  </si>
  <si>
    <t>Damascus</t>
  </si>
  <si>
    <t>Development Authority of the City of Homeland</t>
  </si>
  <si>
    <t>Tarrytown City</t>
  </si>
  <si>
    <t>Taylorsville Town</t>
  </si>
  <si>
    <t>Temple City</t>
  </si>
  <si>
    <t>Danielsville</t>
  </si>
  <si>
    <t>Development Authority of the City of Jasper</t>
  </si>
  <si>
    <t>Danville</t>
  </si>
  <si>
    <t>Thomaston City</t>
  </si>
  <si>
    <t>Thomasville City</t>
  </si>
  <si>
    <t>Thomson City</t>
  </si>
  <si>
    <t xml:space="preserve">DO NOT cut, copy or paste cells in this tab.  Assign a Rent Type of "N/A-CS" to Common Space units.  </t>
  </si>
  <si>
    <t>Development Authority of the City of Jeffersonville and Twiggs County</t>
  </si>
  <si>
    <t>Darien</t>
  </si>
  <si>
    <t>Development Authority of the City of Marietta</t>
  </si>
  <si>
    <t>Historic Tax Credits (Residential Portion Only)</t>
  </si>
  <si>
    <t>Landscaping and Site Design Features</t>
  </si>
  <si>
    <t>Cherokee</t>
  </si>
  <si>
    <t>Clarke</t>
  </si>
  <si>
    <t>Athens</t>
  </si>
  <si>
    <t>Schley-Sumter-Macon Counties Joint Development Authority</t>
  </si>
  <si>
    <t>Sardis</t>
  </si>
  <si>
    <t>Freestanding shelters</t>
  </si>
  <si>
    <t>Preservation of existing trees and vegetation</t>
  </si>
  <si>
    <t>Bdrms</t>
  </si>
  <si>
    <t>Joint Development Authority of Franklin, Hart and Stephens Counties</t>
  </si>
  <si>
    <t>Plainville</t>
  </si>
  <si>
    <t>Development Authority of Cartersville</t>
  </si>
  <si>
    <t>Byron</t>
  </si>
  <si>
    <t>Marion</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</si>
  <si>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</si>
  <si>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</si>
  <si>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</si>
  <si>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</si>
  <si>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</si>
  <si>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</si>
  <si>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</si>
  <si>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</si>
  <si>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</si>
  <si>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</si>
  <si>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</si>
  <si>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Does the qualified nonprofit own at least 51% of the GP's interest in the project and is the managing general partner of the ownership entity?</t>
  </si>
  <si>
    <t>Are five fully executed DCA Uniform Release Forms included in the application?</t>
  </si>
  <si>
    <t>Berrien County Development Authority</t>
  </si>
  <si>
    <t>Documentation from transit authority showing relevant bus route and schedule</t>
  </si>
  <si>
    <t>Gum Branch</t>
  </si>
  <si>
    <t>Downtown Development Authority of the City of Unadilla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</si>
  <si>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</si>
  <si>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</si>
  <si>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</si>
  <si>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</si>
  <si>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</si>
  <si>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</si>
  <si>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</si>
  <si>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</si>
  <si>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</si>
  <si>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</si>
  <si>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</si>
  <si>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4 BR 120% NSP SF</t>
  </si>
  <si>
    <t>Housing Authority of the City of Roswell</t>
  </si>
  <si>
    <t>Newborn</t>
  </si>
  <si>
    <t>SUSTAINABLE DEVELOPMENTS</t>
  </si>
  <si>
    <t>I. Data Input</t>
  </si>
  <si>
    <t>9.</t>
  </si>
  <si>
    <t>10.</t>
  </si>
  <si>
    <t>Partnership Organization Fees</t>
  </si>
  <si>
    <t>Bridge Loan Fee and Bridge Loan Interest</t>
  </si>
  <si>
    <t>Housing Authority of the City of Sandersville</t>
  </si>
  <si>
    <t>Newnan</t>
  </si>
  <si>
    <t>Housing Authority of the City of Senoia</t>
  </si>
  <si>
    <t>(choose only one)</t>
  </si>
  <si>
    <t>CO-DEVELOPER 1</t>
  </si>
  <si>
    <t>Documentation from HUD specifying the projects High Priority designation</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</si>
  <si>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</si>
  <si>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</si>
  <si>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</si>
  <si>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</si>
  <si>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West Point</t>
  </si>
  <si>
    <t>Weston</t>
  </si>
  <si>
    <t>Whigham</t>
  </si>
  <si>
    <t>Edison</t>
  </si>
  <si>
    <t>Relocation (if applicable)</t>
  </si>
  <si>
    <t>Emanuel-Johnson County Development Authority</t>
  </si>
  <si>
    <t>Higgston</t>
  </si>
  <si>
    <t>Etowah Area Consolidated Housing Authority</t>
  </si>
  <si>
    <t>Fairburn Housing Authority</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</si>
  <si>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</si>
  <si>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</si>
  <si>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</si>
  <si>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</si>
  <si>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</si>
  <si>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Gilmer County, GA</t>
  </si>
  <si>
    <t>Glascock County, GA</t>
  </si>
  <si>
    <t>Gordon County, GA</t>
  </si>
  <si>
    <t>Fulton County/City of Atlanta Land Bank Authority, Inc.</t>
  </si>
  <si>
    <t>Homer</t>
  </si>
  <si>
    <t>Sustainable Building Certification</t>
  </si>
  <si>
    <t>Hall</t>
  </si>
  <si>
    <t>Hancock</t>
  </si>
  <si>
    <t>Hancock Co.</t>
  </si>
  <si>
    <t>Haralson</t>
  </si>
  <si>
    <t>Harris</t>
  </si>
  <si>
    <t>Hart</t>
  </si>
  <si>
    <t>Hart Co.</t>
  </si>
  <si>
    <t>Development Authority of the City of Dalton</t>
  </si>
  <si>
    <t>Dalton</t>
  </si>
  <si>
    <t>Seminole County, GA</t>
  </si>
  <si>
    <t>Market Study</t>
  </si>
  <si>
    <t>Acquisition Legal Fees (if existing structures)</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</si>
  <si>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</si>
  <si>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</si>
  <si>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</si>
  <si>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</si>
  <si>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</si>
  <si>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</si>
  <si>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</si>
  <si>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</si>
  <si>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</si>
  <si>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</si>
  <si>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</si>
  <si>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</si>
  <si>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</si>
  <si>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</si>
  <si>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</si>
  <si>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Total Unrestricted (Market) Residential Square Footage</t>
  </si>
  <si>
    <t>Number of Unrestricted (Market) Units</t>
  </si>
  <si>
    <t>Toomsboro City</t>
  </si>
  <si>
    <t>Trenton City</t>
  </si>
  <si>
    <t>Trion Town</t>
  </si>
  <si>
    <t>Tunnel Hill City</t>
  </si>
  <si>
    <t>Turin Town</t>
  </si>
  <si>
    <t>Ty Ty City</t>
  </si>
  <si>
    <t>Tybee Island City</t>
  </si>
  <si>
    <t>Tyrone Town</t>
  </si>
  <si>
    <r>
      <t xml:space="preserve">9-digit Zip </t>
    </r>
    <r>
      <rPr>
        <b/>
        <sz val="11"/>
        <color indexed="10"/>
        <rFont val="Arial Narrow"/>
        <family val="2"/>
      </rPr>
      <t>*</t>
    </r>
  </si>
  <si>
    <t>Dasher</t>
  </si>
  <si>
    <t>Acquisition/Rehabilitation</t>
  </si>
  <si>
    <t>Substantial Rehabilitation</t>
  </si>
  <si>
    <t>For Acquisition/Rehabilitation, date of original construction:</t>
  </si>
  <si>
    <t>Site Zoning</t>
  </si>
  <si>
    <t>Applicant's comments regarding this section of scoring:</t>
  </si>
  <si>
    <t>DCA</t>
  </si>
  <si>
    <t>Housing Authority of the City of Glenwood</t>
  </si>
  <si>
    <t>McDonough</t>
  </si>
  <si>
    <t>Housing Authority of the City of Grantville</t>
  </si>
  <si>
    <t>McIntyre</t>
  </si>
  <si>
    <t>Byromville</t>
  </si>
  <si>
    <t>Watkinsville City</t>
  </si>
  <si>
    <t>Waverly Hall Town</t>
  </si>
  <si>
    <t>Waycross City</t>
  </si>
  <si>
    <t>Waynesboro City</t>
  </si>
  <si>
    <t>West Point City</t>
  </si>
  <si>
    <t>Whigham City</t>
  </si>
  <si>
    <t>White City</t>
  </si>
  <si>
    <t>% of (Construction Hard Costs, exclusive of Contingency and Contractor Svcs)</t>
  </si>
  <si>
    <t>Townhome Units</t>
  </si>
  <si>
    <t>1-Story Units</t>
  </si>
  <si>
    <t>2-Story Units</t>
  </si>
  <si>
    <t>2-Story Wlkp Units</t>
  </si>
  <si>
    <t>X.</t>
  </si>
  <si>
    <t>XI.</t>
  </si>
  <si>
    <t>XII.</t>
  </si>
  <si>
    <t>Lamar County, GA HUD Metro FMR Area</t>
  </si>
  <si>
    <t>Laurens County, GA</t>
  </si>
  <si>
    <t>Hinesville-Fort Stewart, GA HUD Metro FMR Area</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</si>
  <si>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</si>
  <si>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</si>
  <si>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</si>
  <si>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</si>
  <si>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</si>
  <si>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</si>
  <si>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Choose only one.  See scoring criteria for further req'mts.</t>
  </si>
  <si>
    <t>Community Transportation Options</t>
  </si>
  <si>
    <t>Architectural Fee - Supervision</t>
  </si>
  <si>
    <t>Engineering</t>
  </si>
  <si>
    <t>Downtown Development Authority of the City of Vienna</t>
  </si>
  <si>
    <t>Guyton</t>
  </si>
  <si>
    <t>Marietta</t>
  </si>
  <si>
    <t>Ludowici</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</si>
  <si>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</si>
  <si>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</si>
  <si>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</si>
  <si>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</si>
  <si>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Joint Development Authority of Carroll, Haralson, Polk, Heard and Troup Counties</t>
  </si>
  <si>
    <t>Pitts</t>
  </si>
  <si>
    <t>Housing Authority of the City of Royston</t>
  </si>
  <si>
    <t>Newington</t>
  </si>
  <si>
    <t>Does the CHDO (or a wholly owned or controlled affiliate) receive a percentage of the Developer Fee greater than or equal to the percentage of ownership interest?</t>
  </si>
  <si>
    <t>is indicative of the community’s affordable housing goals</t>
  </si>
  <si>
    <t>Kingston Downtown Development Authority</t>
  </si>
  <si>
    <t>DEVELOPMENT CONSULTANT</t>
  </si>
  <si>
    <t>Copy of Tax Exempt Bond Inducement Resolution, if applicable</t>
  </si>
  <si>
    <t>Ranger</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</si>
  <si>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</si>
  <si>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</si>
  <si>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</si>
  <si>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</si>
  <si>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</si>
  <si>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</si>
  <si>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</si>
  <si>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</si>
  <si>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</si>
  <si>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</si>
  <si>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</si>
  <si>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</si>
  <si>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</si>
  <si>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Haralson County, GA HUD Metro FMR Area</t>
  </si>
  <si>
    <t>Hart County, GA</t>
  </si>
  <si>
    <t>Warner Robins, GA MSA</t>
  </si>
  <si>
    <t>X</t>
  </si>
  <si>
    <t>Hiltonia</t>
  </si>
  <si>
    <t>Amount of Federal Tax Credits in All Applications:</t>
  </si>
  <si>
    <t>Commitment of Funds</t>
  </si>
  <si>
    <t>Detailed Source of Funds</t>
  </si>
  <si>
    <t>Amount of Investment</t>
  </si>
  <si>
    <t>Timeline for Completion</t>
  </si>
  <si>
    <t>Other service approved by DCA</t>
  </si>
  <si>
    <t>Fort Valley Downtown Development Authority</t>
  </si>
  <si>
    <t>Homeland</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</si>
  <si>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</si>
  <si>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</si>
  <si>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</si>
  <si>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</si>
  <si>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</si>
  <si>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</si>
  <si>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</si>
  <si>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</si>
  <si>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</si>
  <si>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</si>
  <si>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</si>
  <si>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</si>
  <si>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</si>
  <si>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Alpharetta</t>
  </si>
  <si>
    <t>Banks/Habersham Counties Joint Development Authority</t>
  </si>
  <si>
    <t>Alston</t>
  </si>
  <si>
    <t>Barnesville Housing Authority</t>
  </si>
  <si>
    <t>Alto</t>
  </si>
  <si>
    <t>QCT?</t>
  </si>
  <si>
    <t>DDA?</t>
  </si>
  <si>
    <t>Scotland City</t>
  </si>
  <si>
    <t>Screven City</t>
  </si>
  <si>
    <t>Senoia City</t>
  </si>
  <si>
    <t>Shady Dale City</t>
  </si>
  <si>
    <t>Sharon City</t>
  </si>
  <si>
    <t>Sharpsburg Town</t>
  </si>
  <si>
    <t>Shellman City</t>
  </si>
  <si>
    <t>West Point Lake Development Authority</t>
  </si>
  <si>
    <t>Taylorsville</t>
  </si>
  <si>
    <t>Eatonton</t>
  </si>
  <si>
    <t>Siloam Town</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</si>
  <si>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</si>
  <si>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</si>
  <si>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Tallapoosa City</t>
  </si>
  <si>
    <t>Tallulah Falls Town</t>
  </si>
  <si>
    <t>Talmo Town</t>
  </si>
  <si>
    <t>Thunderbolt Town</t>
  </si>
  <si>
    <t>Tifton City</t>
  </si>
  <si>
    <t>Tiger Town</t>
  </si>
  <si>
    <t>Tignall Town</t>
  </si>
  <si>
    <t>Toccoa City</t>
  </si>
  <si>
    <t>Per unit - Properties 20 yrs old or less</t>
  </si>
  <si>
    <t>see UCL</t>
  </si>
  <si>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</si>
  <si>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</si>
  <si>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t>Environmental Requirements</t>
  </si>
  <si>
    <t>Does it include the “as is” value, "as built/as complete" (encumbered), "as built/ as complete" (unencumbered) values of the proposed subject property and tax credit value?</t>
  </si>
  <si>
    <t>Enter desired per unit amount:</t>
  </si>
  <si>
    <t>Required Amenities</t>
  </si>
  <si>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</si>
  <si>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</si>
  <si>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</si>
  <si>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</si>
  <si>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</si>
  <si>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</si>
  <si>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Villa Rica City</t>
  </si>
  <si>
    <t>Waco Town</t>
  </si>
  <si>
    <t>Wadley City</t>
  </si>
  <si>
    <t>Waleska City</t>
  </si>
  <si>
    <t>Walnut Grove City</t>
  </si>
  <si>
    <t>Walthourville City</t>
  </si>
  <si>
    <t>Warm Springs City</t>
  </si>
  <si>
    <t>Warner Robins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</si>
  <si>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</si>
  <si>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</si>
  <si>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</si>
  <si>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</si>
  <si>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</si>
  <si>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</si>
  <si>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</si>
  <si>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</si>
  <si>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</si>
  <si>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</si>
  <si>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</si>
  <si>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</si>
  <si>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Detailed budget for clean up</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</si>
  <si>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</si>
  <si>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</si>
  <si>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</si>
  <si>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</si>
  <si>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</si>
  <si>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</si>
  <si>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</si>
  <si>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</si>
  <si>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Housing Authority of Gwinnett County</t>
  </si>
  <si>
    <t>Kingsland</t>
  </si>
  <si>
    <t>PROFESSIONAL SERVICES</t>
  </si>
  <si>
    <t>Architectural Fee - Design</t>
  </si>
  <si>
    <t>Housing Authority of the City of Hogansville</t>
  </si>
  <si>
    <t>Midville</t>
  </si>
  <si>
    <t>Housing Authority of the City of Jasper</t>
  </si>
  <si>
    <t>Midway</t>
  </si>
  <si>
    <t>Real Estate Attorney</t>
  </si>
  <si>
    <t>Housing Authority of the City of Hahira, Georgia</t>
  </si>
  <si>
    <t>Meigs</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</si>
  <si>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</si>
  <si>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Jones</t>
  </si>
  <si>
    <t>Lamar</t>
  </si>
  <si>
    <t>DCA Front End Analysis Fee (HOME, when ID of Interest)</t>
  </si>
  <si>
    <t>0 BR</t>
  </si>
  <si>
    <t>Environmental Report(s)</t>
  </si>
  <si>
    <t>Soil Borings</t>
  </si>
  <si>
    <t>Name of Plan:</t>
  </si>
  <si>
    <t>Existing Structures</t>
  </si>
  <si>
    <t>Equipped play court (basketball, volleyball, shuffleboard or tennis) as appropriate</t>
  </si>
  <si>
    <t>GA-</t>
  </si>
  <si>
    <t>UNIT SUMMARY</t>
  </si>
  <si>
    <t>1BR</t>
  </si>
  <si>
    <t>2BR</t>
  </si>
  <si>
    <t>3BR</t>
  </si>
  <si>
    <t>4BR</t>
  </si>
  <si>
    <t>Total</t>
  </si>
  <si>
    <t>Structure</t>
  </si>
  <si>
    <t>Is Zoning conformance in writing by the authorized Local Government official, and includes the zoning &amp; land use classifications?</t>
  </si>
  <si>
    <t>Certification for Contracts, Loans and Cooperative Agreements</t>
  </si>
  <si>
    <t>Disclosure of Lobbying Activities</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</si>
  <si>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</si>
  <si>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</si>
  <si>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</si>
  <si>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</si>
  <si>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</si>
  <si>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</si>
  <si>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</si>
  <si>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</si>
  <si>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3 BR Rehab LI Units</t>
  </si>
  <si>
    <t>4 BR Rehab LI Units</t>
  </si>
  <si>
    <t>Efficiency New Construction Mkt Units</t>
  </si>
  <si>
    <t>1 BR New Construction Mkt Units</t>
  </si>
  <si>
    <t>2 BR New Construction Mkt Units</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</si>
  <si>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</si>
  <si>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</si>
  <si>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</si>
  <si>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</si>
  <si>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</si>
  <si>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</si>
  <si>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</si>
  <si>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</si>
  <si>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Santa Claus City</t>
  </si>
  <si>
    <t>Sardis City</t>
  </si>
  <si>
    <t>Sasser Town</t>
  </si>
  <si>
    <t>Savannah City</t>
  </si>
  <si>
    <t>Sandersville City</t>
  </si>
  <si>
    <t>Sandy Springs City</t>
  </si>
  <si>
    <t>Project is located in a census tract that meets the following demographics according to the most recent FFIEC Census Report (www.ffiec.gov/WebCensus/):</t>
  </si>
  <si>
    <t>Shiloh City</t>
  </si>
  <si>
    <t>To be eligible for points under section A or B below, the following criteria must be met:</t>
  </si>
  <si>
    <t>Major Bldg Component Materials &amp; Upgrades</t>
  </si>
  <si>
    <t>Statham City</t>
  </si>
  <si>
    <t>Stillmore City</t>
  </si>
  <si>
    <t>Funding or assistance provided will be binding and unconditional except as set forth in this section.</t>
  </si>
  <si>
    <t>Sky Valley City</t>
  </si>
  <si>
    <t>Smithville City</t>
  </si>
  <si>
    <t>Smyrna City</t>
  </si>
  <si>
    <t>Snellville City</t>
  </si>
  <si>
    <t>Social Circle City</t>
  </si>
  <si>
    <t>Soperton City</t>
  </si>
  <si>
    <t>Sparks Town</t>
  </si>
  <si>
    <t>Sparta City</t>
  </si>
  <si>
    <t>Per unit - Properties over 20 yrs old</t>
  </si>
  <si>
    <t>Adairsville Development Authority</t>
  </si>
  <si>
    <t>Adel</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</si>
  <si>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</si>
  <si>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</si>
  <si>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</si>
  <si>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</si>
  <si>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</si>
  <si>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</si>
  <si>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</si>
  <si>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</si>
  <si>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</si>
  <si>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</si>
  <si>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Required Services</t>
  </si>
  <si>
    <t>Site Access</t>
  </si>
  <si>
    <t>Unadilla City</t>
  </si>
  <si>
    <t>Union Point City</t>
  </si>
  <si>
    <t>Uvalda City</t>
  </si>
  <si>
    <t>Valdosta City</t>
  </si>
  <si>
    <t>Varnell City</t>
  </si>
  <si>
    <t>Vernonburg Town</t>
  </si>
  <si>
    <t>Vidalia City</t>
  </si>
  <si>
    <t>Vienna City</t>
  </si>
  <si>
    <t>Documentation from the owner of the site on which the undesirable condition exists or from a third party government source documenting how such change will occur and the time frame</t>
  </si>
  <si>
    <t>Warrenton City</t>
  </si>
  <si>
    <t>Warwick City</t>
  </si>
  <si>
    <t>Washington City</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</si>
  <si>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</si>
  <si>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</si>
  <si>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</si>
  <si>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</si>
  <si>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</si>
  <si>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Front-End Analysis Fee</t>
  </si>
  <si>
    <t>Is Zoning in place at the time of this application submission?</t>
  </si>
  <si>
    <t>Housing Authority of Cobb County</t>
  </si>
  <si>
    <t>Housing Authority of Columbus, Georgia</t>
  </si>
  <si>
    <t>Kennesaw</t>
  </si>
  <si>
    <t>Housing Authority of Fulton County</t>
  </si>
  <si>
    <t>Keysville</t>
  </si>
  <si>
    <t>LIHTC Allocation Processing Fee</t>
  </si>
  <si>
    <t>% of Total Units</t>
  </si>
  <si>
    <t>Metter</t>
  </si>
  <si>
    <t>DCA Utility Region for project:</t>
  </si>
  <si>
    <t>D/S Grant from fdn / charity</t>
  </si>
  <si>
    <t>TC Equity</t>
  </si>
  <si>
    <t>Equity Check</t>
  </si>
  <si>
    <t>+ / -</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</si>
  <si>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</si>
  <si>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</si>
  <si>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</si>
  <si>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</si>
  <si>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</si>
  <si>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</si>
  <si>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</si>
  <si>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</si>
  <si>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</si>
  <si>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</si>
  <si>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Housing Authority of the City of Lakeland, Georgia</t>
  </si>
  <si>
    <t>Principal Amount</t>
  </si>
  <si>
    <t>Acquisition Basis</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</si>
  <si>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</si>
  <si>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</si>
  <si>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</si>
  <si>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</si>
  <si>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</si>
  <si>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</si>
  <si>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</si>
  <si>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</si>
  <si>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</si>
  <si>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</si>
  <si>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Legal Description of Property</t>
  </si>
  <si>
    <t>Downtown Waycross Development Authority</t>
  </si>
  <si>
    <t>Other Financing Commitments</t>
  </si>
  <si>
    <t>1 BR Rehab LI Units</t>
  </si>
  <si>
    <t>2 BR Rehab LI Units</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</si>
  <si>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</si>
  <si>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</si>
  <si>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</si>
  <si>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</si>
  <si>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</si>
  <si>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</si>
  <si>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3 BR New Construction Mkt Units</t>
  </si>
  <si>
    <t>4 BR New Construction Mkt Units</t>
  </si>
  <si>
    <t>Preservation</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</si>
  <si>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</si>
  <si>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</si>
  <si>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</si>
  <si>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</si>
  <si>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</si>
  <si>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</si>
  <si>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Efficiency</t>
  </si>
  <si>
    <t>4 BR PHA Oper Sub 30% Units</t>
  </si>
  <si>
    <t>The Development Authority of the City of Camilla</t>
  </si>
  <si>
    <t>Social Circle</t>
  </si>
  <si>
    <t>7.</t>
  </si>
  <si>
    <t>8.</t>
  </si>
  <si>
    <t>USDA Spread</t>
  </si>
  <si>
    <t>(aka Interest Assistance Rate in USDA Handbook)</t>
  </si>
  <si>
    <t>Royston City</t>
  </si>
  <si>
    <t>Rutledge City</t>
  </si>
  <si>
    <t>Adopted on or before January 1, 2011?</t>
  </si>
  <si>
    <t>A site map indicating the specific locations of each desirable and undesirable activity/ characteristics</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</si>
  <si>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</si>
  <si>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</si>
  <si>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</si>
  <si>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</si>
  <si>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Springfield City</t>
  </si>
  <si>
    <t>St. Marys City</t>
  </si>
  <si>
    <t>Stapleton City</t>
  </si>
  <si>
    <t>Statesboro City</t>
  </si>
  <si>
    <t>Long term Ground leases for nominal consideration and no other land costs</t>
  </si>
  <si>
    <t>FHLB / AHP*</t>
  </si>
  <si>
    <t>Included</t>
  </si>
  <si>
    <t>LIHTC</t>
  </si>
  <si>
    <t>Tab</t>
  </si>
  <si>
    <t>in App</t>
  </si>
  <si>
    <t>Nbr</t>
  </si>
  <si>
    <t>Binder</t>
  </si>
  <si>
    <t>Downtown Development Authority of Monticello, Georgia</t>
  </si>
  <si>
    <t>Flovilla</t>
  </si>
  <si>
    <t>Accessibility Standards</t>
  </si>
  <si>
    <t>III.  Applicant Comments &amp; Clarifications</t>
  </si>
  <si>
    <t>Housing Authority of the City of Macon, Georgia</t>
  </si>
  <si>
    <t>Housing Authority of the City of Madison, GA</t>
  </si>
  <si>
    <t>Montezuma</t>
  </si>
  <si>
    <t>Air Conditioning</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</si>
  <si>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</si>
  <si>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</si>
  <si>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</si>
  <si>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</si>
  <si>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</si>
  <si>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</si>
  <si>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</si>
  <si>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Resources will be utilized if the project is selected for funding by DCA</t>
  </si>
  <si>
    <t>APPLICANT COMMENTS AND CLARIFICATIONS</t>
  </si>
  <si>
    <t>Downtown Development Authority of the City of Thomson</t>
  </si>
  <si>
    <t>Griffin</t>
  </si>
  <si>
    <t>What percentage of the funding sources is cash flow debt?</t>
  </si>
  <si>
    <t>Are the tax credit rents set at 95% of the allowed maximum rent under the Tax Credit Program?</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</si>
  <si>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</si>
  <si>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</si>
  <si>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</si>
  <si>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Time line for clean up of the site</t>
  </si>
  <si>
    <t>If selected, the Applicant agrees to provide reasonable accommodation for these tenants in the Property Management’s tenant application?</t>
  </si>
  <si>
    <t>Application Certification Letter (Tab X of electronic Core Application)</t>
  </si>
  <si>
    <t>Efficiency PBRA 60% Units</t>
  </si>
  <si>
    <t>1 BR PBRA 60% Units</t>
  </si>
  <si>
    <t>Housing Authority of the City of Lithonia, Georgia</t>
  </si>
  <si>
    <t>Housing Authority of the City of Loganville, GA</t>
  </si>
  <si>
    <t>Housing Authority of the City of Nahunta</t>
  </si>
  <si>
    <t>Housing Authority of the City of Jefferson</t>
  </si>
  <si>
    <t>Milan</t>
  </si>
  <si>
    <t>Housing Authority of the City of Jesup</t>
  </si>
  <si>
    <t>Milledgeville</t>
  </si>
  <si>
    <t>VI.</t>
  </si>
  <si>
    <t>Additional HOME/HUD Requirements</t>
  </si>
  <si>
    <t>Invstmt Earnings: T-E Bonds</t>
  </si>
  <si>
    <t>Building</t>
  </si>
  <si>
    <t>Property Tax Abatement</t>
  </si>
  <si>
    <t>Millen</t>
  </si>
  <si>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</si>
  <si>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Equipped Computer Center (must have high-speed internet access for every computer, and one computer and printer for every 25 units)</t>
  </si>
  <si>
    <t>Washers and dryers are installed and maintained in every unit at no additional cost to tenants</t>
  </si>
  <si>
    <t>Housing Authority of the City of Lavonia</t>
  </si>
  <si>
    <t>Milner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</si>
  <si>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</si>
  <si>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</si>
  <si>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</si>
  <si>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Evidence of easements necessary to extend utilities (if applicable)</t>
  </si>
  <si>
    <t>Appraisal</t>
  </si>
  <si>
    <t>Efficiency Rehab LI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</si>
  <si>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</si>
  <si>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</si>
  <si>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</si>
  <si>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</si>
  <si>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</si>
  <si>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</si>
  <si>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</si>
  <si>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</si>
  <si>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</si>
  <si>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</si>
  <si>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</si>
  <si>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 PBRA 30% Units</t>
  </si>
  <si>
    <t>Plan clearly targets project's specific neighborhood and is proven to be current, ongoing and directly affecting site of proposed project?</t>
  </si>
  <si>
    <t>Greene</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</si>
  <si>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</si>
  <si>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</si>
  <si>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</si>
  <si>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</si>
  <si>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</si>
  <si>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</si>
  <si>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</si>
  <si>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</si>
  <si>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</si>
  <si>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</si>
  <si>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</si>
  <si>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</si>
  <si>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</si>
  <si>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</si>
  <si>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</si>
  <si>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</si>
  <si>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Development Authority of Pike County</t>
  </si>
  <si>
    <t>Covington</t>
  </si>
  <si>
    <t>Development Authority of Polk County</t>
  </si>
  <si>
    <t>Development Authority of Rabun County</t>
  </si>
  <si>
    <t>Development Authority of Richmond County</t>
  </si>
  <si>
    <t>Crawfordville</t>
  </si>
  <si>
    <t>Loans are for both construction and permanent financing phases</t>
  </si>
  <si>
    <t xml:space="preserve">Loans are for a minimum period of ten years and reflect interest rates at or below AFR. </t>
  </si>
  <si>
    <t>Relocation</t>
  </si>
  <si>
    <t>+</t>
  </si>
  <si>
    <t>Preservation Set Aside</t>
  </si>
  <si>
    <t>Project Name</t>
  </si>
  <si>
    <t>Site Street Address</t>
  </si>
  <si>
    <t>City</t>
  </si>
  <si>
    <t>County</t>
  </si>
  <si>
    <t>Legislative Districts</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</si>
  <si>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</si>
  <si>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</si>
  <si>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</si>
  <si>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If selected, the Applicant agrees to prepare and submit a Marketing Plan outlining how the project will market units to tenants with special needs?</t>
  </si>
  <si>
    <t>Commitment or award documentation meets the terms and conditions as applicable specified in Appendix I, Threshold Criteria, Section I (I).</t>
  </si>
  <si>
    <t>HUD MSA/NonMSA</t>
  </si>
  <si>
    <t>MSA/NonMSA:</t>
  </si>
  <si>
    <t>Tenant</t>
  </si>
  <si>
    <r>
      <t>NOT</t>
    </r>
    <r>
      <rPr>
        <i/>
        <sz val="10"/>
        <color indexed="10"/>
        <rFont val="Arial"/>
        <family val="2"/>
      </rPr>
      <t xml:space="preserve"> Included in Mgt Fee:</t>
    </r>
  </si>
  <si>
    <t>Acquisition</t>
  </si>
  <si>
    <t>Participant</t>
  </si>
  <si>
    <t>Deferred Developer Fees</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</si>
  <si>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</si>
  <si>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</si>
  <si>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</si>
  <si>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</si>
  <si>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</si>
  <si>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</si>
  <si>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</si>
  <si>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</si>
  <si>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</si>
  <si>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</si>
  <si>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</si>
  <si>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</si>
  <si>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</si>
  <si>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</si>
  <si>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</si>
  <si>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</si>
  <si>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</si>
  <si>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</si>
  <si>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</si>
  <si>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</si>
  <si>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</si>
  <si>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</si>
  <si>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</si>
  <si>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</si>
  <si>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</si>
  <si>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</si>
  <si>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</si>
  <si>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</si>
  <si>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</si>
  <si>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Furnished Exercise/Fitness Center</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</si>
  <si>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</si>
  <si>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</si>
  <si>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</si>
  <si>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</si>
  <si>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</si>
  <si>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</si>
  <si>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2 BR Acq/Rhb Mkt Units</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</si>
  <si>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</si>
  <si>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</si>
  <si>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</si>
  <si>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</si>
  <si>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</si>
  <si>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Facilitate the deconcentration of poverty?</t>
  </si>
  <si>
    <t>Provide for community improvements or amenities?</t>
  </si>
  <si>
    <r>
      <t xml:space="preserve">Local Redevelopment Plan </t>
    </r>
    <r>
      <rPr>
        <sz val="8"/>
        <rFont val="Arial"/>
        <family val="2"/>
      </rPr>
      <t>- includes items below?</t>
    </r>
  </si>
  <si>
    <t>k)</t>
  </si>
  <si>
    <t>Date adopted:</t>
  </si>
  <si>
    <t>Grady</t>
  </si>
  <si>
    <t>Grady Co.</t>
  </si>
  <si>
    <t>Floyd</t>
  </si>
  <si>
    <t>Forsyth</t>
  </si>
  <si>
    <t>Franklin</t>
  </si>
  <si>
    <t>Franklin Co.</t>
  </si>
  <si>
    <t>Gilmer</t>
  </si>
  <si>
    <t>Gilmer Co.</t>
  </si>
  <si>
    <t>Glascock</t>
  </si>
  <si>
    <t>Greene Co.</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</si>
  <si>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</si>
  <si>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</si>
  <si>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</si>
  <si>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</si>
  <si>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</si>
  <si>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</si>
  <si>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</si>
  <si>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</si>
  <si>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</si>
  <si>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</si>
  <si>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</si>
  <si>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</si>
  <si>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DCA-RELATED COSTS</t>
  </si>
  <si>
    <t>Development Authority of Rockdale County</t>
  </si>
  <si>
    <t>Culloden</t>
  </si>
  <si>
    <t>Development Authority of Screven County</t>
  </si>
  <si>
    <t>Paid By (check one)</t>
  </si>
  <si>
    <t>OTHER COSTS</t>
  </si>
  <si>
    <t>Lavonia</t>
  </si>
  <si>
    <t>Expenses less Mgt Fee</t>
  </si>
  <si>
    <t>Number of Public Housing Units reserved and rented to public housing tenants:</t>
  </si>
  <si>
    <t>I.</t>
  </si>
  <si>
    <t>Athens-Clarke County, GA MSA</t>
  </si>
  <si>
    <t>Clay County, GA</t>
  </si>
  <si>
    <t>Clinch County, GA</t>
  </si>
  <si>
    <t>Coffee County, GA</t>
  </si>
  <si>
    <t>Colquitt County, GA</t>
  </si>
  <si>
    <t>Cook County, GA</t>
  </si>
  <si>
    <t>Crisp County, GA</t>
  </si>
  <si>
    <t>Social and recreational programs planned and overseen by project mgr</t>
  </si>
  <si>
    <t>Has a sensitivity analysis been conducted for the project to determine the affect of slow lease up or reduced rents on the viability of the project?  If Yes, attach.</t>
  </si>
  <si>
    <t>Development Authority for the City of Savannah</t>
  </si>
  <si>
    <t>Braswell</t>
  </si>
  <si>
    <t>Public water</t>
  </si>
  <si>
    <t>Date of Utility Allowances</t>
  </si>
  <si>
    <t>Political Jurisdiction</t>
  </si>
  <si>
    <t>Name of Chief Elected Official</t>
  </si>
  <si>
    <t>Ocilla City</t>
  </si>
  <si>
    <t>Oconee City</t>
  </si>
  <si>
    <t>Odum City</t>
  </si>
  <si>
    <t>Offerman City</t>
  </si>
  <si>
    <t>Oglethorpe City</t>
  </si>
  <si>
    <t>Oliver City</t>
  </si>
  <si>
    <t>Omega City</t>
  </si>
  <si>
    <t>Orchard Hill Town</t>
  </si>
  <si>
    <t>Consolidated Housing Authority of Talbot County, Georgia</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</si>
  <si>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</si>
  <si>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</si>
  <si>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</si>
  <si>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</si>
  <si>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</si>
  <si>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</si>
  <si>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</si>
  <si>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</si>
  <si>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</si>
  <si>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</si>
  <si>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</si>
  <si>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</si>
  <si>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</si>
  <si>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</si>
  <si>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</si>
  <si>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</si>
  <si>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</si>
  <si>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</si>
  <si>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</si>
  <si>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</si>
  <si>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</si>
  <si>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</si>
  <si>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</si>
  <si>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</si>
  <si>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</si>
  <si>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</si>
  <si>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</si>
  <si>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</si>
  <si>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</si>
  <si>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</si>
  <si>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</si>
  <si>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</si>
  <si>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</si>
  <si>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</si>
  <si>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</si>
  <si>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</si>
  <si>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</si>
  <si>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</si>
  <si>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</si>
  <si>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</si>
  <si>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</si>
  <si>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</si>
  <si>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</si>
  <si>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Full Cost of Improvement</t>
  </si>
  <si>
    <t>Roberta City</t>
  </si>
  <si>
    <t>Rocky Ford City</t>
  </si>
  <si>
    <t>Rome City</t>
  </si>
  <si>
    <t>Roopville Town</t>
  </si>
  <si>
    <t>Rossville City</t>
  </si>
  <si>
    <t>Roswell City</t>
  </si>
  <si>
    <t>Re:  Application for Low-Income Housing Tax Credit and/or HOME Funding</t>
  </si>
  <si>
    <t>City of Stockbridge, Georgia Downtown Development Authority</t>
  </si>
  <si>
    <t>Bluffton</t>
  </si>
  <si>
    <t>City of Sugar Hill Downtown Development Authority</t>
  </si>
  <si>
    <t>Blythe</t>
  </si>
  <si>
    <t>Housing Authority of the City of Harlem, Georgia</t>
  </si>
  <si>
    <t>Irwin County, GA</t>
  </si>
  <si>
    <t>Jackson County, GA</t>
  </si>
  <si>
    <t>Jeff Davis County, GA</t>
  </si>
  <si>
    <t>NONPROFIT SPONSOR</t>
  </si>
  <si>
    <t>DEVELOPER(S)</t>
  </si>
  <si>
    <t>Developer</t>
  </si>
  <si>
    <t>3 BR Acq/Rhb Mkt Units</t>
  </si>
  <si>
    <t>4 BR Acq/Rhb Mkt Units</t>
  </si>
  <si>
    <t>Provide affordable units for an extended period of 30 years or more?</t>
  </si>
  <si>
    <t>Be part of a mixed income phased community with a significant market component?</t>
  </si>
  <si>
    <t>(Enter phone numbers without using hyphens, parentheses, etc - ex: 1234567890)</t>
  </si>
  <si>
    <t>Evans Co.</t>
  </si>
  <si>
    <t>Fannin</t>
  </si>
  <si>
    <t>Fannin Co.</t>
  </si>
  <si>
    <t>Fayette</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</si>
  <si>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</si>
  <si>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</si>
  <si>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</si>
  <si>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</si>
  <si>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</si>
  <si>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</si>
  <si>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</si>
  <si>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</si>
  <si>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</si>
  <si>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</si>
  <si>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</si>
  <si>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</si>
  <si>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</si>
  <si>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</si>
  <si>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</si>
  <si>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</si>
  <si>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PERMANENT FINANCING FEES</t>
  </si>
  <si>
    <t>State House</t>
  </si>
  <si>
    <t>Projected Place-In-Service Date</t>
  </si>
  <si>
    <t>II.</t>
  </si>
  <si>
    <t>Other:</t>
  </si>
  <si>
    <t>III.</t>
  </si>
  <si>
    <t>Joint Development Authority of Jeff Davis County, Hazlehurst and Denton, Georgia</t>
  </si>
  <si>
    <t>Portal</t>
  </si>
  <si>
    <t>Marshallville City</t>
  </si>
  <si>
    <t>Martin Town</t>
  </si>
  <si>
    <t>Maxeys Town</t>
  </si>
  <si>
    <t>Maysville Town</t>
  </si>
  <si>
    <t>McCaysville City</t>
  </si>
  <si>
    <t>McDonough City</t>
  </si>
  <si>
    <t>McIntyre Town</t>
  </si>
  <si>
    <t>McRae City</t>
  </si>
  <si>
    <t>Meansville City</t>
  </si>
  <si>
    <t>Meigs City</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</si>
  <si>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</si>
  <si>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Decatur County, GA</t>
  </si>
  <si>
    <t>DeKalb</t>
  </si>
  <si>
    <t>Brooklet</t>
  </si>
  <si>
    <t>Cadwell</t>
  </si>
  <si>
    <t>Hazlehurst</t>
  </si>
  <si>
    <t>Lake City</t>
  </si>
  <si>
    <t>Norwood City</t>
  </si>
  <si>
    <t>Nunez City</t>
  </si>
  <si>
    <t>Oak Park Town</t>
  </si>
  <si>
    <t>Oakwood City</t>
  </si>
  <si>
    <t>Ochlocknee Town</t>
  </si>
  <si>
    <t>Norman Park City</t>
  </si>
  <si>
    <t>North High Shoals Town</t>
  </si>
  <si>
    <t>Nahunta City</t>
  </si>
  <si>
    <t>Nashville City</t>
  </si>
  <si>
    <t>Nelson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</si>
  <si>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</si>
  <si>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</si>
  <si>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</si>
  <si>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</si>
  <si>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</si>
  <si>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</si>
  <si>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</si>
  <si>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</si>
  <si>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</si>
  <si>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</si>
  <si>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</si>
  <si>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</si>
  <si>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</si>
  <si>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</si>
  <si>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</si>
  <si>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</si>
  <si>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</si>
  <si>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</si>
  <si>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</si>
  <si>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</si>
  <si>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</si>
  <si>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</si>
  <si>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</si>
  <si>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</si>
  <si>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</si>
  <si>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</si>
  <si>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</si>
  <si>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</si>
  <si>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</si>
  <si>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</si>
  <si>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</si>
  <si>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</si>
  <si>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</si>
  <si>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</si>
  <si>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</si>
  <si>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</si>
  <si>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</si>
  <si>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</si>
  <si>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</si>
  <si>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</si>
  <si>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</si>
  <si>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</si>
  <si>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</si>
  <si>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</si>
  <si>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</si>
  <si>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</si>
  <si>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Riverside Town</t>
  </si>
  <si>
    <t>Gordon City</t>
  </si>
  <si>
    <t>Rochelle City</t>
  </si>
  <si>
    <t>Rockmart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</si>
  <si>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</si>
  <si>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</si>
  <si>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</si>
  <si>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</si>
  <si>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</si>
  <si>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</si>
  <si>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</si>
  <si>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</si>
  <si>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</si>
  <si>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</si>
  <si>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</si>
  <si>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</si>
  <si>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</si>
  <si>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</si>
  <si>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</si>
  <si>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</si>
  <si>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</si>
  <si>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</si>
  <si>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</si>
  <si>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</si>
  <si>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</si>
  <si>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</si>
  <si>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</si>
  <si>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 xml:space="preserve">Expiring HUD or USDA </t>
  </si>
  <si>
    <t>Off Site Improvement, Amenity and Facility Investment</t>
  </si>
  <si>
    <t>Glascock Co.</t>
  </si>
  <si>
    <t>Glynn</t>
  </si>
  <si>
    <t>Gordon</t>
  </si>
  <si>
    <t>Gordon Co.</t>
  </si>
  <si>
    <t>Applicant agrees to arrange for the preconstruction plan review and inspection of the project by a DCA-qualified consultant 3 times during construction in order to certify the project's as-built compliance with accessibility regulations?</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</si>
  <si>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</si>
  <si>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</si>
  <si>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</si>
  <si>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</si>
  <si>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</si>
  <si>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</si>
  <si>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</si>
  <si>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</si>
  <si>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</si>
  <si>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</si>
  <si>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</si>
  <si>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</si>
  <si>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</si>
  <si>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</si>
  <si>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</si>
  <si>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</si>
  <si>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</si>
  <si>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</si>
  <si>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</si>
  <si>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</si>
  <si>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</si>
  <si>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</si>
  <si>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</si>
  <si>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</si>
  <si>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</si>
  <si>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</si>
  <si>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State Senate</t>
  </si>
  <si>
    <t>If on boundary, other district:</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</si>
  <si>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</si>
  <si>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</si>
  <si>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</si>
  <si>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</si>
  <si>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</si>
  <si>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</si>
  <si>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</si>
  <si>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</si>
  <si>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</si>
  <si>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</si>
  <si>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</si>
  <si>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</si>
  <si>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</si>
  <si>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</si>
  <si>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</si>
  <si>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</si>
  <si>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</si>
  <si>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</si>
  <si>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</si>
  <si>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</si>
  <si>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</si>
  <si>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</si>
  <si>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</si>
  <si>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</si>
  <si>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</si>
  <si>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</si>
  <si>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</si>
  <si>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</si>
  <si>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</si>
  <si>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</si>
  <si>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</si>
  <si>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</si>
  <si>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</si>
  <si>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</si>
  <si>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Newborn Town</t>
  </si>
  <si>
    <t>Newington Town</t>
  </si>
  <si>
    <t>Newnan City</t>
  </si>
  <si>
    <t>Newton City</t>
  </si>
  <si>
    <t>Nicholls City</t>
  </si>
  <si>
    <t>Nicholson Town</t>
  </si>
  <si>
    <t>Norcross City</t>
  </si>
  <si>
    <t>Mountain Park City</t>
  </si>
  <si>
    <t>Dudley City</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</si>
  <si>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</si>
  <si>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</si>
  <si>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</si>
  <si>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</si>
  <si>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</si>
  <si>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</si>
  <si>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</si>
  <si>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</si>
  <si>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</si>
  <si>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</si>
  <si>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</si>
  <si>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</si>
  <si>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</si>
  <si>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</si>
  <si>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</si>
  <si>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</si>
  <si>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</si>
  <si>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</si>
  <si>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</si>
  <si>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</si>
  <si>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</si>
  <si>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</si>
  <si>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</si>
  <si>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</si>
  <si>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</si>
  <si>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</si>
  <si>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</si>
  <si>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</si>
  <si>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</si>
  <si>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</si>
  <si>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</si>
  <si>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</si>
  <si>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</si>
  <si>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</si>
  <si>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</si>
  <si>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</si>
  <si>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</si>
  <si>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</si>
  <si>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</si>
  <si>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</si>
  <si>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</si>
  <si>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</si>
  <si>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</si>
  <si>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</si>
  <si>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</si>
  <si>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</si>
  <si>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</si>
  <si>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</si>
  <si>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</si>
  <si>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</si>
  <si>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</si>
  <si>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</si>
  <si>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</si>
  <si>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</si>
  <si>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</si>
  <si>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</si>
  <si>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Echols</t>
  </si>
  <si>
    <t>Graham City</t>
  </si>
  <si>
    <t>Effingham</t>
  </si>
  <si>
    <t>Elbert</t>
  </si>
  <si>
    <t>Elbert Co.</t>
  </si>
  <si>
    <t>Per Unit:</t>
  </si>
  <si>
    <t>Efficiency PHA Oper Sub 50% Units</t>
  </si>
  <si>
    <t>1 BR PHA Oper Sub 50% Units</t>
  </si>
  <si>
    <t>2 BR PHA Oper Sub 50% Units</t>
  </si>
  <si>
    <t xml:space="preserve">Applicant agrees that this proposed property must achieve a minimum standard for energy efficiency and sustainable building practices upon construction completionas set forth in the QAP and Manual?. </t>
  </si>
  <si>
    <t>Are any commitments submitted as “Under Consideration” which need final approval before July 29, 2011?</t>
  </si>
  <si>
    <t>If yes, then state the applicable financial assistance/funding:</t>
  </si>
  <si>
    <t>Eight-Step Process for Wetlands and/or Floodplains required?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</si>
  <si>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</si>
  <si>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</si>
  <si>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</si>
  <si>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</si>
  <si>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</si>
  <si>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</si>
  <si>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</si>
  <si>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</si>
  <si>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</si>
  <si>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</si>
  <si>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</si>
  <si>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</si>
  <si>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</si>
  <si>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</si>
  <si>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</si>
  <si>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</si>
  <si>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</si>
  <si>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</si>
  <si>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Housing Authority of the City of Clarkston</t>
  </si>
  <si>
    <t>Assumed Family Size Adjustments</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</si>
  <si>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</si>
  <si>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</si>
  <si>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</si>
  <si>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</si>
  <si>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</si>
  <si>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</si>
  <si>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</si>
  <si>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</si>
  <si>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</si>
  <si>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</si>
  <si>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</si>
  <si>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</si>
  <si>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</si>
  <si>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</si>
  <si>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</si>
  <si>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</si>
  <si>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Morganton City</t>
  </si>
  <si>
    <t>Morrow City</t>
  </si>
  <si>
    <t>Morven City</t>
  </si>
  <si>
    <t>Moultrie City</t>
  </si>
  <si>
    <t>Mount Airy Town</t>
  </si>
  <si>
    <t>Mount Vernon City</t>
  </si>
  <si>
    <t>Mount Zion City</t>
  </si>
  <si>
    <t>DCA Project Nbr:</t>
  </si>
  <si>
    <t>Required Application Binder Tabs</t>
  </si>
  <si>
    <t>Atlanta-Sandy Springs-Marietta</t>
  </si>
  <si>
    <t>Augusta-Richmond Co.</t>
  </si>
  <si>
    <t>Haralson Co.</t>
  </si>
  <si>
    <t>Lamar Co.</t>
  </si>
  <si>
    <t>Hinesville-Fort Stewart</t>
  </si>
  <si>
    <t>Meriwether Co.</t>
  </si>
  <si>
    <t>Oper Exp Coverage Ratio</t>
  </si>
  <si>
    <t>Applicant agrees that the final construction documents must clearly indicate all components of the building envelope and all materials and equipment that meet the requirements set forth in the QAP and Architectural Manual?.</t>
  </si>
  <si>
    <t>Optimal Utilization of Resources</t>
  </si>
  <si>
    <t>Northeast Georgia Housing Authority</t>
  </si>
  <si>
    <t>Calhoun Downtown Development Authority</t>
  </si>
  <si>
    <t>Attapulgus</t>
  </si>
  <si>
    <t>Camden County Joint Development Authority</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</si>
  <si>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</si>
  <si>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</si>
  <si>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</si>
  <si>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Downtown Development Authority of the City of Rossville</t>
  </si>
  <si>
    <t>Graham</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</si>
  <si>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</si>
  <si>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</si>
  <si>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</si>
  <si>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</si>
  <si>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</si>
  <si>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</si>
  <si>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Douglas City</t>
  </si>
  <si>
    <t>Douglasville City</t>
  </si>
  <si>
    <t>Dublin City</t>
  </si>
  <si>
    <t>Early Co.</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</si>
  <si>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</si>
  <si>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</si>
  <si>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</si>
  <si>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</si>
  <si>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</si>
  <si>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</si>
  <si>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</si>
  <si>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</si>
  <si>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</si>
  <si>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</si>
  <si>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</si>
  <si>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</si>
  <si>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</si>
  <si>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</si>
  <si>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</si>
  <si>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</si>
  <si>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</si>
  <si>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</si>
  <si>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Development Authority of McDuffie County</t>
  </si>
  <si>
    <t>Commerce</t>
  </si>
  <si>
    <t>Development Authority of McDuffie County and the City of Thomson</t>
  </si>
  <si>
    <t>Concord</t>
  </si>
  <si>
    <t>Downtown Development Authority of the City of Greensboro</t>
  </si>
  <si>
    <t>Garfield</t>
  </si>
  <si>
    <t>Was the community originally designed as one development with different phases?</t>
  </si>
  <si>
    <t>Are any other phases for this project also submitted during the current funding round?</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</si>
  <si>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</si>
  <si>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</si>
  <si>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</si>
  <si>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</si>
  <si>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</si>
  <si>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</si>
  <si>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</si>
  <si>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3 BR PHA Oper Sub 50% Units</t>
  </si>
  <si>
    <t>4 BR PHA Oper Sub 50% Units</t>
  </si>
  <si>
    <t>Annual Debt Service at Effective Rate</t>
  </si>
  <si>
    <t>2 BR PBRA 60% Units</t>
  </si>
  <si>
    <t>3 BR PBRA 60% Units</t>
  </si>
  <si>
    <t>NOTE: Row size may be increased or decreased as needed.  However, each cell will hold only 255 characters.</t>
  </si>
  <si>
    <t>Downtown Development Authority of the City of Royston</t>
  </si>
  <si>
    <t>Gray</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</si>
  <si>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</si>
  <si>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</si>
  <si>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</si>
  <si>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</si>
  <si>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</si>
  <si>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</si>
  <si>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</si>
  <si>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</si>
  <si>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</si>
  <si>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</si>
  <si>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</si>
  <si>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</si>
  <si>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</si>
  <si>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</si>
  <si>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</si>
  <si>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</si>
  <si>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</si>
  <si>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</si>
  <si>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</si>
  <si>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Site Construction (On-site)</t>
  </si>
  <si>
    <t>Site Construction (Off-site)</t>
  </si>
  <si>
    <t>STRUCTURES</t>
  </si>
  <si>
    <t>Residential Structures - New Construction</t>
  </si>
  <si>
    <t>Residential Structures - Rehab</t>
  </si>
  <si>
    <t>Accessory Structures (ie. community building, maintenance building, etc.)</t>
  </si>
  <si>
    <t>Downtown Development Authority of the City of Roswell</t>
  </si>
  <si>
    <t>Grantville</t>
  </si>
  <si>
    <t>Extermination</t>
  </si>
  <si>
    <t>Date</t>
  </si>
  <si>
    <t>[SEAL]</t>
  </si>
  <si>
    <t>(Select an energy standard from options provided here)</t>
  </si>
  <si>
    <t>3 BR Mkt SF</t>
  </si>
  <si>
    <t>4 BR Mkt SF</t>
  </si>
  <si>
    <t>Efficiency 60% Units</t>
  </si>
  <si>
    <t>Housing Authority of the City of Clayton, Georgia</t>
  </si>
  <si>
    <t>Locust Grove</t>
  </si>
  <si>
    <t>If "Yes", enter the percentage of the site that is a wetlands: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</si>
  <si>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</si>
  <si>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</si>
  <si>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</si>
  <si>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</si>
  <si>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</si>
  <si>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</si>
  <si>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</si>
  <si>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</si>
  <si>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</si>
  <si>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</si>
  <si>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</si>
  <si>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</si>
  <si>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</si>
  <si>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</si>
  <si>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</si>
  <si>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</si>
  <si>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</si>
  <si>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</si>
  <si>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</si>
  <si>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</si>
  <si>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</si>
  <si>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</si>
  <si>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</si>
  <si>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Additional documentation reflecting the time limits for use of the HOPE VI or Choice Neighborhoods funds</t>
  </si>
  <si>
    <t>Tennille City</t>
  </si>
  <si>
    <t>Total Utility Allowance by Unit Size</t>
  </si>
  <si>
    <t>Office Street Address</t>
  </si>
  <si>
    <t>Cartersville</t>
  </si>
  <si>
    <t>Was site control over the entire site (including all phases) in place when the initial phase was closed?</t>
  </si>
  <si>
    <t>IV.  DCA Comments</t>
  </si>
  <si>
    <t>Emanuel County Development Authority</t>
  </si>
  <si>
    <t>Hiawassee</t>
  </si>
  <si>
    <t>Name of CHDO:</t>
  </si>
  <si>
    <t>AMI</t>
  </si>
  <si>
    <t>Athens-Clarke County</t>
  </si>
  <si>
    <t>Butts Co.</t>
  </si>
  <si>
    <t>Hinesville - Fort Stewart</t>
  </si>
  <si>
    <t>Ben Hill Co.</t>
  </si>
  <si>
    <t>Income</t>
  </si>
  <si>
    <t>% of AMI</t>
  </si>
  <si>
    <t>East Dublin</t>
  </si>
  <si>
    <t>Downtown Development Authority of Albany, Georgia</t>
  </si>
  <si>
    <t>East Ellijay</t>
  </si>
  <si>
    <t>Downtown Development Authority of Augusta-Richmond County</t>
  </si>
  <si>
    <t>East Point</t>
  </si>
  <si>
    <t>Habersham County Development Authority</t>
  </si>
  <si>
    <t>Jacksonville</t>
  </si>
  <si>
    <t>Gresham Park</t>
  </si>
  <si>
    <t>Gumlog</t>
  </si>
  <si>
    <t>Hannahs Mill</t>
  </si>
  <si>
    <t>Hilltop</t>
  </si>
  <si>
    <t>Indian Springs</t>
  </si>
  <si>
    <t>Irondale</t>
  </si>
  <si>
    <t>Isle of Hope</t>
  </si>
  <si>
    <t>Kings Bay Base</t>
  </si>
  <si>
    <t>Lakeview</t>
  </si>
  <si>
    <t>Lakeview Estates</t>
  </si>
  <si>
    <t>Lincoln Park</t>
  </si>
  <si>
    <t xml:space="preserve">APPLICATION COMPLETENESS/ORGANIZATION  </t>
  </si>
  <si>
    <t>Fort Stewart</t>
  </si>
  <si>
    <t>Development Authority of Lumpkin County</t>
  </si>
  <si>
    <t>Development Authority of Macon County</t>
  </si>
  <si>
    <t>Comer</t>
  </si>
  <si>
    <t>Southwest Georgia Joint Development Authority</t>
  </si>
  <si>
    <t>VII.</t>
  </si>
  <si>
    <t>Maximum is project-specific</t>
  </si>
  <si>
    <t>Guidebook Met?</t>
  </si>
  <si>
    <t>DCA Pre-approved?</t>
  </si>
  <si>
    <t>a. Powder-based stovetop fire suppression canisters installed above the range cook top, OR</t>
  </si>
  <si>
    <t>5a)</t>
  </si>
  <si>
    <t>5b)</t>
  </si>
  <si>
    <t>Riverdale</t>
  </si>
  <si>
    <r>
      <t xml:space="preserve">Points Claimed for </t>
    </r>
    <r>
      <rPr>
        <i/>
        <sz val="8"/>
        <rFont val="Arial"/>
        <family val="2"/>
      </rPr>
      <t>this</t>
    </r>
    <r>
      <rPr>
        <sz val="8"/>
        <rFont val="Arial"/>
        <family val="2"/>
      </rPr>
      <t xml:space="preserve"> project: </t>
    </r>
  </si>
  <si>
    <t>Leary</t>
  </si>
  <si>
    <t>General Requirements (exclusive of Contractor Services)</t>
  </si>
  <si>
    <t>LESSER OF % of Construction Hard Costs</t>
  </si>
  <si>
    <t>N/A</t>
  </si>
  <si>
    <t>Acq / Rehab</t>
  </si>
  <si>
    <t>Acq portion</t>
  </si>
  <si>
    <t>Rhb portion</t>
  </si>
  <si>
    <t>Total OI in Mgt Fee</t>
  </si>
  <si>
    <t>Real Estate Taxes (Gross)*</t>
  </si>
  <si>
    <t xml:space="preserve">Points Claimed for other project: </t>
  </si>
  <si>
    <t>Rehabilitation</t>
  </si>
  <si>
    <t>% of (TDC - budgeted DF - uw Land)</t>
  </si>
  <si>
    <t>Project Narrative</t>
  </si>
  <si>
    <t>&lt;&lt;Select materials&gt;&gt;</t>
  </si>
  <si>
    <t>Interior package upgrade</t>
  </si>
  <si>
    <t>&lt;&lt;Select landscaping or site design feature&gt;&gt;</t>
  </si>
  <si>
    <t>Housing Authority of the City of Fort Valley</t>
  </si>
  <si>
    <t>Maxeys</t>
  </si>
  <si>
    <t>Housing Authority of the City of Gainesville</t>
  </si>
  <si>
    <t>Maysville</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</si>
  <si>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</si>
  <si>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</si>
  <si>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</si>
  <si>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</si>
  <si>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</si>
  <si>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</si>
  <si>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</si>
  <si>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</si>
  <si>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</si>
  <si>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</si>
  <si>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</si>
  <si>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</si>
  <si>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</si>
  <si>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</si>
  <si>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</si>
  <si>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</si>
  <si>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</si>
  <si>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</si>
  <si>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</si>
  <si>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</si>
  <si>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</si>
  <si>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</si>
  <si>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</si>
  <si>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</si>
  <si>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</si>
  <si>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AHP Commitment and loan documents, if applicable</t>
  </si>
  <si>
    <t>Documentation of Applicable Index Rate (for interest rates tied to an index), if applicable</t>
  </si>
  <si>
    <t>CONSTRUCTION CONTINGENCY</t>
  </si>
  <si>
    <t>Total Common Area Square Footage from Nonresidential areas</t>
  </si>
  <si>
    <t>Total Construction Hard Costs</t>
  </si>
  <si>
    <t>Green Building Consultant Fee</t>
  </si>
  <si>
    <t>Maintenance Supplies</t>
  </si>
  <si>
    <t>Marketing Plan incorporates outreach efforts to each service provider, homeless shelter or local disability advocacy organization in project's county</t>
  </si>
  <si>
    <t>Marketing Plan outlining how the project will market units to tenants with disabilities and the homeless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</si>
  <si>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</si>
  <si>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</si>
  <si>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</si>
  <si>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</si>
  <si>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</si>
  <si>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</si>
  <si>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</si>
  <si>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</si>
  <si>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</si>
  <si>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</si>
  <si>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</si>
  <si>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</si>
  <si>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</si>
  <si>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</si>
  <si>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</si>
  <si>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</si>
  <si>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</si>
  <si>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</si>
  <si>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</si>
  <si>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</si>
  <si>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</si>
  <si>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</si>
  <si>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</si>
  <si>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</si>
  <si>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</si>
  <si>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</si>
  <si>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</si>
  <si>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</si>
  <si>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</si>
  <si>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</si>
  <si>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</si>
  <si>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Letter executed by Official Representative</t>
  </si>
  <si>
    <t>Hapeville Development Authority</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</si>
  <si>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</si>
  <si>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</si>
  <si>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Fiber cement siding, hard stucco and/or wood siding will be installed on all exterior wall surfaces not already required to be brick</t>
  </si>
  <si>
    <t>Warren County, GA</t>
  </si>
  <si>
    <t>Washington County, GA</t>
  </si>
  <si>
    <t>Wayne County, GA</t>
  </si>
  <si>
    <t>Webster County, GA</t>
  </si>
  <si>
    <t>Patterson</t>
  </si>
  <si>
    <t>Ocmulgee Regional Joint Development Authority</t>
  </si>
  <si>
    <t>Rochelle</t>
  </si>
  <si>
    <t>2) Meetings</t>
  </si>
  <si>
    <t>3) Written Notifications</t>
  </si>
  <si>
    <t>Pooler</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</si>
  <si>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</si>
  <si>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</si>
  <si>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</si>
  <si>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</si>
  <si>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</si>
  <si>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</si>
  <si>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</si>
  <si>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</si>
  <si>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</si>
  <si>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</si>
  <si>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</si>
  <si>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</si>
  <si>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</si>
  <si>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</si>
  <si>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</si>
  <si>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</si>
  <si>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</si>
  <si>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</si>
  <si>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</si>
  <si>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</si>
  <si>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</si>
  <si>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</si>
  <si>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</si>
  <si>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</si>
  <si>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</si>
  <si>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</si>
  <si>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</si>
  <si>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</si>
  <si>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</si>
  <si>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</si>
  <si>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</si>
  <si>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LOCAL GOVERNMENT FEES</t>
  </si>
  <si>
    <t>Building Permits</t>
  </si>
  <si>
    <t>Impact Fees</t>
  </si>
  <si>
    <t>Water Tap Fees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</si>
  <si>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</si>
  <si>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</si>
  <si>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</si>
  <si>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</si>
  <si>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</si>
  <si>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</si>
  <si>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</si>
  <si>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</si>
  <si>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</si>
  <si>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Unit Amenities</t>
  </si>
  <si>
    <t>Site Amenities</t>
  </si>
  <si>
    <t>Each page of FFIEC census demonstrating project meets requirements</t>
  </si>
  <si>
    <t>Rehab of bldgs w/out existing brick/stone over 40% (&amp; ineligible for historic credits) will replace &amp; upgrade existing exterior finish surfaces on all wall faces w/brick or product w/40 yr warranty</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</si>
  <si>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</si>
  <si>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</si>
  <si>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</si>
  <si>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</si>
  <si>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</si>
  <si>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</si>
  <si>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</si>
  <si>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</si>
  <si>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</si>
  <si>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</si>
  <si>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</si>
  <si>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</si>
  <si>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</si>
  <si>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</si>
  <si>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</si>
  <si>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</si>
  <si>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</si>
  <si>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</si>
  <si>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</si>
  <si>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</si>
  <si>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</si>
  <si>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</si>
  <si>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</si>
  <si>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</si>
  <si>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</si>
  <si>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</si>
  <si>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</si>
  <si>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</si>
  <si>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</si>
  <si>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</si>
  <si>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</si>
  <si>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</si>
  <si>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</si>
  <si>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</si>
  <si>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</si>
  <si>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</si>
  <si>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</si>
  <si>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</si>
  <si>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</si>
  <si>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</si>
  <si>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</si>
  <si>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</si>
  <si>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</si>
  <si>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</si>
  <si>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</si>
  <si>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</si>
  <si>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</si>
  <si>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</si>
  <si>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</si>
  <si>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 of Existing Structures acquisition cost (including Acquisition Legal Fees)</t>
  </si>
  <si>
    <t>Housing Authority of the City of Augusta, Georgia</t>
  </si>
  <si>
    <t>Lawrenceville</t>
  </si>
  <si>
    <t>Housing Authority of the City of Bainbridge</t>
  </si>
  <si>
    <t>% of (TDC - budgeted DF - uw Land - Acq Lgl Fees - Existing Structures)</t>
  </si>
  <si>
    <t>% DF to bldg acq</t>
  </si>
  <si>
    <t>Public Transit Stop</t>
  </si>
  <si>
    <t>&lt;&lt;Select attractive features&gt;&gt;</t>
  </si>
  <si>
    <t>Rapid Rail</t>
  </si>
  <si>
    <t>Union County, GA</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</si>
  <si>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</si>
  <si>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</si>
  <si>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</si>
  <si>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</si>
  <si>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</si>
  <si>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</si>
  <si>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</si>
  <si>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</si>
  <si>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</si>
  <si>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</si>
  <si>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On-Site Security</t>
  </si>
  <si>
    <t>Contracted Guard</t>
  </si>
  <si>
    <t>Electronic Alarm System</t>
  </si>
  <si>
    <r>
      <t>Management Fee:</t>
    </r>
    <r>
      <rPr>
        <sz val="9"/>
        <color indexed="10"/>
        <rFont val="Arial"/>
        <family val="2"/>
      </rPr>
      <t/>
    </r>
  </si>
  <si>
    <t>Name of Qualified Nonprofit:</t>
  </si>
  <si>
    <t>Tenancy Characteristics</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</si>
  <si>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</si>
  <si>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</si>
  <si>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</si>
  <si>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</si>
  <si>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</si>
  <si>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</si>
  <si>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</si>
  <si>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</si>
  <si>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</si>
  <si>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</si>
  <si>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</si>
  <si>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</si>
  <si>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</si>
  <si>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</si>
  <si>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</si>
  <si>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</si>
  <si>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Sewer Tap Fees</t>
  </si>
  <si>
    <t>Permanent Loan Fees</t>
  </si>
  <si>
    <t>Permanent Loan Legal Fees</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</si>
  <si>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</si>
  <si>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</si>
  <si>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</si>
  <si>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</si>
  <si>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</si>
  <si>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DEEPER TARGETING / RENT AND INCOME RESTRICTIONS</t>
  </si>
  <si>
    <t>Ancillary Income</t>
  </si>
  <si>
    <t>Operating Subsidy</t>
  </si>
  <si>
    <t>TOTAL</t>
  </si>
  <si>
    <t>Hapeville</t>
  </si>
  <si>
    <t>(Select an amenity from options provided here)</t>
  </si>
  <si>
    <t>Certification of completion of Southface’s green building for affordable housing training course</t>
  </si>
  <si>
    <t>Special Needs Units</t>
  </si>
  <si>
    <t>Nbr of Units:</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</si>
  <si>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</si>
  <si>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</si>
  <si>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</si>
  <si>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</si>
  <si>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</si>
  <si>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Coleman</t>
  </si>
  <si>
    <t>Development Authority of Lanier County</t>
  </si>
  <si>
    <t>College Park</t>
  </si>
  <si>
    <t>Development Authority of Lawrenceville, GA</t>
  </si>
  <si>
    <t>Collins</t>
  </si>
  <si>
    <t>Development Authority of Lee County</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</si>
  <si>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</si>
  <si>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</si>
  <si>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</si>
  <si>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</si>
  <si>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</si>
  <si>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</si>
  <si>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</si>
  <si>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</si>
  <si>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</si>
  <si>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</si>
  <si>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</si>
  <si>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</si>
  <si>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</si>
  <si>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</si>
  <si>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</si>
  <si>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</si>
  <si>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</si>
  <si>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</si>
  <si>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</si>
  <si>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North</t>
  </si>
  <si>
    <t>Banks Co.</t>
  </si>
  <si>
    <t>Barrow</t>
  </si>
  <si>
    <t>Bartow</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</si>
  <si>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</si>
  <si>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</si>
  <si>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</si>
  <si>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</si>
  <si>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</si>
  <si>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</si>
  <si>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</si>
  <si>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</si>
  <si>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</si>
  <si>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</si>
  <si>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</si>
  <si>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</si>
  <si>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Skidaway Island</t>
  </si>
  <si>
    <t>Sunnyside</t>
  </si>
  <si>
    <t>Sunset Village</t>
  </si>
  <si>
    <t>Tucker</t>
  </si>
  <si>
    <t>Unionville</t>
  </si>
  <si>
    <t>Vinings</t>
  </si>
  <si>
    <t>% of (TDC - budgeted DF - Demo - uw Land)</t>
  </si>
  <si>
    <t>Whitemarsh Island</t>
  </si>
  <si>
    <t>Wilmington Island</t>
  </si>
  <si>
    <t>Baldwin County, GA</t>
  </si>
  <si>
    <t>Upson County, GA</t>
  </si>
  <si>
    <t>Ware County, GA</t>
  </si>
  <si>
    <t>Development Authority of Gwinnett County</t>
  </si>
  <si>
    <t>Furnished Children’s Activity center (must have furnishings, TV, educational media and recreational equipment)</t>
  </si>
  <si>
    <t>Asset Mgmt</t>
  </si>
  <si>
    <t>Incentive Mgmt</t>
  </si>
  <si>
    <t>Cash Flow</t>
  </si>
  <si>
    <t>4 BR New Construction LI Units</t>
  </si>
  <si>
    <t>Kingston</t>
  </si>
  <si>
    <t>Tift County, GA</t>
  </si>
  <si>
    <t>Housing Authority of Savannah</t>
  </si>
  <si>
    <t>Kite</t>
  </si>
  <si>
    <t>Date of PNA:</t>
  </si>
  <si>
    <t>Replacement Reserve</t>
  </si>
  <si>
    <t>Furniture, Fixtures and Equipment</t>
  </si>
  <si>
    <t>Maintenance Salaries &amp; Benefits</t>
  </si>
  <si>
    <t>Electricity</t>
  </si>
  <si>
    <t>Natural Gas</t>
  </si>
  <si>
    <t>Water &amp; Sewer</t>
  </si>
  <si>
    <t>Trash Collection</t>
  </si>
  <si>
    <t>Office Supplies &amp; Postage</t>
  </si>
  <si>
    <t>Telephone</t>
  </si>
  <si>
    <t>Travel</t>
  </si>
  <si>
    <t>Utilities</t>
  </si>
  <si>
    <t>Taxes and Insurance</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</si>
  <si>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</si>
  <si>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</si>
  <si>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</si>
  <si>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</si>
  <si>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</si>
  <si>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</si>
  <si>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</si>
  <si>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</si>
  <si>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</si>
  <si>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</si>
  <si>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</si>
  <si>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</si>
  <si>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</si>
  <si>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</si>
  <si>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</si>
  <si>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</si>
  <si>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</si>
  <si>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</si>
  <si>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</si>
  <si>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</si>
  <si>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</si>
  <si>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</si>
  <si>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</si>
  <si>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</si>
  <si>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</si>
  <si>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</si>
  <si>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</si>
  <si>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</si>
  <si>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</si>
  <si>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</si>
  <si>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</si>
  <si>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</si>
  <si>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</si>
  <si>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</si>
  <si>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</si>
  <si>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</si>
  <si>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</si>
  <si>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</si>
  <si>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</si>
  <si>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</si>
  <si>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</si>
  <si>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</si>
  <si>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</si>
  <si>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</si>
  <si>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Grant from foundation or charity</t>
  </si>
  <si>
    <t>Siloam</t>
  </si>
  <si>
    <t>Type of rehab (choose one):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</si>
  <si>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</si>
  <si>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</si>
  <si>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</si>
  <si>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</si>
  <si>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</si>
  <si>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</si>
  <si>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</si>
  <si>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</si>
  <si>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</si>
  <si>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</si>
  <si>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</si>
  <si>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</si>
  <si>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</si>
  <si>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</si>
  <si>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</si>
  <si>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ANNUAL OPERATING EXPENSE BUDGET</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</si>
  <si>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</si>
  <si>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</si>
  <si>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</si>
  <si>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</si>
  <si>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</si>
  <si>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</si>
  <si>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</si>
  <si>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</si>
  <si>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</si>
  <si>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</si>
  <si>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</si>
  <si>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</si>
  <si>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</si>
  <si>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Appling Co.</t>
  </si>
  <si>
    <t>3 BR 60% SF</t>
  </si>
  <si>
    <t>4 BR 60% SF</t>
  </si>
  <si>
    <r>
      <t xml:space="preserve">HQ Congressional District </t>
    </r>
    <r>
      <rPr>
        <b/>
        <sz val="9"/>
        <color indexed="10"/>
        <rFont val="Arial Narrow"/>
        <family val="2"/>
      </rPr>
      <t>*</t>
    </r>
  </si>
  <si>
    <t>Rent</t>
  </si>
  <si>
    <t>HOME Consent?</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</si>
  <si>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</si>
  <si>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</si>
  <si>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</si>
  <si>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</si>
  <si>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</si>
  <si>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</si>
  <si>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</si>
  <si>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</si>
  <si>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</si>
  <si>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</si>
  <si>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</si>
  <si>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</si>
  <si>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</si>
  <si>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</si>
  <si>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</si>
  <si>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</si>
  <si>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</si>
  <si>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</si>
  <si>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</si>
  <si>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If Yes, applicant will need to check with the source of these funds to determine if this project will trigger the Uniform Relocation Act or 104(d).</t>
  </si>
  <si>
    <t>On-Site Office Costs</t>
  </si>
  <si>
    <t>Professional Services</t>
  </si>
  <si>
    <t>Maintenance Expenses</t>
  </si>
  <si>
    <t>Interest</t>
  </si>
  <si>
    <t>Term</t>
  </si>
  <si>
    <t>Type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</si>
  <si>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</si>
  <si>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</si>
  <si>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</si>
  <si>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</si>
  <si>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</si>
  <si>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Appling County, GA</t>
  </si>
  <si>
    <t>Atkinson County, GA</t>
  </si>
  <si>
    <t>Bacon County, GA</t>
  </si>
  <si>
    <t>Albany, GA MSA</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</si>
  <si>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</si>
  <si>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</si>
  <si>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</si>
  <si>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</si>
  <si>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Toombs County, GA</t>
  </si>
  <si>
    <t>Towns County, GA</t>
  </si>
  <si>
    <t>Efficiency New Construction LI Units</t>
  </si>
  <si>
    <t>Treutlen County, GA</t>
  </si>
  <si>
    <t>Troup County, GA</t>
  </si>
  <si>
    <t>Turner County, GA</t>
  </si>
  <si>
    <t>3 BR New Construction LI Units</t>
  </si>
  <si>
    <t>1 BR New Construction LI Units</t>
  </si>
  <si>
    <t>2 BR New Construction LI Units</t>
  </si>
  <si>
    <t>Effective Interest Rate</t>
  </si>
  <si>
    <t>Owner/Developer</t>
  </si>
  <si>
    <t>Norcross</t>
  </si>
  <si>
    <t>Butts</t>
  </si>
  <si>
    <t>Calhoun</t>
  </si>
  <si>
    <t>Calhoun Co.</t>
  </si>
  <si>
    <t>Camden</t>
  </si>
  <si>
    <t>Middle</t>
  </si>
  <si>
    <t>Elbert County, GA</t>
  </si>
  <si>
    <t>Emanuel County, GA</t>
  </si>
  <si>
    <t>Evans County, GA</t>
  </si>
  <si>
    <t>Fannin County, GA</t>
  </si>
  <si>
    <t>Select City first</t>
  </si>
  <si>
    <t>Select from list</t>
  </si>
  <si>
    <t>Dishwasher (Energy Star rated)</t>
  </si>
  <si>
    <t>Housing Authority of the City of Cave Spring</t>
  </si>
  <si>
    <t>Louisville</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</si>
  <si>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</si>
  <si>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</si>
  <si>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</si>
  <si>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</si>
  <si>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</si>
  <si>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</si>
  <si>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</si>
  <si>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</si>
  <si>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</si>
  <si>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</si>
  <si>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</si>
  <si>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</si>
  <si>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</si>
  <si>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Applicant agrees to provide the following required Standard Site Amenities in conformance with the DCA Amenities Guidebook (select one in each category):</t>
  </si>
  <si>
    <t>Applicant agrees to provide the following required Unit Amenities:</t>
  </si>
  <si>
    <t>Development of green space on a master plan development site</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</si>
  <si>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</si>
  <si>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</si>
  <si>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</si>
  <si>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</si>
  <si>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</si>
  <si>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</si>
  <si>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</si>
  <si>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</si>
  <si>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</si>
  <si>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</si>
  <si>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</si>
  <si>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</si>
  <si>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</si>
  <si>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</si>
  <si>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</si>
  <si>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</si>
  <si>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</si>
  <si>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</si>
  <si>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(Non)Metropolitan SA</t>
  </si>
  <si>
    <t>Appling</t>
  </si>
  <si>
    <t>South</t>
  </si>
  <si>
    <t>APPLICANT CONTACT FOR APPLICATION REVIEW</t>
  </si>
  <si>
    <t>1 BR 50% SF</t>
  </si>
  <si>
    <t>2 BR 50% SF</t>
  </si>
  <si>
    <t>Congressional Districts:</t>
  </si>
  <si>
    <t>Unit</t>
  </si>
  <si>
    <t>Count</t>
  </si>
  <si>
    <t>Development Authority of Clayton County</t>
  </si>
  <si>
    <t>Camilla</t>
  </si>
  <si>
    <t>PROJECT LOCATION</t>
  </si>
  <si>
    <t>PROJECT DESCRIPTION</t>
  </si>
  <si>
    <t>Total Existing Units</t>
  </si>
  <si>
    <t>Development Authority of Columbia County</t>
  </si>
  <si>
    <t>3 BR Rehab Mkt Units</t>
  </si>
  <si>
    <t>4 BR Rehab Mkt Units</t>
  </si>
  <si>
    <t>Sparta-Hancock County Development Authority</t>
  </si>
  <si>
    <t>Senoia</t>
  </si>
  <si>
    <t>St. Marys Downtown Development Authority</t>
  </si>
  <si>
    <t>Shady Dale</t>
  </si>
  <si>
    <t>Stephens County Development Authority</t>
  </si>
  <si>
    <t>Cairo City</t>
  </si>
  <si>
    <t>Calhoun City</t>
  </si>
  <si>
    <t>Camak Town</t>
  </si>
  <si>
    <t>Development Authority of Cobb County</t>
  </si>
  <si>
    <t>Canon</t>
  </si>
  <si>
    <t>Development Authority of Columbus, Georgia</t>
  </si>
  <si>
    <t>Carl</t>
  </si>
  <si>
    <t>Applicant agrees to forego cancellation option for at least 5 yrs after close of Compliance period?</t>
  </si>
  <si>
    <t xml:space="preserve">Community Development Block Grant (CDBG) program funds </t>
  </si>
  <si>
    <t>($500,000 minimum)</t>
  </si>
  <si>
    <t>($1,000,000 minimum)</t>
  </si>
  <si>
    <t>($3,000,000 minimum)</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</si>
  <si>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</si>
  <si>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</si>
  <si>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Total Common Space Square Footage from Units</t>
  </si>
  <si>
    <t>Stewart County, GA</t>
  </si>
  <si>
    <t>Sumter County, GA</t>
  </si>
  <si>
    <t>Talbot County, GA</t>
  </si>
  <si>
    <t>Project Overview</t>
  </si>
  <si>
    <t xml:space="preserve"> Name of Financing Entity</t>
  </si>
  <si>
    <t>Total Construction Financing:</t>
  </si>
  <si>
    <t>Ben Hill</t>
  </si>
  <si>
    <t>Ben Hill Co</t>
  </si>
  <si>
    <t>Berrien</t>
  </si>
  <si>
    <t>Berrien Co.</t>
  </si>
  <si>
    <t>Bibb</t>
  </si>
  <si>
    <t>Macon</t>
  </si>
  <si>
    <t>Bleckley</t>
  </si>
  <si>
    <t>Bleckley Co.</t>
  </si>
  <si>
    <t>Brantley</t>
  </si>
  <si>
    <t>Brooks</t>
  </si>
  <si>
    <t>Bryan</t>
  </si>
  <si>
    <t>Savannah</t>
  </si>
  <si>
    <t>Bulloch</t>
  </si>
  <si>
    <t>Bulloch Co.</t>
  </si>
  <si>
    <t>Burke</t>
  </si>
  <si>
    <t>Augusta</t>
  </si>
  <si>
    <t>Documents from USDA indicating project is located in rural area (if applicable)</t>
  </si>
  <si>
    <t>Master Planned Community Documentation</t>
  </si>
  <si>
    <t>Set asides</t>
  </si>
  <si>
    <t>Replacement housing factor (RHF) funds documents</t>
  </si>
  <si>
    <t>Total Construction Period Costs from Development Budget:</t>
  </si>
  <si>
    <t>Amort.</t>
  </si>
  <si>
    <t>Housing Authority of the City of Hampton, Georgia</t>
  </si>
  <si>
    <t>MONTHLY TOTAL</t>
  </si>
  <si>
    <t>Santa Claus</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</si>
  <si>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</si>
  <si>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</si>
  <si>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</si>
  <si>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</si>
  <si>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</si>
  <si>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</si>
  <si>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</si>
  <si>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</si>
  <si>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N/a</t>
  </si>
  <si>
    <t>Housing Authority of the City of Colquitt</t>
  </si>
  <si>
    <t>Lookout Mountain</t>
  </si>
  <si>
    <t>Martinez</t>
  </si>
  <si>
    <r>
      <t xml:space="preserve">C. Documents not organized correctly:  </t>
    </r>
    <r>
      <rPr>
        <sz val="8"/>
        <rFont val="Arial"/>
        <family val="2"/>
      </rPr>
      <t>Nbr</t>
    </r>
  </si>
  <si>
    <t>GICH Communities</t>
  </si>
  <si>
    <t>Signature Communities</t>
  </si>
  <si>
    <t>Communities of Opportunity</t>
  </si>
  <si>
    <t>Camden County</t>
  </si>
  <si>
    <t>Remerton/Valdosta</t>
  </si>
  <si>
    <t>Existing properties: currently an Extention of Cancellation Option?</t>
  </si>
  <si>
    <t>Waivers and/or Pre-Approvals - have the following waivers and/or pre-approvals been approved by DCA?</t>
  </si>
  <si>
    <t>Housing Authority of the City of Cornelia, Ga.</t>
  </si>
  <si>
    <t>Lovejoy</t>
  </si>
  <si>
    <t>Housing Authority of the City of Covington</t>
  </si>
  <si>
    <t>Reynolds</t>
  </si>
  <si>
    <t>Middle Georgia Regional Development Authority</t>
  </si>
  <si>
    <t>Rhine</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</si>
  <si>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</si>
  <si>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</si>
  <si>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</si>
  <si>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</si>
  <si>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</si>
  <si>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</si>
  <si>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</si>
  <si>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</si>
  <si>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Combustion equipment isolated in a sealed combustion closet that is vented from outside building envelope</t>
  </si>
  <si>
    <t>Development of walking trails on a master plan development site</t>
  </si>
  <si>
    <t>Construction of sidewalks and streetscape adjacent to the property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</si>
  <si>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</si>
  <si>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</si>
  <si>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If "Yes",  what are the contributing factors in decreasing order of magnitude?</t>
  </si>
  <si>
    <t>(With EPA/EPD Documentation)</t>
  </si>
  <si>
    <t>Annual P &amp; I</t>
  </si>
  <si>
    <t>Monthly P &amp; I</t>
  </si>
  <si>
    <t>Loan Term (yrs)</t>
  </si>
  <si>
    <t>Amortization Pd (yrs)</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</si>
  <si>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</si>
  <si>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</si>
  <si>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</si>
  <si>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Joint Development Authority of Bartow County and Pickens County</t>
  </si>
  <si>
    <t>In USDA Rural Area?</t>
  </si>
  <si>
    <t>Byron City</t>
  </si>
  <si>
    <t>Cadwell Town</t>
  </si>
  <si>
    <t>Lovejoy City</t>
  </si>
  <si>
    <t>Camilla City</t>
  </si>
  <si>
    <t>Canon City</t>
  </si>
  <si>
    <t>Canton City</t>
  </si>
  <si>
    <t>Canton</t>
  </si>
  <si>
    <t>Ludowici City</t>
  </si>
  <si>
    <t>Carl Town</t>
  </si>
  <si>
    <t>Carlton City</t>
  </si>
  <si>
    <t>Carnesville City</t>
  </si>
  <si>
    <t>Carrollton City</t>
  </si>
  <si>
    <t>Cartersville City</t>
  </si>
  <si>
    <t>Cave Spring City</t>
  </si>
  <si>
    <t>Cecil City</t>
  </si>
  <si>
    <t>Cedartown City</t>
  </si>
  <si>
    <t>Development Authority of Conyers, Georgia</t>
  </si>
  <si>
    <t>Carlton</t>
  </si>
  <si>
    <t>Housing Authority of the City of Doerun, Georgia</t>
  </si>
  <si>
    <t>Housing Authority of the City of Dublin, Georgia</t>
  </si>
  <si>
    <t>Federal Home Loan Bank Affordable Housing Program (AHP)</t>
  </si>
  <si>
    <t>NSP not allocated from DCA</t>
  </si>
  <si>
    <t>Beltline Grant</t>
  </si>
  <si>
    <t>Housing Opportunity Bonds</t>
  </si>
  <si>
    <t>HOME Funds (non DCA source)</t>
  </si>
  <si>
    <t>HUD 202 or 811 program funds</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</si>
  <si>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</si>
  <si>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</si>
  <si>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</si>
  <si>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</si>
  <si>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</si>
  <si>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</si>
  <si>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</si>
  <si>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Total Basis Method Tax Credit Calculation</t>
  </si>
  <si>
    <t>Total Gap Method Tax Credit Calculation</t>
  </si>
  <si>
    <t>TAX CREDIT CALCULATION - BASIS METHOD</t>
  </si>
  <si>
    <t>TAX CREDIT CALCULATION - GAP METHOD</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</si>
  <si>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</si>
  <si>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</si>
  <si>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</si>
  <si>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</si>
  <si>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</si>
  <si>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</si>
  <si>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</si>
  <si>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Grounds Maintenance</t>
  </si>
  <si>
    <t>EPA Energy Star Program construction and certification:</t>
  </si>
  <si>
    <t>Energystar ceiling fans in living rooms, sunrooms and all bedrooms</t>
  </si>
  <si>
    <t>Does project meet threshold requirement for Building Sustainability and does owner agree to implement the following to educate residents and management?</t>
  </si>
  <si>
    <t>Term (In Months)</t>
  </si>
  <si>
    <t xml:space="preserve">Proposed DCA HOME Loan Interest Rate by Operating Year for Projects in Rural Areas: </t>
  </si>
  <si>
    <t>Miller</t>
  </si>
  <si>
    <t>Miller Co.</t>
  </si>
  <si>
    <t>Mitchell</t>
  </si>
  <si>
    <t>Mitchell Co.</t>
  </si>
  <si>
    <t>Monroe</t>
  </si>
  <si>
    <t>Qualification Determination?</t>
  </si>
  <si>
    <t>Probationary Participation?</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</si>
  <si>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</si>
  <si>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</si>
  <si>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</si>
  <si>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</si>
  <si>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</si>
  <si>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</si>
  <si>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</si>
  <si>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</si>
  <si>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</si>
  <si>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</si>
  <si>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</si>
  <si>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</si>
  <si>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</si>
  <si>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</si>
  <si>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</si>
  <si>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</si>
  <si>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</si>
  <si>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</si>
  <si>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</si>
  <si>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</si>
  <si>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</si>
  <si>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</si>
  <si>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</si>
  <si>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</si>
  <si>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DCA HOME Loan Pre-Application Fee</t>
  </si>
  <si>
    <t>Payment &amp; Performance Bond?</t>
  </si>
  <si>
    <t>FHA Risk Share</t>
  </si>
  <si>
    <t>In addition, Applicant understands:</t>
  </si>
  <si>
    <t>•</t>
  </si>
  <si>
    <t>Tenant Household Data Forms</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</si>
  <si>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</si>
  <si>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</si>
  <si>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</si>
  <si>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</si>
  <si>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</si>
  <si>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</si>
  <si>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</si>
  <si>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</si>
  <si>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</si>
  <si>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</si>
  <si>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</si>
  <si>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</si>
  <si>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</si>
  <si>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</si>
  <si>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Butler City</t>
  </si>
  <si>
    <t>Byromville Town</t>
  </si>
  <si>
    <t>Lookout Mountain City</t>
  </si>
  <si>
    <t>Louisville City</t>
  </si>
  <si>
    <t>Lula City</t>
  </si>
  <si>
    <t>Lumpkin City</t>
  </si>
  <si>
    <t>Luthersville Town</t>
  </si>
  <si>
    <t>Lyerly Town</t>
  </si>
  <si>
    <t>Lyons City</t>
  </si>
  <si>
    <t>Macon City</t>
  </si>
  <si>
    <t>Madison City</t>
  </si>
  <si>
    <t>identifies that the project meets one of the objectives of the Community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</si>
  <si>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</si>
  <si>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</si>
  <si>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</si>
  <si>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</si>
  <si>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</si>
  <si>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</si>
  <si>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</si>
  <si>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</si>
  <si>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</si>
  <si>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</si>
  <si>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</si>
  <si>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</si>
  <si>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</si>
  <si>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</si>
  <si>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Housing Authority of the City of East Point, Georgia</t>
  </si>
  <si>
    <t>Housing Authority of the City of Eastman</t>
  </si>
  <si>
    <t>Manassas</t>
  </si>
  <si>
    <t>Housing Authority of the City of Eatonton</t>
  </si>
  <si>
    <t>Manchester</t>
  </si>
  <si>
    <t>Housing Authority of the City of Edison, GA.</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</si>
  <si>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</si>
  <si>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</si>
  <si>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</si>
  <si>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</si>
  <si>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</si>
  <si>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</si>
  <si>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</si>
  <si>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</si>
  <si>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</si>
  <si>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</si>
  <si>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</si>
  <si>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</si>
  <si>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</si>
  <si>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</si>
  <si>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Specify below at least 1 basic ongoing service from categories listed in QAP for Family projects, or at least 2 basic ongoing services from categories listed in QAP for Senior projects:</t>
  </si>
  <si>
    <t>A1)</t>
  </si>
  <si>
    <t>A2)</t>
  </si>
  <si>
    <t>A3)</t>
  </si>
  <si>
    <t>Applicant agrees to provide the following additional required Amenities for Senior projects:</t>
  </si>
  <si>
    <t>Leesburg</t>
  </si>
  <si>
    <t>Housing Authority of the City of Blakely, Georgia</t>
  </si>
  <si>
    <t>Lenox</t>
  </si>
  <si>
    <t>b. Electronically controlled solid cover plates over stove top burners</t>
  </si>
  <si>
    <t>Housing Authority of the City of Baxley</t>
  </si>
  <si>
    <t>Downtown Development Authority of the City of Zebulon</t>
  </si>
  <si>
    <t>Hahira</t>
  </si>
  <si>
    <t>Housing Authority of the City of Blackshear</t>
  </si>
  <si>
    <t>Section 515 financing documents</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</si>
  <si>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</si>
  <si>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</si>
  <si>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</si>
  <si>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</si>
  <si>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</si>
  <si>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</si>
  <si>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</si>
  <si>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</si>
  <si>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</si>
  <si>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</si>
  <si>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</si>
  <si>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</si>
  <si>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AWARD LIMITATIONS FOR CURRENT DCA COMPETITIVE ROUND</t>
  </si>
  <si>
    <t>Are the proposed rents at or near market rate rents of comparable properties?</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</si>
  <si>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</si>
  <si>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</si>
  <si>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</si>
  <si>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</si>
  <si>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r>
      <t xml:space="preserve">GP and Developer have been a project participant in </t>
    </r>
    <r>
      <rPr>
        <b/>
        <sz val="9"/>
        <rFont val="Arial"/>
        <family val="2"/>
      </rPr>
      <t>two</t>
    </r>
    <r>
      <rPr>
        <sz val="9"/>
        <rFont val="Arial"/>
        <family val="2"/>
      </rPr>
      <t xml:space="preserve"> LIHTC projects.  List project names and nbrs in Comments below.</t>
    </r>
  </si>
  <si>
    <t>Pre-determination of Qualification to Compete?</t>
  </si>
  <si>
    <t>LIHTC Fee (both 4% and 9%)</t>
  </si>
  <si>
    <t>Abbeville City</t>
  </si>
  <si>
    <t>Acworth City</t>
  </si>
  <si>
    <t>Adairsville City</t>
  </si>
  <si>
    <t>Adel City</t>
  </si>
  <si>
    <t>Adrian City</t>
  </si>
  <si>
    <t>Ailey City</t>
  </si>
  <si>
    <t>Alamo Town</t>
  </si>
  <si>
    <t>Alapaha Town</t>
  </si>
  <si>
    <t>Albany City</t>
  </si>
  <si>
    <t>Dalton / Whitfield County</t>
  </si>
  <si>
    <t>Gray / Jones County</t>
  </si>
  <si>
    <t>Hall County</t>
  </si>
  <si>
    <t>Sandersville / Tennille / Washington County</t>
  </si>
  <si>
    <t>Thomson / McDuffie County</t>
  </si>
  <si>
    <t>Hapeville City</t>
  </si>
  <si>
    <t>Haralson Town</t>
  </si>
  <si>
    <t>Harlem City</t>
  </si>
  <si>
    <t>Ashburn City</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</si>
  <si>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</si>
  <si>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</si>
  <si>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</si>
  <si>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</si>
  <si>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</si>
  <si>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</si>
  <si>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Baldwin City</t>
  </si>
  <si>
    <t>Ball Ground City</t>
  </si>
  <si>
    <t>Barnesville City</t>
  </si>
  <si>
    <t>Bartow Town</t>
  </si>
  <si>
    <t>Barwick City</t>
  </si>
  <si>
    <t>Is a Phase II Environmental Report included?</t>
  </si>
  <si>
    <t>Relocation Displacement Spreadsheet</t>
  </si>
  <si>
    <t>Temporary Relocation Cost Estimate</t>
  </si>
  <si>
    <t>Williamson</t>
  </si>
  <si>
    <t>Winder</t>
  </si>
  <si>
    <t>Whitesburg</t>
  </si>
  <si>
    <t>Willacoochee</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</si>
  <si>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</si>
  <si>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</si>
  <si>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</si>
  <si>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</si>
  <si>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</si>
  <si>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</si>
  <si>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</si>
  <si>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</si>
  <si>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</si>
  <si>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</si>
  <si>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</si>
  <si>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</si>
  <si>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</si>
  <si>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</si>
  <si>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</si>
  <si>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</si>
  <si>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</si>
  <si>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</si>
  <si>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</si>
  <si>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</si>
  <si>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</si>
  <si>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</si>
  <si>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Loganville City</t>
  </si>
  <si>
    <t>Lone Oak Town</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</si>
  <si>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</si>
  <si>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</si>
  <si>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</si>
  <si>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</si>
  <si>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</si>
  <si>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Enter "1" for each item</t>
  </si>
  <si>
    <t>LIHTC (auto-filled based on later entries)</t>
  </si>
  <si>
    <t>HUD Mortgage Insurance Premium</t>
  </si>
  <si>
    <t>II. HUD Mortgage Insurance Premium / Debt Service</t>
  </si>
  <si>
    <t xml:space="preserve">     Percent of Effective Gross Income</t>
  </si>
  <si>
    <t>Ext.</t>
  </si>
  <si>
    <t>Climax City</t>
  </si>
  <si>
    <t>Cobbtown City</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</si>
  <si>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</si>
  <si>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</si>
  <si>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</si>
  <si>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</si>
  <si>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</si>
  <si>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</si>
  <si>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</si>
  <si>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</si>
  <si>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Culloden City</t>
  </si>
  <si>
    <t>Cumming City</t>
  </si>
  <si>
    <t>Cuthbert City</t>
  </si>
  <si>
    <t>Dacula City</t>
  </si>
  <si>
    <t>Crawford City</t>
  </si>
  <si>
    <t>Crawfordville City</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</si>
  <si>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</si>
  <si>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</si>
  <si>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</si>
  <si>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</si>
  <si>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</si>
  <si>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</si>
  <si>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</si>
  <si>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</si>
  <si>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</si>
  <si>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</si>
  <si>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</si>
  <si>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</si>
  <si>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Housing Authority of the City of Buford, Georgia</t>
  </si>
  <si>
    <t>Mansfield City</t>
  </si>
  <si>
    <t>Marietta City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</si>
  <si>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</si>
  <si>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</si>
  <si>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</si>
  <si>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</si>
  <si>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</si>
  <si>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</si>
  <si>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</si>
  <si>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</si>
  <si>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</si>
  <si>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</si>
  <si>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</si>
  <si>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</si>
  <si>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</si>
  <si>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</si>
  <si>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</si>
  <si>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</si>
  <si>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</si>
  <si>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</si>
  <si>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</si>
  <si>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</si>
  <si>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</si>
  <si>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</si>
  <si>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</si>
  <si>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</si>
  <si>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</si>
  <si>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</si>
  <si>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</si>
  <si>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</si>
  <si>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</si>
  <si>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</si>
  <si>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</si>
  <si>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</si>
  <si>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</si>
  <si>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</si>
  <si>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</si>
  <si>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</si>
  <si>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</si>
  <si>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</si>
  <si>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</si>
  <si>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</si>
  <si>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</si>
  <si>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</si>
  <si>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</si>
  <si>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</si>
  <si>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</si>
  <si>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</si>
  <si>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</si>
  <si>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</si>
  <si>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</si>
  <si>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</si>
  <si>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Harrison Town</t>
  </si>
  <si>
    <t>Hartwell City</t>
  </si>
  <si>
    <t>Hawkinsville City</t>
  </si>
  <si>
    <t>Hazlehurst City</t>
  </si>
  <si>
    <t>Helen City</t>
  </si>
  <si>
    <t>Atlanta City</t>
  </si>
  <si>
    <t>Attapulgus City</t>
  </si>
  <si>
    <t>Auburn City</t>
  </si>
  <si>
    <t>Austell City</t>
  </si>
  <si>
    <t>Avalon Town</t>
  </si>
  <si>
    <t>Avera City</t>
  </si>
  <si>
    <t>Avondale Estates City</t>
  </si>
  <si>
    <t>Baconton City</t>
  </si>
  <si>
    <t>Bainbridge City</t>
  </si>
  <si>
    <t>Bellville City</t>
  </si>
  <si>
    <t>Berkeley Lake City</t>
  </si>
  <si>
    <t>Berlin City</t>
  </si>
  <si>
    <t>Bethlehem Town</t>
  </si>
  <si>
    <t>Between Town</t>
  </si>
  <si>
    <t>Bishop Town</t>
  </si>
  <si>
    <t>Blackshear City</t>
  </si>
  <si>
    <t>Blairsville City</t>
  </si>
  <si>
    <t>Blakely City</t>
  </si>
  <si>
    <t>MBE / WBE Outreach Plan Guide form</t>
  </si>
  <si>
    <t>White Plains</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</si>
  <si>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</si>
  <si>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</si>
  <si>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</si>
  <si>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</si>
  <si>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</si>
  <si>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</si>
  <si>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</si>
  <si>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</si>
  <si>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</si>
  <si>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</si>
  <si>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</si>
  <si>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</si>
  <si>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</si>
  <si>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</si>
  <si>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</si>
  <si>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</si>
  <si>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</si>
  <si>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</si>
  <si>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</si>
  <si>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</si>
  <si>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Warner Robins</t>
  </si>
  <si>
    <t>Warrenton</t>
  </si>
  <si>
    <t>Candler County, GA</t>
  </si>
  <si>
    <t>Housing Authority City of Sylvester, GA</t>
  </si>
  <si>
    <t>North High Shoals</t>
  </si>
  <si>
    <t>&lt;&lt;Select Fuel &gt;&gt;</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</si>
  <si>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</si>
  <si>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</si>
  <si>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</si>
  <si>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</si>
  <si>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</si>
  <si>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</si>
  <si>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</si>
  <si>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Banks County, GA</t>
  </si>
  <si>
    <t>Qualifications for Project Team (Performance)</t>
  </si>
  <si>
    <t>Office Phone</t>
  </si>
  <si>
    <t>Direct Line</t>
  </si>
  <si>
    <t>DCA Waiver Fees</t>
  </si>
  <si>
    <t>Dublin-Laurens County Development Authority</t>
  </si>
  <si>
    <t>Helen</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</si>
  <si>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</si>
  <si>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</si>
  <si>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</si>
  <si>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</si>
  <si>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</si>
  <si>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</si>
  <si>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</si>
  <si>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</si>
  <si>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</si>
  <si>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</si>
  <si>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</si>
  <si>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</si>
  <si>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</si>
  <si>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</si>
  <si>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</si>
  <si>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</si>
  <si>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</si>
  <si>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</si>
  <si>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</si>
  <si>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</si>
  <si>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</si>
  <si>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</si>
  <si>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r>
      <t xml:space="preserve">Total Development Cost </t>
    </r>
    <r>
      <rPr>
        <sz val="8"/>
        <color indexed="10"/>
        <rFont val="Arial Narrow"/>
        <family val="2"/>
      </rPr>
      <t>(TDC or PUCL; explain in Comments if TDC &gt; PUCL)</t>
    </r>
  </si>
  <si>
    <t>Rochelle Housing Authority</t>
  </si>
  <si>
    <t>Rutledge</t>
  </si>
  <si>
    <t>Rockmart Development Authority</t>
  </si>
  <si>
    <t>Rome-Floyd County Development Authority</t>
  </si>
  <si>
    <t>Sale City</t>
  </si>
  <si>
    <t>Sandersville Downtown Development Authority</t>
  </si>
  <si>
    <t>Hist Desig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</si>
  <si>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</si>
  <si>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</si>
  <si>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</si>
  <si>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</si>
  <si>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</si>
  <si>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Housing Authority of City of Carrollton</t>
  </si>
  <si>
    <t>Jesup</t>
  </si>
  <si>
    <t>(per annum)</t>
  </si>
  <si>
    <t>Terrell</t>
  </si>
  <si>
    <t>Thomas</t>
  </si>
  <si>
    <t>Thomas Co.</t>
  </si>
  <si>
    <t>Tift</t>
  </si>
  <si>
    <t>Mths of Year 1 O&amp;M Expense (out of 12)</t>
  </si>
  <si>
    <t>Final Inspection Fee</t>
  </si>
  <si>
    <t>For DCA determination:</t>
  </si>
  <si>
    <t>Names of Projects in which the Owner, Developer and Consultant(s) and each of its principals is partnering with an inexperienced unrelated entity for purposes of meeting DCA Experience Requirements:</t>
  </si>
  <si>
    <t>Americus</t>
  </si>
  <si>
    <t>V&amp;C Loss Rate (Non-PBRA/USDA)</t>
  </si>
  <si>
    <t>V&amp;C Loss Rate (PBRA/USDA)</t>
  </si>
  <si>
    <t>Port Wentworth Downtown Development Authority</t>
  </si>
  <si>
    <t>Roopville</t>
  </si>
  <si>
    <t>&lt;&lt;Select&gt;&gt;</t>
  </si>
  <si>
    <t>If Other, specify:</t>
  </si>
  <si>
    <t>City of Cairo Development Authority</t>
  </si>
  <si>
    <t>Bethlehem</t>
  </si>
  <si>
    <t>Schley County, GA</t>
  </si>
  <si>
    <t>Screven County, GA</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</si>
  <si>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</si>
  <si>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</si>
  <si>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</si>
  <si>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</si>
  <si>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</si>
  <si>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</si>
  <si>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</si>
  <si>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</si>
  <si>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</si>
  <si>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</si>
  <si>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</si>
  <si>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Ila City</t>
  </si>
  <si>
    <t>Irwinton City</t>
  </si>
  <si>
    <t>Ivey City</t>
  </si>
  <si>
    <t>Jackson City</t>
  </si>
  <si>
    <t>Jacksonville City</t>
  </si>
  <si>
    <t>Jakin City</t>
  </si>
  <si>
    <t>Jasper City</t>
  </si>
  <si>
    <t>Jefferson City</t>
  </si>
  <si>
    <t>Jeffersonville City</t>
  </si>
  <si>
    <t>Jenkinsburg Town</t>
  </si>
  <si>
    <t>Jersey City</t>
  </si>
  <si>
    <t>Baxley City</t>
  </si>
  <si>
    <t>Operating Utility Allowance (UA)</t>
  </si>
  <si>
    <t>Downtown Development Authority of Hinesville, Georgia</t>
  </si>
  <si>
    <t>Downtown Development Authority of Woodstock</t>
  </si>
  <si>
    <t>Downtown Development Authority, City of Forest Park</t>
  </si>
  <si>
    <t>Bloomingdale City</t>
  </si>
  <si>
    <t>Jesup City</t>
  </si>
  <si>
    <t>Johns Creek City</t>
  </si>
  <si>
    <t>Jonesboro City</t>
  </si>
  <si>
    <t>Chattanooga, TN-GA MSA</t>
  </si>
  <si>
    <t>Kennesaw City</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</si>
  <si>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</si>
  <si>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</si>
  <si>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</si>
  <si>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</si>
  <si>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</si>
  <si>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</si>
  <si>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</si>
  <si>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</si>
  <si>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</si>
  <si>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</si>
  <si>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</si>
  <si>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</si>
  <si>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Kennesaw Development Authority</t>
  </si>
  <si>
    <t>Preston</t>
  </si>
  <si>
    <t>Union City</t>
  </si>
  <si>
    <t>Union Point</t>
  </si>
  <si>
    <t>Uvalda</t>
  </si>
  <si>
    <t>Valdosta</t>
  </si>
  <si>
    <t>Varnell</t>
  </si>
  <si>
    <t>Vernonburg</t>
  </si>
  <si>
    <t>Vidalia</t>
  </si>
  <si>
    <t>Vidette</t>
  </si>
  <si>
    <t>Walnut Grove</t>
  </si>
  <si>
    <t>Walthourville</t>
  </si>
  <si>
    <t>Warm Springs</t>
  </si>
  <si>
    <t>HUD Section 236 decoupling documents</t>
  </si>
  <si>
    <t>HUD/USDA Letter of Priority</t>
  </si>
  <si>
    <t>DCA Use Only - Project Nbr:</t>
  </si>
  <si>
    <t>Original GHFA/DCA Project Number</t>
  </si>
  <si>
    <t>Subsequent Allocation</t>
  </si>
  <si>
    <t>Site Relocation Survey</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</si>
  <si>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</si>
  <si>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</si>
  <si>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</si>
  <si>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</si>
  <si>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</si>
  <si>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</si>
  <si>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</si>
  <si>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</si>
  <si>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Large open playing fields (of at least 5,000 square feet) (Family projects only)</t>
  </si>
  <si>
    <t>Number of 60% Units</t>
  </si>
  <si>
    <t>PHA Units</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</si>
  <si>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</si>
  <si>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</si>
  <si>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</si>
  <si>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</si>
  <si>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</si>
  <si>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</si>
  <si>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</si>
  <si>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</si>
  <si>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</si>
  <si>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</si>
  <si>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</si>
  <si>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</si>
  <si>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</si>
  <si>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</si>
  <si>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</si>
  <si>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</si>
  <si>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</si>
  <si>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</si>
  <si>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</si>
  <si>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</si>
  <si>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</si>
  <si>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</si>
  <si>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Are replacement reserves based on a Physical Needs Assessment or the minimum?</t>
  </si>
  <si>
    <t>Is a copy of the State CHDO pre-qualification/renewal letter included in the Application?</t>
  </si>
  <si>
    <t>Hawkinsville</t>
  </si>
  <si>
    <t>Downtown Development Authority of the City of Richland, Georgia</t>
  </si>
  <si>
    <t>If Historic Designation or Brownfield Development involved, indicate below:</t>
  </si>
  <si>
    <t>Foundtn / Charitble Org</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</si>
  <si>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</si>
  <si>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</si>
  <si>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</si>
  <si>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</si>
  <si>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</si>
  <si>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</si>
  <si>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</si>
  <si>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</si>
  <si>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</si>
  <si>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LEVERAGING OF RESOURCES</t>
  </si>
  <si>
    <t>Grants/Loans</t>
  </si>
  <si>
    <t>Efficient use of DCA Resources</t>
  </si>
  <si>
    <t>Is there a Tenant Ownership Plan?</t>
  </si>
  <si>
    <t>Cedartown</t>
  </si>
  <si>
    <t>(Effective Interest Assistance Rate in USDA Handbook)</t>
  </si>
  <si>
    <t>Mths of Year 1 Debt Service (out of 12)</t>
  </si>
  <si>
    <t>Per Project</t>
  </si>
  <si>
    <t>Proforma Operating Forecast</t>
  </si>
  <si>
    <t>Revenue Growth Rate</t>
  </si>
  <si>
    <t>Per Operation Year</t>
  </si>
  <si>
    <t>What is the cash flow to operating expense ratio?</t>
  </si>
  <si>
    <t>DCA OAH HOME Loan Consent</t>
  </si>
  <si>
    <t>No Identity of Interest</t>
  </si>
  <si>
    <t>Operating Deficit Reserve</t>
  </si>
  <si>
    <t>HOME projects - Fixed or Floating units:</t>
  </si>
  <si>
    <t>Turner</t>
  </si>
  <si>
    <t>Union</t>
  </si>
  <si>
    <t>Union Co.</t>
  </si>
  <si>
    <t>Downtown Athens Development Authority</t>
  </si>
  <si>
    <t>Downtown Camilla Development Authority</t>
  </si>
  <si>
    <t>Douglasville</t>
  </si>
  <si>
    <t>Downtown Dalton Development Authority</t>
  </si>
  <si>
    <t>Downtown Development Authority for the City of Garden City</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</si>
  <si>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</si>
  <si>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Site Information and Conceptual Site Development Plan</t>
  </si>
  <si>
    <t>Energy Standards</t>
  </si>
  <si>
    <t>Total Basis</t>
  </si>
  <si>
    <t>% Existing Occupied</t>
  </si>
  <si>
    <t>IV.</t>
  </si>
  <si>
    <t>Total Units</t>
  </si>
  <si>
    <t>V.</t>
  </si>
  <si>
    <t>% of Total Residential Units</t>
  </si>
  <si>
    <t>Local PHA</t>
  </si>
  <si>
    <t>Contact</t>
  </si>
  <si>
    <t>Email</t>
  </si>
  <si>
    <t>Area Code / Phone</t>
  </si>
  <si>
    <t>Fax</t>
  </si>
  <si>
    <t>Direct line</t>
  </si>
  <si>
    <t>Tax Exempt Bonds</t>
  </si>
  <si>
    <t>Taxable Bonds</t>
  </si>
  <si>
    <t>LIHTC Legal Opinion as to Project Qualification for Acquisition Credits</t>
  </si>
  <si>
    <t>Downtown LaGrange Development Authority</t>
  </si>
  <si>
    <t>Harlem</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</si>
  <si>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</si>
  <si>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</si>
  <si>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</si>
  <si>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</si>
  <si>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</si>
  <si>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</si>
  <si>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</si>
  <si>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</si>
  <si>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</si>
  <si>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</si>
  <si>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</si>
  <si>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Pineview</t>
  </si>
  <si>
    <t>DESIRABLE AND UNDESIRABLE CHARACTERISTICS</t>
  </si>
  <si>
    <t>Kennesaw Downtown Development Authority</t>
  </si>
  <si>
    <t>Vienna</t>
  </si>
  <si>
    <t>Villa Rica</t>
  </si>
  <si>
    <t>Waco</t>
  </si>
  <si>
    <t>Wadley</t>
  </si>
  <si>
    <t>Waleska</t>
  </si>
  <si>
    <t>Project Based Section 8 contract (Original and Renewal)</t>
  </si>
  <si>
    <t>Financing Type</t>
  </si>
  <si>
    <t>Joint Development Authority of Burke County and City of Waynesboro</t>
  </si>
  <si>
    <t>West Georgia Joint Development Authority</t>
  </si>
  <si>
    <t>Number of sites under construction</t>
  </si>
  <si>
    <t>Desirable Activities</t>
  </si>
  <si>
    <t>Kingsland Development Authority</t>
  </si>
  <si>
    <t xml:space="preserve">Undesirable Sites         </t>
  </si>
  <si>
    <t>(1 pt each)</t>
  </si>
  <si>
    <t>Putnam County, GA</t>
  </si>
  <si>
    <t>Griffin-Spalding County Development Authority</t>
  </si>
  <si>
    <t>Is the Project Currently Occupied?</t>
  </si>
  <si>
    <t>Cellular</t>
  </si>
  <si>
    <t>Title</t>
  </si>
  <si>
    <t>Address</t>
  </si>
  <si>
    <t>Phone</t>
  </si>
  <si>
    <t>A.</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</si>
  <si>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</si>
  <si>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</si>
  <si>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</si>
  <si>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</si>
  <si>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Housing Authority of the City of Swainsboro</t>
  </si>
  <si>
    <t>Norwood</t>
  </si>
  <si>
    <t>Housing Authority of the City of Sylvania</t>
  </si>
  <si>
    <t>Nunez</t>
  </si>
  <si>
    <t>Housing Authority of the City of Tallapoosa, Georgia</t>
  </si>
  <si>
    <t>Housing Authority of the City of Thomaston</t>
  </si>
  <si>
    <t>Oak Park</t>
  </si>
  <si>
    <t>Elberton Downtown Development Authority d/b/a MainStreet Elberton</t>
  </si>
  <si>
    <t>Hephzibah</t>
  </si>
  <si>
    <t>Upson</t>
  </si>
  <si>
    <t>Upson Co.</t>
  </si>
  <si>
    <t>Housing Authority of the City of Thomasville, Georgia</t>
  </si>
  <si>
    <t>Oakwood</t>
  </si>
  <si>
    <t>Development Authority of Crawford County</t>
  </si>
  <si>
    <t>Carrollton</t>
  </si>
  <si>
    <t>Ochlocknee</t>
  </si>
  <si>
    <t>Housing Authority of the City of Tifton, Georgia</t>
  </si>
  <si>
    <t>Ocilla</t>
  </si>
  <si>
    <t>Housing Authority of the City of Toccoa, Ga.</t>
  </si>
  <si>
    <t>Housing Authority of the City of Vidalia</t>
  </si>
  <si>
    <t>Development Authority of Coweta County</t>
  </si>
  <si>
    <t>Carnesville</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</si>
  <si>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</si>
  <si>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</si>
  <si>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</si>
  <si>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</si>
  <si>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</si>
  <si>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</si>
  <si>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Is the PBRA contract for at least 10 years?</t>
  </si>
  <si>
    <t>10.)</t>
  </si>
  <si>
    <t>11.)</t>
  </si>
  <si>
    <t>12.)</t>
  </si>
  <si>
    <t>13.)</t>
  </si>
  <si>
    <t>14.)</t>
  </si>
  <si>
    <t>Please provide the basis for projected expenses:</t>
  </si>
  <si>
    <t>Tift Co.</t>
  </si>
  <si>
    <t>Toombs</t>
  </si>
  <si>
    <t>DCA COMMENTS</t>
  </si>
  <si>
    <t>Towns Co.</t>
  </si>
  <si>
    <t>Treutlen</t>
  </si>
  <si>
    <t>Treutlen Co.</t>
  </si>
  <si>
    <t>Troup</t>
  </si>
  <si>
    <t>Troup Co.</t>
  </si>
  <si>
    <t>Turner Co.</t>
  </si>
  <si>
    <t>Twiggs</t>
  </si>
  <si>
    <t>Note: Additional Forms  and Documentation required for the 2011 Application Submittal may be obtained on the DCA website at http://www.dca.state.ga.us/housing/HousingDevelopment/programs/QAP2011docs.asp</t>
  </si>
  <si>
    <t>Builder Profit</t>
  </si>
  <si>
    <t>DuPont</t>
  </si>
  <si>
    <t>Downtown Development Authority for the City of Hahira, Georgia</t>
  </si>
  <si>
    <t>Dublin</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</si>
  <si>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</si>
  <si>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</si>
  <si>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</si>
  <si>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</si>
  <si>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</si>
  <si>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</si>
  <si>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</si>
  <si>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</si>
  <si>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Check all that are available to the site and enter provider name:</t>
  </si>
  <si>
    <t>Owner</t>
  </si>
  <si>
    <t>Refuse Collection</t>
  </si>
  <si>
    <t>Heat</t>
  </si>
  <si>
    <t>Street Address</t>
  </si>
  <si>
    <t>State</t>
  </si>
  <si>
    <t>Please increase or decrease row size as needed.</t>
  </si>
  <si>
    <t>OR Dollar amount</t>
  </si>
  <si>
    <t>Vidalia Development Authority</t>
  </si>
  <si>
    <t>Are 100% of units HUD PBRA?</t>
  </si>
  <si>
    <t>Fargo</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</si>
  <si>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</si>
  <si>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</si>
  <si>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</si>
  <si>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</si>
  <si>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</si>
  <si>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</si>
  <si>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</si>
  <si>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</si>
  <si>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</si>
  <si>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</si>
  <si>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</si>
  <si>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</si>
  <si>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</si>
  <si>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</si>
  <si>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</si>
  <si>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</si>
  <si>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</si>
  <si>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</si>
  <si>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</si>
  <si>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</si>
  <si>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Tallulah Falls</t>
  </si>
  <si>
    <t>West Central Georgia Joint Development Authority</t>
  </si>
  <si>
    <t>Talmo</t>
  </si>
  <si>
    <t>Murray County, GA HUD Metro FMR Area</t>
  </si>
  <si>
    <t>Peach County, GA</t>
  </si>
  <si>
    <t>Tarrytown</t>
  </si>
  <si>
    <t>Irwinton</t>
  </si>
  <si>
    <t>Greene County Development Authority</t>
  </si>
  <si>
    <t>Ivey</t>
  </si>
  <si>
    <t>Bonus Desirable Sites</t>
  </si>
  <si>
    <t>Polk County, GA</t>
  </si>
  <si>
    <t>Pulaski County, GA</t>
  </si>
  <si>
    <t>Qualifications for Project Participants (Performance)</t>
  </si>
  <si>
    <t>Marketing to Populations with Disabilities or the Homeless</t>
  </si>
  <si>
    <t>Downtown Development Authority for the City of Savannah</t>
  </si>
  <si>
    <t>Dudley</t>
  </si>
  <si>
    <t>E-mail</t>
  </si>
  <si>
    <t>10-Digit Office Phone / Ext.</t>
  </si>
  <si>
    <t>B.</t>
  </si>
  <si>
    <t>1.</t>
  </si>
  <si>
    <t>GENERAL PARTNER(S)</t>
  </si>
  <si>
    <t>2.</t>
  </si>
  <si>
    <t>Name of Principal</t>
  </si>
  <si>
    <t>Amount</t>
  </si>
  <si>
    <t>Tattnall County Development Authority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</si>
  <si>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</si>
  <si>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</si>
  <si>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</si>
  <si>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</si>
  <si>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</si>
  <si>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</si>
  <si>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</si>
  <si>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</si>
  <si>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</si>
  <si>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</si>
  <si>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</si>
  <si>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Pierce County, GA</t>
  </si>
  <si>
    <t>Housing Authority of the City of Thomson, Georgia</t>
  </si>
  <si>
    <t>Development Authority of Emanuel County and the City of Swainsboro</t>
  </si>
  <si>
    <t>Chatsworth</t>
  </si>
  <si>
    <t>Walker</t>
  </si>
  <si>
    <t>Walton</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</si>
  <si>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</si>
  <si>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</si>
  <si>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</si>
  <si>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</si>
  <si>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</si>
  <si>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</si>
  <si>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</si>
  <si>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</si>
  <si>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</si>
  <si>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</si>
  <si>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</si>
  <si>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</si>
  <si>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</si>
  <si>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</si>
  <si>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</si>
  <si>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</si>
  <si>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</si>
  <si>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</si>
  <si>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</si>
  <si>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</si>
  <si>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</si>
  <si>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</si>
  <si>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</si>
  <si>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</si>
  <si>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Development Authority of Fairburn</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</si>
  <si>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</si>
  <si>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</si>
  <si>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</si>
  <si>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</si>
  <si>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</si>
  <si>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</si>
  <si>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</si>
  <si>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</si>
  <si>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</si>
  <si>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</si>
  <si>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</si>
  <si>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</si>
  <si>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</si>
  <si>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</si>
  <si>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</si>
  <si>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</si>
  <si>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</si>
  <si>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</si>
  <si>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</si>
  <si>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</si>
  <si>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Downtown Development Authority of Cordele</t>
  </si>
  <si>
    <t>Emerson</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</si>
  <si>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</si>
  <si>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</si>
  <si>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</si>
  <si>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</si>
  <si>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</si>
  <si>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</si>
  <si>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</si>
  <si>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</si>
  <si>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</si>
  <si>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</si>
  <si>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</si>
  <si>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</si>
  <si>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</si>
  <si>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</si>
  <si>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</si>
  <si>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Shellman</t>
  </si>
  <si>
    <t>Housing Authority of Screven County</t>
  </si>
  <si>
    <t>Ware</t>
  </si>
  <si>
    <t>Downtown Development Authority of Cuthbert, Georgia</t>
  </si>
  <si>
    <t>Enigma</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</si>
  <si>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</si>
  <si>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</si>
  <si>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</si>
  <si>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</si>
  <si>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</si>
  <si>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</si>
  <si>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</si>
  <si>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</si>
  <si>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</si>
  <si>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</si>
  <si>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</si>
  <si>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 xml:space="preserve">15.) </t>
  </si>
  <si>
    <t>16.)</t>
  </si>
  <si>
    <t>17.)</t>
  </si>
  <si>
    <t>18.)</t>
  </si>
  <si>
    <t>19.)</t>
  </si>
  <si>
    <t>20.)</t>
  </si>
  <si>
    <t>Toombs Co.</t>
  </si>
  <si>
    <t>Towns</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</si>
  <si>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</si>
  <si>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</si>
  <si>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</si>
  <si>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</si>
  <si>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</si>
  <si>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</si>
  <si>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</si>
  <si>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</si>
  <si>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</si>
  <si>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</si>
  <si>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</si>
  <si>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</si>
  <si>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</si>
  <si>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</si>
  <si>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</si>
  <si>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</si>
  <si>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</si>
  <si>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</si>
  <si>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</si>
  <si>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</si>
  <si>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Community area (select either community room or community building):</t>
  </si>
  <si>
    <t>Downtown Development Authority of Douglas</t>
  </si>
  <si>
    <t>Ephesus</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</si>
  <si>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</si>
  <si>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</si>
  <si>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</si>
  <si>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</si>
  <si>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</si>
  <si>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</si>
  <si>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</si>
  <si>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</si>
  <si>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</si>
  <si>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</si>
  <si>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</si>
  <si>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</si>
  <si>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</si>
  <si>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</si>
  <si>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</si>
  <si>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</si>
  <si>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</si>
  <si>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Ideal Downtown Development Authority</t>
  </si>
  <si>
    <t>Woodbine Downtown Development Authority</t>
  </si>
  <si>
    <t>Tennille</t>
  </si>
  <si>
    <t>Thomaston</t>
  </si>
  <si>
    <t>Thomasville</t>
  </si>
  <si>
    <t>Development of YMCA center</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</si>
  <si>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</si>
  <si>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</si>
  <si>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Housing Authority of the City of Mt. Vernon</t>
  </si>
  <si>
    <t>Winder Downtown Development Authority</t>
  </si>
  <si>
    <t>Temple</t>
  </si>
  <si>
    <t>Effective</t>
  </si>
  <si>
    <t>Special Needs</t>
  </si>
  <si>
    <t>Supplemental</t>
  </si>
  <si>
    <t>The Housing Authority of the City of Dallas, Georgia</t>
  </si>
  <si>
    <t>The Housing Authority of the City of Newnan</t>
  </si>
  <si>
    <t>Statesboro</t>
  </si>
  <si>
    <t>Wellness Center</t>
  </si>
  <si>
    <t>Beauty Parlor</t>
  </si>
  <si>
    <t>Equipped Playground</t>
  </si>
  <si>
    <t>Legal Opinion for Assisted Living (as applicable)</t>
  </si>
  <si>
    <t>Construction of sidewalks adjacent to the property</t>
  </si>
  <si>
    <t>Construction of streetscape adjacent to the property</t>
  </si>
  <si>
    <t>Development of parks on a master plan development site</t>
  </si>
  <si>
    <t>per annum</t>
  </si>
  <si>
    <t>Other - describe here</t>
  </si>
  <si>
    <t>Enterprise Foundation's Green Communities standard of construction and certification</t>
  </si>
  <si>
    <t>Location and Vicinity Map (all parcels for a scattered site must be indicated)</t>
  </si>
  <si>
    <t>Within City Limits?</t>
  </si>
  <si>
    <t>Scattered Site?</t>
  </si>
  <si>
    <t>Joint Development Authority of Brooks, Colquitt, Grady, Mitchell, and Thomas Counties</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</si>
  <si>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</si>
  <si>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</si>
  <si>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</si>
  <si>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</si>
  <si>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</si>
  <si>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</si>
  <si>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</si>
  <si>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</si>
  <si>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</si>
  <si>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Development Authority of Effingham County</t>
  </si>
  <si>
    <t>Centerville</t>
  </si>
  <si>
    <t>Avera</t>
  </si>
  <si>
    <t>Housing Authority of the City of Louisville</t>
  </si>
  <si>
    <t>Molena</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</si>
  <si>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</si>
  <si>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</si>
  <si>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</si>
  <si>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</si>
  <si>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</si>
  <si>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</si>
  <si>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</si>
  <si>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</si>
  <si>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</si>
  <si>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</si>
  <si>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</si>
  <si>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Development Authority of Emanuel County</t>
  </si>
  <si>
    <t>Chamblee</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</si>
  <si>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</si>
  <si>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</si>
  <si>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</si>
  <si>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</si>
  <si>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</si>
  <si>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</si>
  <si>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</si>
  <si>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</si>
  <si>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</si>
  <si>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Urban Redevelopment Agency of the City of Kennesaw, Georgia</t>
  </si>
  <si>
    <t>Suwanee</t>
  </si>
  <si>
    <t>1 BR 50% Units</t>
  </si>
  <si>
    <t>2 BR 50% Units</t>
  </si>
  <si>
    <t>3 BR 50% Units</t>
  </si>
  <si>
    <t>2 BR 30% Units</t>
  </si>
  <si>
    <t>Development of youth center</t>
  </si>
  <si>
    <t>Development of senior center</t>
  </si>
  <si>
    <t>3 BR Mkt Units</t>
  </si>
  <si>
    <t>City of Barnesville and County of Lamar Development Authority</t>
  </si>
  <si>
    <t>Bowersville</t>
  </si>
  <si>
    <t>Executed Warranty Deed, Sales Option Contract or long-term ground lease</t>
  </si>
  <si>
    <t>Installed call system in all units, including a buzzer and light to the exterior (basic amenity for senior projects)</t>
  </si>
  <si>
    <t>Management Salaries &amp; Benefits</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</si>
  <si>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</si>
  <si>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</si>
  <si>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</si>
  <si>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</si>
  <si>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</si>
  <si>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</si>
  <si>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</si>
  <si>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</si>
  <si>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</si>
  <si>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</si>
  <si>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</si>
  <si>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</si>
  <si>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</si>
  <si>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</si>
  <si>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</si>
  <si>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</si>
  <si>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Multifamily Tenant Relocation Plan Certification</t>
  </si>
  <si>
    <t>Less Total Subtractions From Basis (see above)</t>
  </si>
  <si>
    <t>The following sections apply to all direct and indirect Owners, Developers and Consultants (Entity and Principal) :</t>
  </si>
  <si>
    <t>Development Authority of the City of Oakwood</t>
  </si>
  <si>
    <t>Dawsonville</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</si>
  <si>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</si>
  <si>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</si>
  <si>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</si>
  <si>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</si>
  <si>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</si>
  <si>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</si>
  <si>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</si>
  <si>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</si>
  <si>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Website address where information regarding the plan can be located</t>
  </si>
  <si>
    <t>Pinehurst</t>
  </si>
  <si>
    <t>Housing Authority of the City of Wrightsville</t>
  </si>
  <si>
    <t>Adjusted Eligible Basis</t>
  </si>
  <si>
    <t>Development Authority of Morgan County</t>
  </si>
  <si>
    <t>Coolidge</t>
  </si>
  <si>
    <t>Plans and costs for paving private drive, if applicable</t>
  </si>
  <si>
    <t>Project Participant</t>
  </si>
  <si>
    <t>Construction:</t>
  </si>
  <si>
    <t>Low Income</t>
  </si>
  <si>
    <t>Acq/Rehab</t>
  </si>
  <si>
    <t>Letter of availability and capacity from local Natural Gas provider</t>
  </si>
  <si>
    <t>Stephens</t>
  </si>
  <si>
    <t>Stephens Co.</t>
  </si>
  <si>
    <t>Sylvania</t>
  </si>
  <si>
    <t>Valley Partnership Joint Development Authority</t>
  </si>
  <si>
    <t>Sylvester</t>
  </si>
  <si>
    <t>Lincoln County Development Authority</t>
  </si>
  <si>
    <t>Remerton</t>
  </si>
  <si>
    <t>Development Authority of Palmetto</t>
  </si>
  <si>
    <t>Cordele</t>
  </si>
  <si>
    <t>Development Authority of Elbert County, Elberton and Bowman</t>
  </si>
  <si>
    <t>Centralhatchee</t>
  </si>
  <si>
    <t>Nbr of Units Reserved and Rented to PHA Tenants w/ PBRA or Households on Waiting List:</t>
  </si>
  <si>
    <t>Schley Co.</t>
  </si>
  <si>
    <t>Screven</t>
  </si>
  <si>
    <t>Screven Co.</t>
  </si>
  <si>
    <t>Seminole</t>
  </si>
  <si>
    <t>Seminole Co.</t>
  </si>
  <si>
    <t>Spalding</t>
  </si>
  <si>
    <t>Housing Authority of the City of Roberta, GA.</t>
  </si>
  <si>
    <t>Unit Breakdown</t>
  </si>
  <si>
    <t>Number of Low Income Units</t>
  </si>
  <si>
    <t>Site Maps &amp; Photographs (photos must be color in all copies)</t>
  </si>
  <si>
    <t>ACQUISITION</t>
  </si>
  <si>
    <t>Land</t>
  </si>
  <si>
    <t>Housing Authority of the City of Ashburn</t>
  </si>
  <si>
    <t>Housing Authority of the City of Athens, Georgia</t>
  </si>
  <si>
    <t>Chauncey</t>
  </si>
  <si>
    <t>Development Authority of Floyd County</t>
  </si>
  <si>
    <t>Chester</t>
  </si>
  <si>
    <t>Auburn</t>
  </si>
  <si>
    <t>Canton Development Authority</t>
  </si>
  <si>
    <t>Carrollton Redevelopment Authority</t>
  </si>
  <si>
    <t>Austell</t>
  </si>
  <si>
    <t>Cartersville Development Authority</t>
  </si>
  <si>
    <t xml:space="preserve">1) Are any of the sources other than DCA HOME considered to be Federal Funding? </t>
  </si>
  <si>
    <t>2)  Will any funding source used trigger the Uniform Relocation Act or HUD 104 (d) requirements?</t>
  </si>
  <si>
    <t xml:space="preserve">1) Number of Over Income Tenants </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</si>
  <si>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</si>
  <si>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</si>
  <si>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</si>
  <si>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</si>
  <si>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</si>
  <si>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</si>
  <si>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</si>
  <si>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</si>
  <si>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</si>
  <si>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</si>
  <si>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b.</t>
  </si>
  <si>
    <t>Site entry w/ permanent, illuminated entry sign and decorative fence</t>
  </si>
  <si>
    <t>Total Permanent Financing:</t>
  </si>
  <si>
    <t>Total Development Costs from Development Budget:</t>
  </si>
  <si>
    <t>Self</t>
  </si>
  <si>
    <t>Score</t>
  </si>
  <si>
    <t>Occupancy History</t>
  </si>
  <si>
    <t>Site Map of Property</t>
  </si>
  <si>
    <t>4 BR 50% Units</t>
  </si>
  <si>
    <t>1 BR 30% Units</t>
  </si>
  <si>
    <t>Moultrie</t>
  </si>
  <si>
    <t>Housing Authority of the Town of Homer, Ga.</t>
  </si>
  <si>
    <t>Pelham</t>
  </si>
  <si>
    <t>Houston County Development Authority</t>
  </si>
  <si>
    <t>Pembroke</t>
  </si>
  <si>
    <t>Glennville Downtown Development Authority</t>
  </si>
  <si>
    <t>3 BR 30% Units</t>
  </si>
  <si>
    <t>4 BR 30% Units</t>
  </si>
  <si>
    <t>1 BR Mkt Units</t>
  </si>
  <si>
    <t>2 BR Mkt Units</t>
  </si>
  <si>
    <t>NP Sponsor</t>
  </si>
  <si>
    <t>Co-Develpr 1</t>
  </si>
  <si>
    <t>Co-Develpr 2</t>
  </si>
  <si>
    <t>Ownr Consult</t>
  </si>
  <si>
    <t>Dev Consult</t>
  </si>
  <si>
    <t>Mgt Co</t>
  </si>
  <si>
    <t>Verification of Annexation and Improvements (if applicable)</t>
  </si>
  <si>
    <t>Gainesville Redevelopment Authority</t>
  </si>
  <si>
    <t>Georgia Bioscience Joint Development Authority</t>
  </si>
  <si>
    <t>Hoschton</t>
  </si>
  <si>
    <t>Housing Authority of the City of Griffin</t>
  </si>
  <si>
    <t>Meansville</t>
  </si>
  <si>
    <t>Will foreclosures in the proposed market area detrimentally affect the ability of the proposed project to lease up?</t>
  </si>
  <si>
    <t>Total Eligible Basis</t>
  </si>
  <si>
    <t>City of Willacoochee Development Authority</t>
  </si>
  <si>
    <t>Clay County Development Authority</t>
  </si>
  <si>
    <t>Boston</t>
  </si>
  <si>
    <t>Long County Housing Authority</t>
  </si>
  <si>
    <t>Rentz</t>
  </si>
  <si>
    <t>Lyons Downtown Development Authority</t>
  </si>
  <si>
    <t>Resaca</t>
  </si>
  <si>
    <t>Macon-Bibb County Urban Development Authority</t>
  </si>
  <si>
    <t>Amount of nonqualified nonrecourse financing</t>
  </si>
  <si>
    <t xml:space="preserve">Waiver of Qualified Contract Right </t>
  </si>
  <si>
    <t>Tenant Ownership</t>
  </si>
  <si>
    <t>Surplus / (Shortage) of Construction funds to Construction costs:</t>
  </si>
  <si>
    <t>&lt;&lt; Select &gt;&gt;</t>
  </si>
  <si>
    <t>City of Clayton Downtown Development Authority</t>
  </si>
  <si>
    <t>Development Authority of Fulton County</t>
  </si>
  <si>
    <t>Development Authority of Gordon County</t>
  </si>
  <si>
    <t>Clarkesville</t>
  </si>
  <si>
    <t>Bowman</t>
  </si>
  <si>
    <t>Thomson</t>
  </si>
  <si>
    <t>Thunderbolt</t>
  </si>
  <si>
    <t>Chattooga County Development Authority</t>
  </si>
  <si>
    <t>Baxley</t>
  </si>
  <si>
    <t>Cherokee County Development Authority</t>
  </si>
  <si>
    <t>Bellville</t>
  </si>
  <si>
    <t>City of Alpharetta Development Authority</t>
  </si>
  <si>
    <t>Berkeley Lake</t>
  </si>
  <si>
    <t>4) Other - describe in box provided:</t>
  </si>
  <si>
    <t>Annual Debt Svc</t>
  </si>
  <si>
    <t>Loan Amount:</t>
  </si>
  <si>
    <t>Sycamore</t>
  </si>
  <si>
    <t>Documentation of ALL Nonprofit's ownership interest</t>
  </si>
  <si>
    <t>SCORING DOCUMENTATION</t>
  </si>
  <si>
    <t>Desirable/Undesirable Form</t>
  </si>
  <si>
    <t>Date all buildings will complete 15 yr Compliance pd</t>
  </si>
  <si>
    <t>Valdosta Housing Authority</t>
  </si>
  <si>
    <t>Development Authority of Mitchell County</t>
  </si>
  <si>
    <t>Estoppel Letter from Lender containing certifications required relating to assumption of existing debt</t>
  </si>
  <si>
    <t>Letter of availability and capacity from proposed local Electricity provider</t>
  </si>
  <si>
    <t>Payment &amp; Performance Bond Waiver</t>
  </si>
  <si>
    <t>DCA Final Inspection Fee (Tax Credit only - no HOME)</t>
  </si>
  <si>
    <t>Water&amp;Swr</t>
  </si>
  <si>
    <t>($/mth/unit)</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</si>
  <si>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</si>
  <si>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</si>
  <si>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Coweta, Fayette, Meriwether Joint Development Authority</t>
  </si>
  <si>
    <t>Omega</t>
  </si>
  <si>
    <t>Housing Authority of the City of Waynesboro</t>
  </si>
  <si>
    <t>Orchard Hill</t>
  </si>
  <si>
    <t>Downtown Development Authority of Lawrenceville, GA</t>
  </si>
  <si>
    <t>Fayetteville</t>
  </si>
  <si>
    <t>Detailed Project-Specific Displacement/Relocation Plan and Budget</t>
  </si>
  <si>
    <t xml:space="preserve">Other HOME* </t>
  </si>
  <si>
    <t>DCA PSHP HOME*</t>
  </si>
  <si>
    <t>Is sufficient comparable replacement housing identified in the relocation plan according to DCA relocation requirements?</t>
  </si>
  <si>
    <t>Acreage</t>
  </si>
  <si>
    <t>Housing Authority of the City of Pearson, Georgia</t>
  </si>
  <si>
    <t>Mountain Park</t>
  </si>
  <si>
    <t>Included in Mgt Fee:</t>
  </si>
  <si>
    <t>Project Participants</t>
  </si>
  <si>
    <t>Copies of DCA experience determinations/Waivers</t>
  </si>
  <si>
    <t>2) Number of Rent Burdened Tenants</t>
  </si>
  <si>
    <t>3) Number of Vacancies</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</si>
  <si>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</si>
  <si>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</si>
  <si>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Probationary participation approval</t>
  </si>
  <si>
    <t>Explanation documentation, if applicable</t>
  </si>
  <si>
    <t>Developer Organization Documents</t>
  </si>
  <si>
    <t>Financing Commitments</t>
  </si>
  <si>
    <t>(no rent to be charged)</t>
  </si>
  <si>
    <t>Architectural Standards?</t>
  </si>
  <si>
    <t>Local Govt commitment for funding of paved roads, and timetable if applicable</t>
  </si>
  <si>
    <t>(Years)</t>
  </si>
  <si>
    <t>Federal Grant</t>
  </si>
  <si>
    <t>EQUITY COSTS</t>
  </si>
  <si>
    <t>Unit Area</t>
  </si>
  <si>
    <t>Total Low Income Residential Square Footage</t>
  </si>
  <si>
    <t>Gibson Housing Authority</t>
  </si>
  <si>
    <t>Glennville Development Authority</t>
  </si>
  <si>
    <t>Hull</t>
  </si>
  <si>
    <t>Guarantor agreements</t>
  </si>
  <si>
    <t>Consulting agreements - direct or indirect, paid or unpaid</t>
  </si>
  <si>
    <t>Other GP1</t>
  </si>
  <si>
    <t>Other GP2</t>
  </si>
  <si>
    <t>Federal LP</t>
  </si>
  <si>
    <t>State LP</t>
  </si>
  <si>
    <t>Manage GP</t>
  </si>
  <si>
    <r>
      <t>2</t>
    </r>
    <r>
      <rPr>
        <sz val="10"/>
        <rFont val="Arial Narrow"/>
        <family val="2"/>
      </rPr>
      <t>. Is this entity a MBE/ WBE?</t>
    </r>
  </si>
  <si>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</si>
  <si>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</si>
  <si>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</si>
  <si>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</si>
  <si>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Clinch County Development Authority</t>
  </si>
  <si>
    <t>Bostwick</t>
  </si>
  <si>
    <t>Submetered?</t>
  </si>
  <si>
    <t>UTILITY ALLOWANCE SCHEDULE #1</t>
  </si>
  <si>
    <t>TAX CREDIT PROJECT MAXIMUM - Lower of Basis Method, Gap Method and DCA Limit:</t>
  </si>
  <si>
    <t>UTILITY ALLOWANCE SCHEDULE #2</t>
  </si>
  <si>
    <t>Zip+4</t>
  </si>
  <si>
    <t>City of Jesup Downtown Development Authority</t>
  </si>
  <si>
    <t>Blue Ridge</t>
  </si>
  <si>
    <t>Equity Gap</t>
  </si>
  <si>
    <t>Phased Developments</t>
  </si>
  <si>
    <t>Previous Projects</t>
  </si>
  <si>
    <t>WAIVER OF QUALIFIED CONTRACT RIGHT / TENANT OWNERSHIP PLAN</t>
  </si>
  <si>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</si>
  <si>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</si>
  <si>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</si>
  <si>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</si>
  <si>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</si>
  <si>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</si>
  <si>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</si>
  <si>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</si>
  <si>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</si>
  <si>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</si>
  <si>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</si>
  <si>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</si>
  <si>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</si>
  <si>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</si>
  <si>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Exterior Wall Finishes and Major Building Component Materials and Upgrades</t>
  </si>
  <si>
    <t>Upgraded roofing shingles, or roofing materials</t>
  </si>
  <si>
    <t>Emanuel</t>
  </si>
  <si>
    <t>---------------------------&gt; If Yes, new Limit is:</t>
  </si>
  <si>
    <t>First Building ID Nbr in Project</t>
  </si>
  <si>
    <t xml:space="preserve">Legal opinion that project will meet for the 15 year compliance period requirement specified for the Preservation Set-Aside </t>
  </si>
  <si>
    <t>Construction Loan Interest</t>
  </si>
  <si>
    <t>Construction Insurance</t>
  </si>
  <si>
    <t>Amenities Pre-Approval</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</si>
  <si>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</si>
  <si>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</si>
  <si>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</si>
  <si>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NPS National Historic Designation documentation on or before 8/17/2011</t>
  </si>
  <si>
    <t>DCA Compliance History Form for each project</t>
  </si>
  <si>
    <t>Other (specify waiver):</t>
  </si>
  <si>
    <t>DCA Compliance Certification for each state finance agency from which the Owner/Developer entity, affiliates or principals have received LIHTC</t>
  </si>
  <si>
    <t>Downtown Development Authority of Madison</t>
  </si>
  <si>
    <t>Fitzgerald</t>
  </si>
  <si>
    <t>Other (See comments)</t>
  </si>
  <si>
    <t>Legal Opinion regarding nonprofit tax-exempt status</t>
  </si>
  <si>
    <t>Addition of new or redesign of existing durable attractive stair and railing elements</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</si>
  <si>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</si>
  <si>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</si>
  <si>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</si>
  <si>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</si>
  <si>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Project Nbr</t>
  </si>
  <si>
    <t>2 BR Common Space Units</t>
  </si>
  <si>
    <t>3 BR Common Space Units</t>
  </si>
  <si>
    <t>Development Authority of Cherokee County</t>
  </si>
  <si>
    <t>Additional Feasibility documents</t>
  </si>
  <si>
    <t>Elbert County Richard B. Russell Development Authority</t>
  </si>
  <si>
    <t>Helena</t>
  </si>
  <si>
    <t>Development Authority of Catoosa County</t>
  </si>
  <si>
    <t>Cairo</t>
  </si>
  <si>
    <t>Development Authority of Chattooga County</t>
  </si>
  <si>
    <t>Total Residential Square Footage</t>
  </si>
  <si>
    <t>Ideal</t>
  </si>
  <si>
    <t>Real estate properties disclosure</t>
  </si>
  <si>
    <t>Development fee sharing arrangements</t>
  </si>
  <si>
    <t>South Georgia Business and Development Authority</t>
  </si>
  <si>
    <t>Woodville</t>
  </si>
  <si>
    <t>Woolsey</t>
  </si>
  <si>
    <t>7.  Applicable Organizational Type (For Profit, Nonprofit, CHDO)</t>
  </si>
  <si>
    <t>8.  Project Ownership Percentage</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</si>
  <si>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</si>
  <si>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</si>
  <si>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Total Development Cost (TDC or PUCL; explain in Comments if TDC &gt; PUCL)</t>
  </si>
  <si>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</si>
  <si>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t>Documentation of all pending litigation</t>
  </si>
  <si>
    <t>Conclusively demonstrative documentation of current ownership and operation of 5 (five) or more successful LIHTC projects in which you own a minimum 20% interest in the General Partner and Development entities</t>
  </si>
  <si>
    <t>Bronwood</t>
  </si>
  <si>
    <t>(see Demographics)</t>
  </si>
  <si>
    <t>Development Authority of Baker County</t>
  </si>
  <si>
    <t>Development Authority of Banks County</t>
  </si>
  <si>
    <t>Wilcox Co.</t>
  </si>
  <si>
    <t>Have occupancy rates at comparable DCA properties experienced a significant decline?</t>
  </si>
  <si>
    <t>is excuted by the official representative of the Community</t>
  </si>
  <si>
    <t>Target DCR</t>
  </si>
  <si>
    <t>CONTRACTOR SERVICES</t>
  </si>
  <si>
    <t>Housing Authority of the City of Nashville, Georgia</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</si>
  <si>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</si>
  <si>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</si>
  <si>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</si>
  <si>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</si>
  <si>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</si>
  <si>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</si>
  <si>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</si>
  <si>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STABLE COMMUNITIES / REDEVELOPMENT / REVITALIZATION</t>
  </si>
  <si>
    <t>Emanuel Co.</t>
  </si>
  <si>
    <t>Evans</t>
  </si>
  <si>
    <t>Physical Needs Assessment (See Rehabilitation Guide in Architectural Manual)</t>
  </si>
  <si>
    <t>Comprehensive Rehabilitation Work Scope</t>
  </si>
  <si>
    <t>Vacancy</t>
  </si>
  <si>
    <t>Provide the name of the market study analyst used by applicant:</t>
  </si>
  <si>
    <t>Stabilization period</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</si>
  <si>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</si>
  <si>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</si>
  <si>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</si>
  <si>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</si>
  <si>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If TDC &gt; PUCL, provide amount of grant from foundation or charitable org to cover the cost exceeding the PUCL:</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</si>
  <si>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</si>
  <si>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</si>
  <si>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</si>
  <si>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</si>
  <si>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</si>
  <si>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</si>
  <si>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</si>
  <si>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</si>
  <si>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</si>
  <si>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</si>
  <si>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</si>
  <si>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</si>
  <si>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</si>
  <si>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Sardis Development Authority</t>
  </si>
  <si>
    <t>If "Yes", will any development occur in the floodplain?</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</si>
  <si>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</si>
  <si>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</si>
  <si>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</si>
  <si>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</si>
  <si>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</si>
  <si>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</si>
  <si>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</si>
  <si>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</si>
  <si>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</si>
  <si>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</si>
  <si>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</si>
  <si>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</si>
  <si>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</si>
  <si>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</si>
  <si>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4 BR Common Space SF</t>
  </si>
  <si>
    <t>Efficiency Common Space Units</t>
  </si>
  <si>
    <t>1 BR Common Space Units</t>
  </si>
  <si>
    <t>Troup County Development  Authority</t>
  </si>
  <si>
    <t>4 BR Common Space Units</t>
  </si>
  <si>
    <t>a)</t>
  </si>
  <si>
    <t>b)</t>
  </si>
  <si>
    <t>c)</t>
  </si>
  <si>
    <t>d)</t>
  </si>
  <si>
    <t>e)</t>
  </si>
  <si>
    <t>1 BR</t>
  </si>
  <si>
    <t>2 BR</t>
  </si>
  <si>
    <t>3 BR</t>
  </si>
  <si>
    <t>4 BR</t>
  </si>
  <si>
    <t>Development Authority of City of Edison, Georgia</t>
  </si>
  <si>
    <t>Camak</t>
  </si>
  <si>
    <t>Census Tract #</t>
  </si>
  <si>
    <t>New Construction</t>
  </si>
  <si>
    <t>Mixed Use</t>
  </si>
  <si>
    <t>Buildings</t>
  </si>
  <si>
    <t>Cost of Issuance / Underwriter's Discount</t>
  </si>
  <si>
    <t>Crisp-Dooly Joint Development Authority</t>
  </si>
  <si>
    <t>Name</t>
  </si>
  <si>
    <t>Are all issues and questions surrounding the zoning and land use classification clearly defined prior to this application submission?</t>
  </si>
  <si>
    <t>Wrens</t>
  </si>
  <si>
    <t>Type of Construction:</t>
  </si>
  <si>
    <t>Total Residential Parking Spaces (min 1.5 per unit)</t>
  </si>
  <si>
    <t>2. Is this entity a MBE/ WBE?</t>
  </si>
  <si>
    <t>City of Duluth Downtown Development Authority</t>
  </si>
  <si>
    <t>City of Fayetteville Downtown Development Authority</t>
  </si>
  <si>
    <t>Bloomingdale</t>
  </si>
  <si>
    <t>Norman Park</t>
  </si>
  <si>
    <t>Housing Authority of the City of Summerville</t>
  </si>
  <si>
    <t>TAX CREDIT REQUEST - Cannot exceed Tax Credit Project Maximum, but may be lower:</t>
  </si>
  <si>
    <t>Constructed and Rehabilitation Construction Hard Costs - are the following minimum review standards for rehabilitation projects met or exceeded by this project?</t>
  </si>
  <si>
    <t>C. Documents not organized correctly:  Nbr</t>
  </si>
  <si>
    <t>Local Redevelopment Plan - includes items below?</t>
  </si>
  <si>
    <t>Per Owner Per Round (% of HOME funds available)</t>
  </si>
  <si>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</si>
  <si>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</si>
  <si>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The proposed development project must support at least one of the goals of the redevelopment or revitalization plan;</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</si>
  <si>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</si>
  <si>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</si>
  <si>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</si>
  <si>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</si>
  <si>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</si>
  <si>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</si>
  <si>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</si>
  <si>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</si>
  <si>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</si>
  <si>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</si>
  <si>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</si>
  <si>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Housing)</t>
  </si>
  <si>
    <t>Development Authority of Bainbridge and Decatur County</t>
  </si>
  <si>
    <t>MARKET</t>
  </si>
  <si>
    <t>Builder Profit:</t>
  </si>
  <si>
    <t>Construction Loan Fee</t>
  </si>
  <si>
    <t>Construction Legal Fees</t>
  </si>
  <si>
    <t>Wilkes</t>
  </si>
  <si>
    <t>Wilkes Co.</t>
  </si>
  <si>
    <t>Wilkinson</t>
  </si>
  <si>
    <t>Wilkinson Co.</t>
  </si>
  <si>
    <t>Worth</t>
  </si>
  <si>
    <t>Tax-Exempt Bond Issuers</t>
  </si>
  <si>
    <t>Abbeville</t>
  </si>
  <si>
    <t>A. Missing / incomplete documents:</t>
  </si>
  <si>
    <t>B. Financial adjustments/revisions requested:</t>
  </si>
  <si>
    <t>(80 residential units or less)</t>
  </si>
  <si>
    <t>Revenues</t>
  </si>
  <si>
    <t>Overall capture rate for credit units</t>
  </si>
  <si>
    <t>(Management Fee is from Pro Forma, Section 1, Operating Assumptions)</t>
  </si>
  <si>
    <t>Downtown Development Authority of the City of Jackson</t>
  </si>
  <si>
    <t>Gay</t>
  </si>
  <si>
    <t>Interest Rate:</t>
  </si>
  <si>
    <t>Investor Rate</t>
  </si>
  <si>
    <t>PBRA Provider</t>
  </si>
  <si>
    <t>or Operating</t>
  </si>
  <si>
    <r>
      <t xml:space="preserve">Subsidy </t>
    </r>
    <r>
      <rPr>
        <b/>
        <sz val="10"/>
        <color indexed="10"/>
        <rFont val="Arial"/>
        <family val="2"/>
      </rPr>
      <t>***</t>
    </r>
  </si>
  <si>
    <t>Housing Authority of Clayton County</t>
  </si>
  <si>
    <t>Junction City</t>
  </si>
  <si>
    <t>Description of Improvement(s)</t>
  </si>
  <si>
    <t>Common Space Units</t>
  </si>
  <si>
    <t>HOME</t>
  </si>
  <si>
    <t>Tax Credits</t>
  </si>
  <si>
    <t>HOPE VI</t>
  </si>
  <si>
    <t>Number of Persons in Family and Percentage Adjustments for Rent Calculations</t>
  </si>
  <si>
    <t>IRS Tax-Exempt Status Determination Letter</t>
  </si>
  <si>
    <t>Secretary of State Certification of Nonprofit Status</t>
  </si>
  <si>
    <t>Sandersville</t>
  </si>
  <si>
    <t>Total Residential Units</t>
  </si>
  <si>
    <t>Housing Authority of the City of Albany</t>
  </si>
  <si>
    <t>Lakeland</t>
  </si>
  <si>
    <t>Has the Environmental Professional identified any of the following on the subject property:</t>
  </si>
  <si>
    <t>Asbestos?</t>
  </si>
  <si>
    <t>&lt;Enter detailed description here; use Comments section if needed&gt;</t>
  </si>
  <si>
    <t>The partnership’s tax returns for the first and final years of credit period</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</si>
  <si>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</si>
  <si>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</si>
  <si>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</si>
  <si>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</si>
  <si>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</si>
  <si>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</si>
  <si>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</si>
  <si>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</si>
  <si>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</si>
  <si>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</si>
  <si>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</si>
  <si>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</si>
  <si>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Stone Mountain</t>
  </si>
  <si>
    <t>Treutlen County Development Authority</t>
  </si>
  <si>
    <t>Equipped walking path with exercise stations or sitting areas</t>
  </si>
  <si>
    <t xml:space="preserve">     </t>
  </si>
  <si>
    <t>City of Cumming Development Authority</t>
  </si>
  <si>
    <t>Blackshear</t>
  </si>
  <si>
    <t>City of Dawson Development Authority</t>
  </si>
  <si>
    <t>Blairsville</t>
  </si>
  <si>
    <t>City of Dublin and County of Laurens Development Authority</t>
  </si>
  <si>
    <t>Blakely</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</si>
  <si>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</si>
  <si>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</si>
  <si>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(w/PNA &amp; supporting documentation - see scoring criteria)</t>
  </si>
  <si>
    <t>Public Water/Sanitary Sewer/Storm Sewer</t>
  </si>
  <si>
    <t>Market Feasibility</t>
  </si>
  <si>
    <t xml:space="preserve">Adaptive Reuse                        </t>
  </si>
  <si>
    <t xml:space="preserve">Brownfield                      </t>
  </si>
  <si>
    <t>TAX CREDIT ALLOCATION - Lower of Tax Credit Request and Tax Credit Project Maximum</t>
  </si>
  <si>
    <t>USDA 538 Loan Interest Credit (fill in Part III A tab)</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</si>
  <si>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</si>
  <si>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</si>
  <si>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</si>
  <si>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</si>
  <si>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j)</t>
  </si>
  <si>
    <t>Is the Plan:</t>
  </si>
  <si>
    <t>Formulated by the Owner of the project and submitted to a local government for approval?</t>
  </si>
  <si>
    <t>A short-term work plan?</t>
  </si>
  <si>
    <t>The Development Authority of the City of Tallapoosa</t>
  </si>
  <si>
    <t>Sparks</t>
  </si>
  <si>
    <t>A comprehensive plan, consolidated plan, municipal zoning plan or land use plan?</t>
  </si>
  <si>
    <t>More than four years old?</t>
  </si>
  <si>
    <t>PHASED DEVELOPMENTS / PREVIOUS PROJECTS</t>
  </si>
  <si>
    <t>rmckean@mckeanarch.com</t>
    <phoneticPr fontId="5" type="noConversion"/>
  </si>
  <si>
    <t>Owner</t>
    <phoneticPr fontId="5" type="noConversion"/>
  </si>
  <si>
    <t>Yes</t>
  </si>
  <si>
    <t>DCA</t>
    <phoneticPr fontId="5" type="noConversion"/>
  </si>
  <si>
    <t>MF</t>
  </si>
  <si>
    <t>Are there more than two DCA funded projects in the primary market area which have occupancy rates of less than 90% and which compete for the same tenant base as the proposed project?</t>
  </si>
  <si>
    <t>CONSTRUCTION FINANCING</t>
  </si>
  <si>
    <t>Does analysis of one or more comparable properties in the market area indicate that the property may have difficulty reaching stabilized occupancy within the required timeframe?</t>
  </si>
  <si>
    <t>Is there a Pre-Determination Letter From DCA included in this application for this criterion?</t>
  </si>
  <si>
    <t>Central Georgia Joint Development Authority</t>
  </si>
  <si>
    <t>Ball Ground</t>
  </si>
  <si>
    <t>Multiply Adjusted Eligible Basis by Applicable Fraction</t>
  </si>
  <si>
    <t>Maximum Tax Credit Amount</t>
  </si>
  <si>
    <t>Servicing Fee</t>
  </si>
  <si>
    <t>GNMA Gty Fee</t>
  </si>
  <si>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</si>
  <si>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Bowdon Housing Authority</t>
  </si>
  <si>
    <t>Arabi</t>
  </si>
  <si>
    <t>Is 20-year replacement reserve study included?</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</si>
  <si>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</si>
  <si>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</si>
  <si>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</si>
  <si>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</si>
  <si>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</si>
  <si>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</si>
  <si>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</si>
  <si>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</si>
  <si>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</si>
  <si>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</si>
  <si>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</si>
  <si>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</si>
  <si>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</si>
  <si>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</si>
  <si>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</si>
  <si>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</si>
  <si>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</si>
  <si>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</si>
  <si>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</si>
  <si>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</si>
  <si>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</si>
  <si>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</si>
  <si>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</si>
  <si>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</si>
  <si>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</si>
  <si>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</si>
  <si>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</si>
  <si>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</si>
  <si>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Development Authority of Jasper County</t>
  </si>
  <si>
    <t>Lead-based paint?</t>
  </si>
  <si>
    <t>MF Units</t>
  </si>
  <si>
    <t>SF Det'd Units</t>
  </si>
  <si>
    <t>MH Units</t>
  </si>
  <si>
    <t>Duplex Units</t>
  </si>
  <si>
    <t>Boundary and Topographical Survey</t>
  </si>
  <si>
    <t>Toombs County Development Authority</t>
  </si>
  <si>
    <t>HOME Contract Addendum (If applicable)/or right to withdraw</t>
  </si>
  <si>
    <t>Aerial Photos of proposed site</t>
  </si>
  <si>
    <t>Documentation of Public Hearing and Publication if required by statute</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</si>
  <si>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</si>
  <si>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</si>
  <si>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</si>
  <si>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</si>
  <si>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Bleckley County, GA</t>
  </si>
  <si>
    <t>Brunswick, GA MSA</t>
  </si>
  <si>
    <t>Valdosta, GA MSA</t>
  </si>
  <si>
    <t>Required Tab Contents and Specified Order</t>
  </si>
  <si>
    <t>Number:</t>
  </si>
  <si>
    <t>Total Per Unit Cost Limitation:</t>
  </si>
  <si>
    <t>Morgan</t>
  </si>
  <si>
    <t>Morgan Co.</t>
  </si>
  <si>
    <t>Murray</t>
  </si>
  <si>
    <t>Murray Co.</t>
  </si>
  <si>
    <t xml:space="preserve">Less than 20% below Poverty level </t>
  </si>
  <si>
    <r>
      <t>HOPE VI or Choice Neighborhoods Initiatives -</t>
    </r>
    <r>
      <rPr>
        <i/>
        <sz val="8"/>
        <rFont val="Arial"/>
        <family val="2"/>
      </rPr>
      <t xml:space="preserve"> the Initiative will:</t>
    </r>
  </si>
  <si>
    <t>f)</t>
  </si>
  <si>
    <t>g)</t>
  </si>
  <si>
    <t>Common Space</t>
  </si>
  <si>
    <t>(included in LI above)</t>
  </si>
  <si>
    <t>Downtown Development Authority of Austell</t>
  </si>
  <si>
    <t>Eastman</t>
  </si>
  <si>
    <t>Downtown Development Authority of Avondale Estates</t>
  </si>
  <si>
    <t>Nonprofit</t>
  </si>
  <si>
    <t>USDA 515</t>
  </si>
  <si>
    <t>USDA 538</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</si>
  <si>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</si>
  <si>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</si>
  <si>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</si>
  <si>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</si>
  <si>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</si>
  <si>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</si>
  <si>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</si>
  <si>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</si>
  <si>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</si>
  <si>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</si>
  <si>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An assessment of the existing physical structures and infrastructure of the community</t>
  </si>
  <si>
    <t>h)</t>
  </si>
  <si>
    <t>i)</t>
  </si>
  <si>
    <t>The Development Authority of the City of Manchester</t>
  </si>
  <si>
    <t>Soperton</t>
  </si>
  <si>
    <t>Endeavor Pointe Development L.P.</t>
    <phoneticPr fontId="5" type="noConversion"/>
  </si>
  <si>
    <t>GA</t>
    <phoneticPr fontId="5" type="noConversion"/>
  </si>
  <si>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</si>
  <si>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</si>
  <si>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</si>
  <si>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</si>
  <si>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</si>
  <si>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</si>
  <si>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</si>
  <si>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</si>
  <si>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</si>
  <si>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In-sink disposal in every unit</t>
  </si>
  <si>
    <t>Brunswick and Glynn County Development Authority</t>
  </si>
  <si>
    <t>Arlington</t>
  </si>
  <si>
    <t>Bryan County-Pembroke Development Authority</t>
  </si>
  <si>
    <t>Butts, Henry, Lamar and Spalding County Joint Development Authority</t>
  </si>
  <si>
    <t>Detailed statements and dates of all governmental debarments/ suspensions, criminal convictions, indictments, bankruptcies and pending criminal investigations of all Owners and Developers.</t>
  </si>
  <si>
    <t>Copy of Original Promissory Note and Amendments</t>
  </si>
  <si>
    <t>IRS Forms 8609 for first and final years of credit period</t>
  </si>
  <si>
    <t>Expiring Section 8</t>
  </si>
  <si>
    <t>GOVERNMENT FUNDING SOURCES  (check all that apply)</t>
  </si>
  <si>
    <t>Lyons</t>
  </si>
  <si>
    <t>Cleveland</t>
  </si>
  <si>
    <t>frank.gudger@hawcpa.com</t>
    <phoneticPr fontId="5" type="noConversion"/>
  </si>
  <si>
    <t>McKean and Associates</t>
    <phoneticPr fontId="5" type="noConversion"/>
  </si>
  <si>
    <t>2815-B Zelda Road</t>
    <phoneticPr fontId="5" type="noConversion"/>
  </si>
  <si>
    <t>Montgomery</t>
    <phoneticPr fontId="5" type="noConversion"/>
  </si>
  <si>
    <t>Rory McKean</t>
    <phoneticPr fontId="5" type="noConversion"/>
  </si>
  <si>
    <t>per unit per year</t>
  </si>
  <si>
    <t>per unit per month</t>
  </si>
  <si>
    <t>% of TDC</t>
  </si>
  <si>
    <t>Belvedere Park</t>
  </si>
  <si>
    <t>Blacksville</t>
  </si>
  <si>
    <t>Bonanza</t>
  </si>
  <si>
    <t>Candler-McAfee</t>
  </si>
  <si>
    <t>Chattanooga Valley</t>
  </si>
  <si>
    <t>Conley</t>
  </si>
  <si>
    <t>Country Club Estates</t>
  </si>
  <si>
    <t>Deenwood</t>
  </si>
  <si>
    <t>Dock Junction</t>
  </si>
  <si>
    <t>Stable Communitities</t>
  </si>
  <si>
    <t>Phase I Environmental Study (including all appendices in the format prescribed in the Environmental Manual)</t>
  </si>
  <si>
    <t>Fairview</t>
  </si>
  <si>
    <t>Atlanta-Sandy Springs-Marietta, GA HUD Metro FMR Area</t>
  </si>
  <si>
    <t>Ben Hill County, GA</t>
  </si>
  <si>
    <t>Berrien County, GA</t>
  </si>
  <si>
    <t>Macon, GA MSA</t>
  </si>
  <si>
    <t>Muscogee</t>
  </si>
  <si>
    <t>Newton</t>
  </si>
  <si>
    <t>Oconee</t>
  </si>
  <si>
    <t>Oglethorpe</t>
  </si>
  <si>
    <t>Paulding</t>
  </si>
  <si>
    <t>Housing Authority of the City of Statesboro</t>
  </si>
  <si>
    <t>Housing Authority of the City of Monticello</t>
  </si>
  <si>
    <t>Morven</t>
  </si>
  <si>
    <t>Housing Authority of the City of Camilla</t>
  </si>
  <si>
    <t xml:space="preserve">Applicant agrees to provide the following required Additional Site Amenities to conform with the DCA Amenities Guidebook.  </t>
  </si>
  <si>
    <t>Stable Communities</t>
  </si>
  <si>
    <t>Yes/No</t>
  </si>
  <si>
    <t>DCA Operating expense waiver approval</t>
  </si>
  <si>
    <t>Copy of the Plan</t>
  </si>
  <si>
    <t>Board of Directors information: name, address, phone, occupation, positions</t>
  </si>
  <si>
    <t>Bulloch County, GA</t>
  </si>
  <si>
    <t>Augusta-Richmond County, GA-SC MSA</t>
  </si>
  <si>
    <t>Rural</t>
  </si>
  <si>
    <t>nicholassherman@me.com</t>
    <phoneticPr fontId="5" type="noConversion"/>
  </si>
  <si>
    <t>Competitive Round</t>
  </si>
  <si>
    <t>Nick Sherman</t>
    <phoneticPr fontId="5" type="noConversion"/>
  </si>
  <si>
    <t>1341 Cassville Road, NW</t>
    <phoneticPr fontId="5" type="noConversion"/>
  </si>
  <si>
    <t>Member</t>
    <phoneticPr fontId="5" type="noConversion"/>
  </si>
  <si>
    <t>Endeavor Pointe</t>
    <phoneticPr fontId="5" type="noConversion"/>
  </si>
  <si>
    <t>Kay Conley Road</t>
    <phoneticPr fontId="5" type="noConversion"/>
  </si>
  <si>
    <t>Walker County</t>
    <phoneticPr fontId="5" type="noConversion"/>
  </si>
  <si>
    <t>Bebe Heiskell</t>
    <phoneticPr fontId="5" type="noConversion"/>
  </si>
  <si>
    <t>101 South Duke Street</t>
    <phoneticPr fontId="5" type="noConversion"/>
  </si>
  <si>
    <t>Lafayette</t>
    <phoneticPr fontId="5" type="noConversion"/>
  </si>
  <si>
    <t>VP Acquisitions</t>
    <phoneticPr fontId="5" type="noConversion"/>
  </si>
  <si>
    <t>Stable Communities &lt; 10%</t>
  </si>
  <si>
    <t>Pass</t>
  </si>
  <si>
    <t>OTHER REQUIRED INFORMATION  (Answer each of the questions below for each participant listed below.)</t>
  </si>
  <si>
    <t>Endeavor Pointe L.P.</t>
    <phoneticPr fontId="5" type="noConversion"/>
  </si>
  <si>
    <t>Installation of common area lighting with Energystar rating and controlled with either photocells or timers</t>
  </si>
  <si>
    <t>Arnoldsville</t>
  </si>
  <si>
    <t>Brantley County Development Authority</t>
  </si>
  <si>
    <t>Aragon</t>
  </si>
  <si>
    <t>Bremen Housing Authority</t>
  </si>
  <si>
    <t>Arcade</t>
  </si>
  <si>
    <t>Brooks County Development Authority</t>
  </si>
  <si>
    <t>Argyle</t>
  </si>
  <si>
    <t>Scotland</t>
  </si>
  <si>
    <t>Colquitt Co.</t>
  </si>
  <si>
    <t>Columbia</t>
  </si>
  <si>
    <t>Cook</t>
  </si>
  <si>
    <t>Cook Co.</t>
  </si>
  <si>
    <t>Coweta</t>
  </si>
  <si>
    <t>Crawford</t>
  </si>
  <si>
    <t>Crisp</t>
  </si>
  <si>
    <t>3.</t>
  </si>
  <si>
    <t>Sole Commissioner</t>
    <phoneticPr fontId="5" type="noConversion"/>
  </si>
  <si>
    <t>Senior (HFOP)</t>
  </si>
  <si>
    <t>Olympia Construction</t>
    <phoneticPr fontId="5" type="noConversion"/>
  </si>
  <si>
    <t>Byron  Development Authority</t>
  </si>
  <si>
    <t>Ashburn</t>
  </si>
  <si>
    <t>Nicholas Sherman</t>
    <phoneticPr fontId="5" type="noConversion"/>
  </si>
  <si>
    <t>Tower Management Company, Inc.</t>
    <phoneticPr fontId="5" type="noConversion"/>
  </si>
  <si>
    <t>Endeavor Pointe</t>
    <phoneticPr fontId="5" type="noConversion"/>
  </si>
  <si>
    <t xml:space="preserve">Endeavor Pointe </t>
    <phoneticPr fontId="5" type="noConversion"/>
  </si>
  <si>
    <t>Electric Heat Pump</t>
  </si>
  <si>
    <t>2-Story</t>
  </si>
  <si>
    <t>Floating</t>
  </si>
  <si>
    <t>DCA HOME Loan</t>
    <phoneticPr fontId="5" type="noConversion"/>
  </si>
  <si>
    <t>Tax and Insurance Escrow</t>
    <phoneticPr fontId="5" type="noConversion"/>
  </si>
  <si>
    <t>Albertville</t>
    <phoneticPr fontId="5" type="noConversion"/>
  </si>
  <si>
    <t>9010 US HWY 431 N</t>
    <phoneticPr fontId="5" type="noConversion"/>
  </si>
  <si>
    <t>Ralph Fullerton</t>
    <phoneticPr fontId="5" type="noConversion"/>
  </si>
  <si>
    <t>Vice President</t>
    <phoneticPr fontId="5" type="noConversion"/>
  </si>
  <si>
    <t>sharron@olympiaconstruction.net</t>
    <phoneticPr fontId="5" type="noConversion"/>
  </si>
  <si>
    <t>Tower Management Company Inc.</t>
    <phoneticPr fontId="5" type="noConversion"/>
  </si>
  <si>
    <t>1341 Cassville Rd, NW</t>
    <phoneticPr fontId="5" type="noConversion"/>
  </si>
  <si>
    <t>Cheryl Murphy</t>
    <phoneticPr fontId="5" type="noConversion"/>
  </si>
  <si>
    <t>President/Owner</t>
    <phoneticPr fontId="5" type="noConversion"/>
  </si>
  <si>
    <t>Druid Hills</t>
  </si>
  <si>
    <t>East Griffin</t>
  </si>
  <si>
    <t>East Newnan</t>
  </si>
  <si>
    <t>Experiment</t>
  </si>
  <si>
    <t>Fair Oaks</t>
  </si>
  <si>
    <t>Equipped Computer Resource Room</t>
    <phoneticPr fontId="5" type="noConversion"/>
  </si>
  <si>
    <t>Equipped Walking Path with Sitting Areas</t>
    <phoneticPr fontId="5" type="noConversion"/>
  </si>
  <si>
    <t>Market Study for proposed site</t>
  </si>
  <si>
    <t>For Profit</t>
  </si>
  <si>
    <t>Copy of Original Loan Agreement and Amendments</t>
  </si>
  <si>
    <t>Copy of Original Security Instruments</t>
  </si>
  <si>
    <t>1341 Cassville Road, NW</t>
    <phoneticPr fontId="5" type="noConversion"/>
  </si>
  <si>
    <t>Cartersville</t>
    <phoneticPr fontId="5" type="noConversion"/>
  </si>
  <si>
    <t>TBD</t>
    <phoneticPr fontId="5" type="noConversion"/>
  </si>
  <si>
    <t>Nick Sherman</t>
    <phoneticPr fontId="5" type="noConversion"/>
  </si>
  <si>
    <t>Member</t>
    <phoneticPr fontId="5" type="noConversion"/>
  </si>
  <si>
    <t>nicholassherman@me.com</t>
    <phoneticPr fontId="5" type="noConversion"/>
  </si>
  <si>
    <t>Endeavor Pointe GP LLC</t>
    <phoneticPr fontId="5" type="noConversion"/>
  </si>
  <si>
    <t>1341 Cassville Road, NW</t>
    <phoneticPr fontId="5" type="noConversion"/>
  </si>
  <si>
    <t>Cartersville</t>
    <phoneticPr fontId="5" type="noConversion"/>
  </si>
  <si>
    <t>205.02,208,206.02,304.01,303</t>
    <phoneticPr fontId="5" type="noConversion"/>
  </si>
  <si>
    <t>Not applicable to this proposal</t>
    <phoneticPr fontId="5" type="noConversion"/>
  </si>
  <si>
    <t>Earth Craft House</t>
  </si>
  <si>
    <t>If Yes, a form for applicant's required narrative is located in Tab IX-B of this electronic core application.  Is a completed printed copy (no more than two pages) included in the application binder where indicated by the Tabs Checklist?</t>
  </si>
  <si>
    <t>2 BR 120% NSP Units</t>
  </si>
  <si>
    <t>Endeavor Pointe will be located on a +/- 16.54 acre site in Rock Spring, Walker County, GA.  The site is central to Chattanooga, Rossville, Chickamauga, Ringgold and Lafayette as well as convenient to significant desirable activities and characteristics.  The neighborhood in which the site is located is stable and well maintained, with a new condominium community and a Dollar General store adjacent to the North, vacant land to the West, a public baseball field complex to the South and medium density residential to the East.  The proposal is for 64 units comprised of 56 two-bedroom units and 8 one-bedroom units, reserved for those individuals 55+ years old (HFOP).  One and two bedroom units are spacious and will be approximately 762 and 1078 square fee, respectively, and each unit will feature a balcony, exterior storage room, ceiling fan, refrigerator, dishwasher, microwave and stove with fire supression system.  All units are 100% adaptable and accessible and will have a monitoring call system with buzzer and exterior unit light.</t>
    <phoneticPr fontId="5" type="noConversion"/>
  </si>
  <si>
    <t>cheryl@towermgtco.com</t>
    <phoneticPr fontId="5" type="noConversion"/>
  </si>
  <si>
    <t>Coleman Talley LLP</t>
    <phoneticPr fontId="5" type="noConversion"/>
  </si>
  <si>
    <t>910 North Patterson Street</t>
    <phoneticPr fontId="5" type="noConversion"/>
  </si>
  <si>
    <t xml:space="preserve">Valdosta </t>
    <phoneticPr fontId="5" type="noConversion"/>
  </si>
  <si>
    <t>Tom Kurrie</t>
    <phoneticPr fontId="5" type="noConversion"/>
  </si>
  <si>
    <t>Partner</t>
    <phoneticPr fontId="5" type="noConversion"/>
  </si>
  <si>
    <t>tom.kurrie@colemantalley.com</t>
    <phoneticPr fontId="5" type="noConversion"/>
  </si>
  <si>
    <t>Habif Arogeti and Wynne</t>
    <phoneticPr fontId="5" type="noConversion"/>
  </si>
  <si>
    <t>Five Concourse Parkway, Suite 1000</t>
    <phoneticPr fontId="5" type="noConversion"/>
  </si>
  <si>
    <t>Atlanta</t>
    <phoneticPr fontId="5" type="noConversion"/>
  </si>
  <si>
    <t>Frank Gudger</t>
    <phoneticPr fontId="5" type="noConversion"/>
  </si>
  <si>
    <t>On-site laundry</t>
  </si>
  <si>
    <t>Waiver not applicable.  Part A not applicable as this is a proposal for new construction.</t>
    <phoneticPr fontId="5" type="noConversion"/>
  </si>
  <si>
    <t>Qualified without Conditions</t>
  </si>
  <si>
    <t>Non-minority</t>
  </si>
  <si>
    <t>PrePaid Asset Management Fee</t>
    <phoneticPr fontId="5" type="noConversion"/>
  </si>
  <si>
    <t xml:space="preserve"> </t>
    <phoneticPr fontId="5" type="noConversion"/>
  </si>
  <si>
    <t xml:space="preserve"> </t>
    <phoneticPr fontId="5" type="noConversion"/>
  </si>
  <si>
    <t xml:space="preserve"> </t>
    <phoneticPr fontId="5" type="noConversion"/>
  </si>
  <si>
    <t xml:space="preserve">Nicholas Sherman is an inexperienced owner/developer and will be a principal of both GP and Developer entities together with Tower Management Company, Inc.(solely owned by Cheryl Murphy).  Tower is an experienced o/d/m. </t>
    <phoneticPr fontId="5" type="noConversion"/>
  </si>
  <si>
    <t>Endeavor Pointe will feature a 50kw solar array with an anticipated cost of $212,500 -- the size of the solar array is designed to reduce community level electricity expenses by approximately 50%, however, the community will continue to be a net consumer of electricity from the grid.  Per IRC Section 48, a federal clean energy tax credit equal to 30% of system installed cost is available (equal to $63,750), however, a reduction in basis of 1/2 of the value of the credit is required.  Thus, basis was reduced by $31,875.  Per unit cost of $96,351.56 includes all site development (64 units+1,949 SF clubhouse) as well as the solar array.  In addition to the solar array, the community will go through Earthcraft's Multifamily Sustainable Building Certification.</t>
    <phoneticPr fontId="5" type="noConversion"/>
  </si>
  <si>
    <t>We answered no to second question above -- we were tentatively proposing Raymond James to be the equity provider.  We noted TBD in our pre application submission.  Alliant Capital is now the proposaed equity provider</t>
    <phoneticPr fontId="5" type="noConversion"/>
  </si>
  <si>
    <t>Not applicable to this proposal -- Endeavor Pointe is not deeking points under this category</t>
    <phoneticPr fontId="5" type="noConversion"/>
  </si>
  <si>
    <t>Southeast Georgia Consolidated Housing Authority</t>
  </si>
  <si>
    <t>Tab 38 includes documentation of Tower Management Company's pass certification. Tower Management is an experienced entity partnering with Nicholas Sherman, an inexperienced principal with no compliance history</t>
    <phoneticPr fontId="5" type="noConversion"/>
  </si>
  <si>
    <t xml:space="preserve">Part B&amp;D not applicable per pre application submissions and Georgia-only development experience. We have furnished a copy of pre application workbook submission in tab 3 and determination of qualified without conditions.  </t>
    <phoneticPr fontId="5" type="noConversion"/>
  </si>
  <si>
    <t xml:space="preserve">Planning for Senior Apartments").  In addition, per the Southeaster Disaster Relief Act of 2011, the state receives a larger allocation of LIHTC's -- $8 per capita for each person in disaster area.  The availability of these funds -- through an act of Congress -- underscores the urgent and overriding need for affordable housing in the area and provides additional funds for such housing to be constructed.  Ultimately, we believe Endeavor Pointe is deserving of the superior project concept, due to the overriding, exceptionally urgent need for housing, the Presidential Disaster designation of the entire region and the corresponding priority of directing funds to affected areas, as well as the proposal's efficient, sustainable design.  We hope DCA agrees.   </t>
    <phoneticPr fontId="5" type="noConversion"/>
  </si>
  <si>
    <t>Non residential building listed above is 1,949 SF clubhouse building.  With respect to waivers, we selected 'Yes' to Qualification Determination as we were determined to be qualified without conditions during 2011 pre app process.</t>
    <phoneticPr fontId="5" type="noConversion"/>
  </si>
  <si>
    <t xml:space="preserve">This proposal will not use gas.  </t>
    <phoneticPr fontId="5" type="noConversion"/>
  </si>
  <si>
    <t>North Georgia EMC</t>
    <phoneticPr fontId="5" type="noConversion"/>
  </si>
  <si>
    <t>City of LaFayette</t>
    <phoneticPr fontId="5" type="noConversion"/>
  </si>
  <si>
    <t>Covered Porch</t>
  </si>
  <si>
    <t>We anticipate certifying Endeavor Pointe under Earthcraft Multifamily Builfing Program and the green building program certification fee above of $25,000 includes all expenses -- inspections and program fees-- necessary for Earthcraft Multifamily Sustainable Building Certification.</t>
    <phoneticPr fontId="5" type="noConversion"/>
  </si>
  <si>
    <t>2011-028</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</si>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</sst>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79">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vertical="top"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53" fillId="0" borderId="0" xfId="0" applyFont="1" applyFill="1" applyAlignment="1" applyProtection="1">
      <alignment horizontal="left" vertical="center" wrapText="1"/>
    </xf>
    <xf numFmtId="0" fontId="69" fillId="0" borderId="0" xfId="0" applyFont="1" applyFill="1" applyBorder="1" applyAlignment="1" applyProtection="1">
      <alignment horizontal="left" wrapText="1"/>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4" fillId="0" borderId="0" xfId="6"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7" xfId="0"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0" fontId="58" fillId="0" borderId="65" xfId="0" applyFont="1" applyBorder="1" applyProtection="1"/>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35"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0" fontId="26"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 fillId="0" borderId="0" xfId="0" applyFont="1" applyFill="1" applyAlignment="1" applyProtection="1">
      <alignment horizontal="center"/>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3" fillId="0" borderId="0" xfId="0" applyFont="1" applyFill="1" applyAlignment="1" applyProtection="1">
      <alignment horizontal="center" vertical="center" wrapText="1"/>
    </xf>
    <xf numFmtId="0" fontId="5" fillId="0" borderId="9"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5" fillId="4" borderId="34"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0" fillId="0" borderId="62" xfId="0" applyBorder="1" applyProtection="1"/>
    <xf numFmtId="0" fontId="0" fillId="0" borderId="86" xfId="0" applyBorder="1" applyProtection="1"/>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4" Type="http://schemas.openxmlformats.org/officeDocument/2006/relationships/hyperlink" Target="http://www.govtrack.us/congress/findyourreps.xpd"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sheet1.xml><?xml version="1.0" encoding="utf-8"?>
<worksheet xmlns="http://schemas.openxmlformats.org/spreadsheetml/2006/main" xmlns:r="http://schemas.openxmlformats.org/officeDocument/2006/relationships">
  <sheetPr codeName="Sheet2" enableFormatConditionsCalculation="0">
    <pageSetUpPr fitToPage="1"/>
  </sheetPr>
  <dimension ref="A1:I240"/>
  <sheetViews>
    <sheetView showGridLines="0" tabSelected="1" zoomScale="150" workbookViewId="0">
      <selection activeCell="B4" sqref="B4:D6"/>
    </sheetView>
  </sheetViews>
  <sheetFormatPr defaultColWidth="8.7109375" defaultRowHeight="12.75"/>
  <cols>
    <col min="1" max="1" width="3.42578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8.7109375" style="31"/>
  </cols>
  <sheetData>
    <row r="1" spans="1:9" s="42" customFormat="1" ht="14.65" customHeight="1">
      <c r="A1" s="754" t="str">
        <f>CONCATENATE("2011 Application Binder Tabs Checklist For: ",'Part I-Project Information'!$O$4,", ",'Part I-Project Information'!$F$22,", ",'Part I-Project Information'!$J$25," County")</f>
        <v>2011 Application Binder Tabs Checklist For: 2011-028, Endeavor Pointe, Walker County</v>
      </c>
      <c r="B1" s="754"/>
      <c r="C1" s="754"/>
      <c r="D1" s="754"/>
      <c r="E1" s="754"/>
      <c r="F1" s="754"/>
      <c r="G1" s="754"/>
    </row>
    <row r="2" spans="1:9" s="42" customFormat="1" ht="11.65" customHeight="1">
      <c r="A2" s="755" t="s">
        <v>756</v>
      </c>
      <c r="B2" s="756"/>
      <c r="C2" s="756"/>
      <c r="D2" s="756"/>
      <c r="E2" s="756"/>
      <c r="F2" s="756"/>
      <c r="G2" s="756"/>
    </row>
    <row r="3" spans="1:9" s="42" customFormat="1" ht="25.15" customHeight="1">
      <c r="A3" s="768" t="s">
        <v>3933</v>
      </c>
      <c r="B3" s="768"/>
      <c r="C3" s="768"/>
      <c r="D3" s="768"/>
      <c r="E3" s="768"/>
      <c r="F3" s="768"/>
      <c r="G3" s="768"/>
    </row>
    <row r="4" spans="1:9" s="42" customFormat="1" ht="8.25" customHeight="1">
      <c r="A4" s="98"/>
      <c r="B4" s="757" t="s">
        <v>1537</v>
      </c>
      <c r="C4" s="758"/>
      <c r="D4" s="758"/>
      <c r="E4" s="758" t="s">
        <v>3897</v>
      </c>
      <c r="F4" s="763"/>
      <c r="G4" s="99" t="s">
        <v>931</v>
      </c>
    </row>
    <row r="5" spans="1:9" s="42" customFormat="1" ht="8.25" customHeight="1">
      <c r="A5" s="100" t="s">
        <v>933</v>
      </c>
      <c r="B5" s="759"/>
      <c r="C5" s="760"/>
      <c r="D5" s="760"/>
      <c r="E5" s="760"/>
      <c r="F5" s="764"/>
      <c r="G5" s="101" t="s">
        <v>934</v>
      </c>
    </row>
    <row r="6" spans="1:9" s="42" customFormat="1" ht="8.25" customHeight="1">
      <c r="A6" s="102" t="s">
        <v>935</v>
      </c>
      <c r="B6" s="761"/>
      <c r="C6" s="762"/>
      <c r="D6" s="762"/>
      <c r="E6" s="762"/>
      <c r="F6" s="765"/>
      <c r="G6" s="103" t="s">
        <v>936</v>
      </c>
    </row>
    <row r="7" spans="1:9" s="42" customFormat="1" ht="3" customHeight="1">
      <c r="A7" s="100"/>
      <c r="B7" s="394"/>
      <c r="C7" s="394"/>
      <c r="D7" s="394"/>
      <c r="E7" s="306"/>
      <c r="F7" s="712"/>
      <c r="G7" s="311"/>
    </row>
    <row r="8" spans="1:9" s="42" customFormat="1" ht="12.4" customHeight="1" thickBot="1">
      <c r="A8" s="104"/>
      <c r="B8" s="709"/>
      <c r="C8" s="391"/>
      <c r="D8" s="391"/>
      <c r="E8" s="709" t="s">
        <v>1344</v>
      </c>
      <c r="F8" s="391"/>
      <c r="G8" s="1084" t="s">
        <v>3834</v>
      </c>
      <c r="I8" s="1085"/>
    </row>
    <row r="9" spans="1:9" s="42" customFormat="1" ht="12.4" customHeight="1" thickBot="1">
      <c r="A9" s="100"/>
      <c r="B9" s="404" t="s">
        <v>1436</v>
      </c>
      <c r="C9" s="404"/>
      <c r="D9" s="405"/>
      <c r="E9" s="306"/>
      <c r="F9" s="712"/>
      <c r="G9" s="712"/>
    </row>
    <row r="10" spans="1:9" s="42" customFormat="1" ht="12" customHeight="1">
      <c r="A10" s="387">
        <v>1</v>
      </c>
      <c r="B10" s="406" t="s">
        <v>2275</v>
      </c>
      <c r="C10" s="241"/>
      <c r="D10" s="392"/>
      <c r="E10" s="392" t="s">
        <v>2450</v>
      </c>
      <c r="F10" s="392"/>
      <c r="G10" s="1084" t="s">
        <v>3834</v>
      </c>
    </row>
    <row r="11" spans="1:9" s="42" customFormat="1" ht="12" customHeight="1">
      <c r="A11" s="104"/>
      <c r="B11" s="392"/>
      <c r="C11" s="392"/>
      <c r="D11" s="392"/>
      <c r="E11" s="392" t="s">
        <v>2294</v>
      </c>
      <c r="F11" s="392"/>
      <c r="G11" s="1084" t="s">
        <v>3834</v>
      </c>
    </row>
    <row r="12" spans="1:9" s="42" customFormat="1" ht="12" customHeight="1">
      <c r="A12" s="104"/>
      <c r="B12" s="392"/>
      <c r="C12" s="418"/>
      <c r="D12" s="1086"/>
      <c r="E12" s="392" t="s">
        <v>960</v>
      </c>
      <c r="F12" s="391"/>
      <c r="G12" s="1084" t="s">
        <v>3834</v>
      </c>
    </row>
    <row r="13" spans="1:9" s="42" customFormat="1" ht="12" customHeight="1">
      <c r="A13" s="104"/>
      <c r="B13" s="392"/>
      <c r="C13" s="392"/>
      <c r="D13" s="392"/>
      <c r="E13" s="393" t="s">
        <v>633</v>
      </c>
      <c r="F13" s="392"/>
      <c r="G13" s="1084" t="s">
        <v>2311</v>
      </c>
    </row>
    <row r="14" spans="1:9" s="42" customFormat="1" ht="12" customHeight="1">
      <c r="A14" s="104"/>
      <c r="B14" s="392"/>
      <c r="C14" s="392"/>
      <c r="D14" s="392"/>
      <c r="E14" s="393" t="s">
        <v>2295</v>
      </c>
      <c r="F14" s="392"/>
      <c r="G14" s="1084" t="s">
        <v>2311</v>
      </c>
    </row>
    <row r="15" spans="1:9" s="42" customFormat="1" ht="12" customHeight="1">
      <c r="A15" s="104"/>
      <c r="B15" s="392"/>
      <c r="C15" s="392"/>
      <c r="D15" s="392"/>
      <c r="E15" s="393" t="s">
        <v>963</v>
      </c>
      <c r="F15" s="392"/>
      <c r="G15" s="1084" t="s">
        <v>3834</v>
      </c>
    </row>
    <row r="16" spans="1:9" s="42" customFormat="1" ht="6" customHeight="1">
      <c r="A16" s="104"/>
      <c r="B16" s="392"/>
      <c r="C16" s="241"/>
      <c r="D16" s="394"/>
      <c r="E16" s="394"/>
      <c r="F16" s="395"/>
      <c r="G16" s="229"/>
    </row>
    <row r="17" spans="1:7" s="42" customFormat="1" ht="12" customHeight="1">
      <c r="A17" s="388">
        <v>2</v>
      </c>
      <c r="B17" s="395" t="s">
        <v>2296</v>
      </c>
      <c r="C17" s="241"/>
      <c r="D17" s="392"/>
      <c r="E17" s="392" t="s">
        <v>3787</v>
      </c>
      <c r="F17" s="392"/>
      <c r="G17" s="1084" t="s">
        <v>2311</v>
      </c>
    </row>
    <row r="18" spans="1:7" s="42" customFormat="1" ht="3" customHeight="1">
      <c r="A18" s="104"/>
      <c r="B18" s="241"/>
      <c r="C18" s="392"/>
      <c r="D18" s="392"/>
      <c r="E18" s="1086"/>
      <c r="F18" s="392"/>
      <c r="G18" s="105"/>
    </row>
    <row r="19" spans="1:7" s="42" customFormat="1" ht="12" customHeight="1">
      <c r="A19" s="104"/>
      <c r="B19" s="241"/>
      <c r="C19" s="407" t="s">
        <v>290</v>
      </c>
      <c r="D19" s="392"/>
      <c r="E19" s="1086" t="s">
        <v>176</v>
      </c>
      <c r="F19" s="392"/>
      <c r="G19" s="1084" t="s">
        <v>2311</v>
      </c>
    </row>
    <row r="20" spans="1:7" s="42" customFormat="1" ht="3" customHeight="1">
      <c r="A20" s="104"/>
      <c r="B20" s="241"/>
      <c r="C20" s="392"/>
      <c r="D20" s="392"/>
      <c r="E20" s="1086"/>
      <c r="F20" s="392"/>
      <c r="G20" s="105"/>
    </row>
    <row r="21" spans="1:7" s="42" customFormat="1" ht="12" customHeight="1">
      <c r="A21" s="100"/>
      <c r="B21" s="394"/>
      <c r="C21" s="407" t="s">
        <v>177</v>
      </c>
      <c r="D21" s="394"/>
      <c r="E21" s="769" t="s">
        <v>292</v>
      </c>
      <c r="F21" s="770"/>
      <c r="G21" s="1084" t="s">
        <v>2311</v>
      </c>
    </row>
    <row r="22" spans="1:7" s="42" customFormat="1" ht="12" customHeight="1">
      <c r="A22" s="100"/>
      <c r="B22" s="394"/>
      <c r="C22" s="394"/>
      <c r="D22" s="394"/>
      <c r="E22" s="769" t="s">
        <v>293</v>
      </c>
      <c r="F22" s="770"/>
      <c r="G22" s="1084" t="s">
        <v>2311</v>
      </c>
    </row>
    <row r="23" spans="1:7" s="42" customFormat="1" ht="12" customHeight="1">
      <c r="A23" s="100"/>
      <c r="B23" s="394"/>
      <c r="C23" s="394"/>
      <c r="D23" s="394"/>
      <c r="E23" s="396" t="s">
        <v>778</v>
      </c>
      <c r="F23" s="395"/>
      <c r="G23" s="1084" t="s">
        <v>2311</v>
      </c>
    </row>
    <row r="24" spans="1:7" s="42" customFormat="1" ht="12" customHeight="1">
      <c r="A24" s="100"/>
      <c r="B24" s="394"/>
      <c r="C24" s="394"/>
      <c r="D24" s="394"/>
      <c r="E24" s="396" t="s">
        <v>779</v>
      </c>
      <c r="F24" s="395"/>
      <c r="G24" s="1084" t="s">
        <v>2311</v>
      </c>
    </row>
    <row r="25" spans="1:7" s="42" customFormat="1" ht="3" customHeight="1">
      <c r="A25" s="104"/>
      <c r="B25" s="241"/>
      <c r="C25" s="392"/>
      <c r="D25" s="392"/>
      <c r="E25" s="1086"/>
      <c r="F25" s="392"/>
      <c r="G25" s="105"/>
    </row>
    <row r="26" spans="1:7" s="42" customFormat="1" ht="12" customHeight="1">
      <c r="A26" s="104"/>
      <c r="B26" s="709"/>
      <c r="C26" s="407" t="s">
        <v>1030</v>
      </c>
      <c r="D26" s="392"/>
      <c r="E26" s="392" t="s">
        <v>3949</v>
      </c>
      <c r="F26" s="392"/>
      <c r="G26" s="1084" t="s">
        <v>2311</v>
      </c>
    </row>
    <row r="27" spans="1:7" s="42" customFormat="1" ht="12" customHeight="1">
      <c r="A27" s="104"/>
      <c r="B27" s="392"/>
      <c r="C27" s="392"/>
      <c r="D27" s="392"/>
      <c r="E27" s="1086" t="s">
        <v>3588</v>
      </c>
      <c r="F27" s="392"/>
      <c r="G27" s="1084" t="s">
        <v>2311</v>
      </c>
    </row>
    <row r="28" spans="1:7" s="42" customFormat="1" ht="12" customHeight="1">
      <c r="A28" s="104"/>
      <c r="B28" s="392"/>
      <c r="C28" s="418"/>
      <c r="D28" s="392"/>
      <c r="E28" s="1086" t="s">
        <v>2297</v>
      </c>
      <c r="F28" s="392"/>
      <c r="G28" s="1084" t="s">
        <v>2311</v>
      </c>
    </row>
    <row r="29" spans="1:7" s="42" customFormat="1" ht="12" customHeight="1">
      <c r="A29" s="104"/>
      <c r="B29" s="392"/>
      <c r="C29" s="392"/>
      <c r="D29" s="392"/>
      <c r="E29" s="1086" t="s">
        <v>2513</v>
      </c>
      <c r="F29" s="392"/>
      <c r="G29" s="1084" t="s">
        <v>2311</v>
      </c>
    </row>
    <row r="30" spans="1:7" s="42" customFormat="1" ht="12" customHeight="1">
      <c r="A30" s="104"/>
      <c r="B30" s="392"/>
      <c r="C30" s="392"/>
      <c r="D30" s="392"/>
      <c r="E30" s="1086" t="s">
        <v>2984</v>
      </c>
      <c r="F30" s="392"/>
      <c r="G30" s="1084" t="s">
        <v>2311</v>
      </c>
    </row>
    <row r="31" spans="1:7" s="42" customFormat="1" ht="12" customHeight="1">
      <c r="A31" s="104"/>
      <c r="B31" s="392"/>
      <c r="C31" s="392"/>
      <c r="D31" s="392"/>
      <c r="E31" s="1086" t="s">
        <v>2867</v>
      </c>
      <c r="F31" s="392"/>
      <c r="G31" s="1084" t="s">
        <v>2311</v>
      </c>
    </row>
    <row r="32" spans="1:7" s="42" customFormat="1" ht="12" customHeight="1">
      <c r="A32" s="104"/>
      <c r="B32" s="392"/>
      <c r="C32" s="392"/>
      <c r="D32" s="392"/>
      <c r="E32" s="1086" t="s">
        <v>2868</v>
      </c>
      <c r="F32" s="392"/>
      <c r="G32" s="1084" t="s">
        <v>2311</v>
      </c>
    </row>
    <row r="33" spans="1:7" s="42" customFormat="1" ht="3" customHeight="1">
      <c r="A33" s="104"/>
      <c r="B33" s="392"/>
      <c r="C33" s="392"/>
      <c r="D33" s="392"/>
      <c r="E33" s="1086"/>
      <c r="F33" s="392"/>
      <c r="G33" s="105"/>
    </row>
    <row r="34" spans="1:7" s="42" customFormat="1" ht="12" customHeight="1">
      <c r="A34" s="100"/>
      <c r="B34" s="394"/>
      <c r="C34" s="394" t="s">
        <v>1011</v>
      </c>
      <c r="D34" s="394"/>
      <c r="E34" s="396" t="s">
        <v>3778</v>
      </c>
      <c r="F34" s="395"/>
      <c r="G34" s="1084" t="s">
        <v>2311</v>
      </c>
    </row>
    <row r="35" spans="1:7" s="42" customFormat="1" ht="12" customHeight="1">
      <c r="A35" s="100"/>
      <c r="B35" s="394"/>
      <c r="C35" s="394"/>
      <c r="D35" s="394"/>
      <c r="E35" s="396" t="s">
        <v>3779</v>
      </c>
      <c r="F35" s="395"/>
      <c r="G35" s="1084" t="s">
        <v>2311</v>
      </c>
    </row>
    <row r="36" spans="1:7" s="42" customFormat="1" ht="12" customHeight="1">
      <c r="A36" s="100"/>
      <c r="B36" s="394"/>
      <c r="C36" s="394"/>
      <c r="D36" s="394"/>
      <c r="E36" s="396" t="s">
        <v>414</v>
      </c>
      <c r="F36" s="395"/>
      <c r="G36" s="1084" t="s">
        <v>2311</v>
      </c>
    </row>
    <row r="37" spans="1:7" s="42" customFormat="1" ht="12" customHeight="1">
      <c r="A37" s="100"/>
      <c r="B37" s="394"/>
      <c r="C37" s="394"/>
      <c r="D37" s="394"/>
      <c r="E37" s="396" t="s">
        <v>3602</v>
      </c>
      <c r="F37" s="395"/>
      <c r="G37" s="1084" t="s">
        <v>2311</v>
      </c>
    </row>
    <row r="38" spans="1:7" s="42" customFormat="1" ht="12" customHeight="1">
      <c r="A38" s="104"/>
      <c r="B38" s="241"/>
      <c r="C38" s="392"/>
      <c r="D38" s="392"/>
      <c r="E38" s="396" t="s">
        <v>3495</v>
      </c>
      <c r="F38" s="392"/>
      <c r="G38" s="1084" t="s">
        <v>2311</v>
      </c>
    </row>
    <row r="39" spans="1:7" s="42" customFormat="1" ht="12" customHeight="1">
      <c r="A39" s="104"/>
      <c r="B39" s="241"/>
      <c r="C39" s="392"/>
      <c r="D39" s="392"/>
      <c r="E39" s="396" t="s">
        <v>3992</v>
      </c>
      <c r="F39" s="392"/>
      <c r="G39" s="1084" t="s">
        <v>2311</v>
      </c>
    </row>
    <row r="40" spans="1:7" s="42" customFormat="1" ht="12" customHeight="1">
      <c r="A40" s="100"/>
      <c r="B40" s="394"/>
      <c r="C40" s="394"/>
      <c r="D40" s="394"/>
      <c r="E40" s="396" t="s">
        <v>1886</v>
      </c>
      <c r="F40" s="395"/>
      <c r="G40" s="1084" t="s">
        <v>2311</v>
      </c>
    </row>
    <row r="41" spans="1:7" s="42" customFormat="1" ht="12" customHeight="1">
      <c r="A41" s="100"/>
      <c r="B41" s="394"/>
      <c r="C41" s="394"/>
      <c r="D41" s="394"/>
      <c r="E41" s="396" t="s">
        <v>1885</v>
      </c>
      <c r="F41" s="395"/>
      <c r="G41" s="1084" t="s">
        <v>2311</v>
      </c>
    </row>
    <row r="42" spans="1:7" s="42" customFormat="1" ht="6" customHeight="1">
      <c r="A42" s="100"/>
      <c r="B42" s="394"/>
      <c r="C42" s="394"/>
      <c r="D42" s="394"/>
      <c r="E42" s="396"/>
      <c r="F42" s="395"/>
      <c r="G42" s="312"/>
    </row>
    <row r="43" spans="1:7" s="42" customFormat="1" ht="12" customHeight="1">
      <c r="A43" s="387">
        <v>3</v>
      </c>
      <c r="B43" s="408" t="s">
        <v>3523</v>
      </c>
      <c r="C43" s="392"/>
      <c r="D43" s="392"/>
      <c r="E43" s="396" t="s">
        <v>179</v>
      </c>
      <c r="F43" s="392"/>
      <c r="G43" s="1084" t="s">
        <v>3834</v>
      </c>
    </row>
    <row r="44" spans="1:7" s="42" customFormat="1" ht="12" customHeight="1">
      <c r="A44" s="104"/>
      <c r="B44" s="241"/>
      <c r="C44" s="709"/>
      <c r="D44" s="392"/>
      <c r="E44" s="396" t="s">
        <v>3524</v>
      </c>
      <c r="F44" s="392"/>
      <c r="G44" s="1084" t="s">
        <v>3834</v>
      </c>
    </row>
    <row r="45" spans="1:7" s="42" customFormat="1" ht="12" customHeight="1">
      <c r="A45" s="104"/>
      <c r="B45" s="241"/>
      <c r="C45" s="709"/>
      <c r="D45" s="392"/>
      <c r="E45" s="392" t="s">
        <v>3529</v>
      </c>
      <c r="F45" s="392"/>
      <c r="G45" s="1084" t="s">
        <v>2311</v>
      </c>
    </row>
    <row r="46" spans="1:7" s="42" customFormat="1" ht="12" customHeight="1">
      <c r="A46" s="104"/>
      <c r="B46" s="241"/>
      <c r="C46" s="392"/>
      <c r="D46" s="392"/>
      <c r="E46" s="392" t="s">
        <v>3530</v>
      </c>
      <c r="F46" s="392"/>
      <c r="G46" s="1084" t="s">
        <v>2311</v>
      </c>
    </row>
    <row r="47" spans="1:7" s="42" customFormat="1" ht="24.4" customHeight="1">
      <c r="A47" s="104"/>
      <c r="B47" s="241"/>
      <c r="C47" s="392"/>
      <c r="D47" s="392"/>
      <c r="E47" s="771" t="s">
        <v>3947</v>
      </c>
      <c r="F47" s="772"/>
      <c r="G47" s="1084" t="s">
        <v>2311</v>
      </c>
    </row>
    <row r="48" spans="1:7" s="42" customFormat="1" ht="12" customHeight="1">
      <c r="A48" s="104"/>
      <c r="B48" s="241"/>
      <c r="C48" s="392"/>
      <c r="D48" s="392"/>
      <c r="E48" s="392" t="s">
        <v>3577</v>
      </c>
      <c r="F48" s="396"/>
      <c r="G48" s="1084" t="s">
        <v>3834</v>
      </c>
    </row>
    <row r="49" spans="1:7" s="42" customFormat="1" ht="12" customHeight="1">
      <c r="A49" s="104"/>
      <c r="B49" s="241"/>
      <c r="C49" s="392"/>
      <c r="D49" s="392"/>
      <c r="E49" s="396" t="s">
        <v>3531</v>
      </c>
      <c r="F49" s="396"/>
      <c r="G49" s="1084" t="s">
        <v>3834</v>
      </c>
    </row>
    <row r="50" spans="1:7" s="42" customFormat="1" ht="12" customHeight="1">
      <c r="A50" s="107"/>
      <c r="B50" s="241"/>
      <c r="C50" s="392"/>
      <c r="D50" s="392"/>
      <c r="E50" s="752" t="s">
        <v>607</v>
      </c>
      <c r="F50" s="753"/>
      <c r="G50" s="1084" t="s">
        <v>3834</v>
      </c>
    </row>
    <row r="51" spans="1:7" s="42" customFormat="1" ht="12" customHeight="1">
      <c r="A51" s="387">
        <v>4</v>
      </c>
      <c r="B51" s="1087" t="s">
        <v>1009</v>
      </c>
      <c r="C51" s="392"/>
      <c r="D51" s="392"/>
      <c r="E51" s="1086" t="s">
        <v>1425</v>
      </c>
      <c r="F51" s="392"/>
      <c r="G51" s="1084" t="s">
        <v>3834</v>
      </c>
    </row>
    <row r="52" spans="1:7" s="42" customFormat="1" ht="12" customHeight="1">
      <c r="A52" s="387"/>
      <c r="B52" s="1087"/>
      <c r="C52" s="392"/>
      <c r="D52" s="392"/>
      <c r="E52" s="1086" t="s">
        <v>3682</v>
      </c>
      <c r="F52" s="392"/>
      <c r="G52" s="1084" t="s">
        <v>139</v>
      </c>
    </row>
    <row r="53" spans="1:7" s="42" customFormat="1" ht="12.4" customHeight="1">
      <c r="A53" s="104"/>
      <c r="B53" s="392"/>
      <c r="C53" s="392"/>
      <c r="D53" s="1086"/>
      <c r="E53" s="397" t="s">
        <v>3591</v>
      </c>
      <c r="F53" s="396"/>
      <c r="G53" s="1084" t="s">
        <v>139</v>
      </c>
    </row>
    <row r="54" spans="1:7" s="42" customFormat="1" ht="12.4" customHeight="1">
      <c r="A54" s="104"/>
      <c r="B54" s="392"/>
      <c r="C54" s="392"/>
      <c r="D54" s="1086"/>
      <c r="E54" s="397" t="s">
        <v>3877</v>
      </c>
      <c r="F54" s="392"/>
      <c r="G54" s="1084" t="s">
        <v>139</v>
      </c>
    </row>
    <row r="55" spans="1:7" s="42" customFormat="1" ht="12" customHeight="1">
      <c r="A55" s="387"/>
      <c r="B55" s="1087"/>
      <c r="C55" s="392"/>
      <c r="D55" s="392"/>
      <c r="E55" s="1086" t="s">
        <v>2784</v>
      </c>
      <c r="F55" s="392"/>
      <c r="G55" s="1084" t="s">
        <v>139</v>
      </c>
    </row>
    <row r="56" spans="1:7" s="42" customFormat="1" ht="12" customHeight="1">
      <c r="A56" s="387"/>
      <c r="B56" s="1087"/>
      <c r="C56" s="392"/>
      <c r="D56" s="392"/>
      <c r="E56" s="1086" t="s">
        <v>3503</v>
      </c>
      <c r="F56" s="392"/>
      <c r="G56" s="1084" t="s">
        <v>139</v>
      </c>
    </row>
    <row r="57" spans="1:7" s="42" customFormat="1" ht="12" customHeight="1">
      <c r="A57" s="387"/>
      <c r="B57" s="1087"/>
      <c r="C57" s="392"/>
      <c r="D57" s="392"/>
      <c r="E57" s="1086" t="s">
        <v>2785</v>
      </c>
      <c r="F57" s="392"/>
      <c r="G57" s="1084" t="s">
        <v>139</v>
      </c>
    </row>
    <row r="58" spans="1:7" s="42" customFormat="1" ht="14.25" customHeight="1">
      <c r="A58" s="104"/>
      <c r="B58" s="409" t="s">
        <v>3683</v>
      </c>
      <c r="C58" s="410"/>
      <c r="D58" s="411"/>
      <c r="E58" s="397"/>
      <c r="F58" s="392"/>
      <c r="G58" s="313"/>
    </row>
    <row r="59" spans="1:7" s="42" customFormat="1" ht="12" customHeight="1">
      <c r="A59" s="387">
        <v>5</v>
      </c>
      <c r="B59" s="406" t="s">
        <v>3532</v>
      </c>
      <c r="C59" s="392"/>
      <c r="D59" s="392"/>
      <c r="E59" s="398" t="s">
        <v>2819</v>
      </c>
      <c r="F59" s="398"/>
      <c r="G59" s="1084" t="s">
        <v>3834</v>
      </c>
    </row>
    <row r="60" spans="1:7" s="42" customFormat="1" ht="12" customHeight="1">
      <c r="A60" s="387"/>
      <c r="B60" s="406"/>
      <c r="C60" s="392"/>
      <c r="D60" s="392"/>
      <c r="E60" s="398" t="s">
        <v>1846</v>
      </c>
      <c r="F60" s="398"/>
      <c r="G60" s="1084" t="s">
        <v>2311</v>
      </c>
    </row>
    <row r="61" spans="1:7" s="42" customFormat="1" ht="12" customHeight="1">
      <c r="A61" s="387"/>
      <c r="B61" s="406"/>
      <c r="C61" s="392"/>
      <c r="D61" s="392"/>
      <c r="E61" s="398" t="s">
        <v>1847</v>
      </c>
      <c r="F61" s="398"/>
      <c r="G61" s="1084" t="s">
        <v>2311</v>
      </c>
    </row>
    <row r="62" spans="1:7" s="42" customFormat="1" ht="12" customHeight="1">
      <c r="A62" s="387"/>
      <c r="B62" s="406"/>
      <c r="C62" s="392"/>
      <c r="D62" s="392"/>
      <c r="E62" s="398" t="s">
        <v>1762</v>
      </c>
      <c r="F62" s="398"/>
      <c r="G62" s="1084" t="s">
        <v>2311</v>
      </c>
    </row>
    <row r="63" spans="1:7" s="42" customFormat="1" ht="12" customHeight="1">
      <c r="A63" s="387"/>
      <c r="B63" s="406"/>
      <c r="C63" s="392"/>
      <c r="D63" s="392"/>
      <c r="E63" s="398" t="s">
        <v>2742</v>
      </c>
      <c r="F63" s="398"/>
      <c r="G63" s="1084" t="s">
        <v>2311</v>
      </c>
    </row>
    <row r="64" spans="1:7" s="42" customFormat="1" ht="12" customHeight="1">
      <c r="A64" s="104"/>
      <c r="B64" s="392"/>
      <c r="C64" s="392"/>
      <c r="D64" s="392"/>
      <c r="E64" s="1086" t="s">
        <v>1763</v>
      </c>
      <c r="F64" s="398"/>
      <c r="G64" s="1084" t="s">
        <v>2311</v>
      </c>
    </row>
    <row r="65" spans="1:7" s="42" customFormat="1" ht="12" customHeight="1">
      <c r="A65" s="104"/>
      <c r="B65" s="392"/>
      <c r="C65" s="392"/>
      <c r="D65" s="392"/>
      <c r="E65" s="1086" t="s">
        <v>2101</v>
      </c>
      <c r="F65" s="392"/>
      <c r="G65" s="1084" t="s">
        <v>3834</v>
      </c>
    </row>
    <row r="66" spans="1:7" s="42" customFormat="1" ht="12" customHeight="1">
      <c r="A66" s="104"/>
      <c r="B66" s="392"/>
      <c r="C66" s="418"/>
      <c r="D66" s="392"/>
      <c r="E66" s="766" t="s">
        <v>2102</v>
      </c>
      <c r="F66" s="767"/>
      <c r="G66" s="1084" t="s">
        <v>2311</v>
      </c>
    </row>
    <row r="67" spans="1:7" s="42" customFormat="1" ht="12" customHeight="1">
      <c r="A67" s="104"/>
      <c r="B67" s="392"/>
      <c r="C67" s="418"/>
      <c r="D67" s="392"/>
      <c r="E67" s="441" t="s">
        <v>2103</v>
      </c>
      <c r="F67" s="399"/>
      <c r="G67" s="1084" t="s">
        <v>2311</v>
      </c>
    </row>
    <row r="68" spans="1:7" s="42" customFormat="1" ht="12" customHeight="1">
      <c r="A68" s="104"/>
      <c r="B68" s="392"/>
      <c r="C68" s="392"/>
      <c r="D68" s="392"/>
      <c r="E68" s="1086" t="s">
        <v>1882</v>
      </c>
      <c r="F68" s="398"/>
      <c r="G68" s="1084" t="s">
        <v>2311</v>
      </c>
    </row>
    <row r="69" spans="1:7" s="42" customFormat="1" ht="12" customHeight="1">
      <c r="A69" s="104"/>
      <c r="B69" s="392"/>
      <c r="C69" s="392"/>
      <c r="D69" s="392"/>
      <c r="E69" s="1086" t="s">
        <v>2104</v>
      </c>
      <c r="F69" s="398"/>
      <c r="G69" s="1084" t="s">
        <v>2311</v>
      </c>
    </row>
    <row r="70" spans="1:7" s="42" customFormat="1" ht="12" customHeight="1">
      <c r="A70" s="104"/>
      <c r="B70" s="392"/>
      <c r="C70" s="392"/>
      <c r="D70" s="392"/>
      <c r="E70" s="398" t="s">
        <v>2105</v>
      </c>
      <c r="F70" s="398"/>
      <c r="G70" s="1084" t="s">
        <v>2311</v>
      </c>
    </row>
    <row r="71" spans="1:7" s="42" customFormat="1" ht="12" customHeight="1">
      <c r="A71" s="104"/>
      <c r="B71" s="392"/>
      <c r="C71" s="392"/>
      <c r="D71" s="392"/>
      <c r="E71" s="398" t="s">
        <v>364</v>
      </c>
      <c r="F71" s="398"/>
      <c r="G71" s="1084" t="s">
        <v>2311</v>
      </c>
    </row>
    <row r="72" spans="1:7" s="42" customFormat="1" ht="12" customHeight="1">
      <c r="A72" s="104"/>
      <c r="B72" s="392"/>
      <c r="C72" s="392"/>
      <c r="D72" s="392"/>
      <c r="E72" s="398" t="s">
        <v>891</v>
      </c>
      <c r="F72" s="398"/>
      <c r="G72" s="1084" t="s">
        <v>2311</v>
      </c>
    </row>
    <row r="73" spans="1:7" s="42" customFormat="1" ht="12" customHeight="1">
      <c r="A73" s="104"/>
      <c r="B73" s="392"/>
      <c r="C73" s="413"/>
      <c r="D73" s="413"/>
      <c r="E73" s="396" t="s">
        <v>1884</v>
      </c>
      <c r="F73" s="400"/>
      <c r="G73" s="1084" t="s">
        <v>2311</v>
      </c>
    </row>
    <row r="74" spans="1:7" s="42" customFormat="1" ht="12" customHeight="1">
      <c r="A74" s="104"/>
      <c r="B74" s="392"/>
      <c r="C74" s="392"/>
      <c r="D74" s="392"/>
      <c r="E74" s="398" t="s">
        <v>3527</v>
      </c>
      <c r="F74" s="398"/>
      <c r="G74" s="1084" t="s">
        <v>2311</v>
      </c>
    </row>
    <row r="75" spans="1:7" s="42" customFormat="1" ht="6" customHeight="1">
      <c r="A75" s="104"/>
      <c r="B75" s="392"/>
      <c r="C75" s="392"/>
      <c r="D75" s="392"/>
      <c r="E75" s="1086"/>
      <c r="F75" s="398"/>
      <c r="G75" s="147"/>
    </row>
    <row r="76" spans="1:7" s="42" customFormat="1" ht="12" customHeight="1">
      <c r="A76" s="387">
        <v>6</v>
      </c>
      <c r="B76" s="412" t="s">
        <v>1010</v>
      </c>
      <c r="C76" s="241"/>
      <c r="D76" s="392"/>
      <c r="E76" s="392" t="s">
        <v>3501</v>
      </c>
      <c r="F76" s="392"/>
      <c r="G76" s="1084" t="s">
        <v>2311</v>
      </c>
    </row>
    <row r="77" spans="1:7" s="42" customFormat="1" ht="12" customHeight="1">
      <c r="A77" s="104"/>
      <c r="B77" s="392"/>
      <c r="C77" s="413"/>
      <c r="D77" s="413"/>
      <c r="E77" s="396" t="s">
        <v>3948</v>
      </c>
      <c r="F77" s="400"/>
      <c r="G77" s="1084" t="s">
        <v>2311</v>
      </c>
    </row>
    <row r="78" spans="1:7" s="42" customFormat="1" ht="12" customHeight="1">
      <c r="A78" s="104"/>
      <c r="B78" s="392"/>
      <c r="C78" s="413"/>
      <c r="D78" s="413"/>
      <c r="E78" s="396" t="s">
        <v>4061</v>
      </c>
      <c r="F78" s="400"/>
      <c r="G78" s="1084" t="s">
        <v>2311</v>
      </c>
    </row>
    <row r="79" spans="1:7" s="42" customFormat="1" ht="12" customHeight="1">
      <c r="A79" s="104"/>
      <c r="B79" s="392"/>
      <c r="C79" s="392"/>
      <c r="D79" s="392"/>
      <c r="E79" s="392" t="s">
        <v>4062</v>
      </c>
      <c r="F79" s="392"/>
      <c r="G79" s="1084" t="s">
        <v>2311</v>
      </c>
    </row>
    <row r="80" spans="1:7" s="42" customFormat="1" ht="6" customHeight="1">
      <c r="A80" s="100"/>
      <c r="B80" s="394"/>
      <c r="C80" s="394"/>
      <c r="D80" s="394"/>
      <c r="E80" s="394"/>
      <c r="F80" s="395"/>
      <c r="G80" s="312"/>
    </row>
    <row r="81" spans="1:7" s="42" customFormat="1" ht="12" customHeight="1">
      <c r="A81" s="387">
        <v>7</v>
      </c>
      <c r="B81" s="408" t="s">
        <v>2832</v>
      </c>
      <c r="C81" s="241"/>
      <c r="D81" s="392"/>
      <c r="E81" s="398" t="s">
        <v>1437</v>
      </c>
      <c r="F81" s="398"/>
      <c r="G81" s="1084" t="s">
        <v>3834</v>
      </c>
    </row>
    <row r="82" spans="1:7" s="42" customFormat="1" ht="6" customHeight="1">
      <c r="A82" s="104"/>
      <c r="B82" s="241"/>
      <c r="C82" s="709"/>
      <c r="D82" s="392"/>
      <c r="E82" s="398"/>
      <c r="F82" s="398"/>
      <c r="G82" s="147"/>
    </row>
    <row r="83" spans="1:7" s="42" customFormat="1" ht="12" customHeight="1">
      <c r="A83" s="387">
        <v>8</v>
      </c>
      <c r="B83" s="408" t="s">
        <v>3612</v>
      </c>
      <c r="C83" s="241"/>
      <c r="D83" s="392"/>
      <c r="E83" s="398" t="s">
        <v>1883</v>
      </c>
      <c r="F83" s="398"/>
      <c r="G83" s="1084" t="s">
        <v>3834</v>
      </c>
    </row>
    <row r="84" spans="1:7" s="42" customFormat="1" ht="12" customHeight="1">
      <c r="A84" s="104"/>
      <c r="B84" s="241"/>
      <c r="C84" s="709"/>
      <c r="D84" s="392"/>
      <c r="E84" s="398" t="s">
        <v>3990</v>
      </c>
      <c r="F84" s="398"/>
      <c r="G84" s="1084" t="s">
        <v>139</v>
      </c>
    </row>
    <row r="85" spans="1:7" s="42" customFormat="1" ht="6" customHeight="1">
      <c r="A85" s="104"/>
      <c r="B85" s="709"/>
      <c r="C85" s="392"/>
      <c r="D85" s="392"/>
      <c r="E85" s="1086"/>
      <c r="F85" s="398"/>
      <c r="G85" s="314"/>
    </row>
    <row r="86" spans="1:7" s="42" customFormat="1" ht="12" customHeight="1">
      <c r="A86" s="387">
        <v>9</v>
      </c>
      <c r="B86" s="406" t="s">
        <v>3814</v>
      </c>
      <c r="C86" s="241"/>
      <c r="D86" s="392"/>
      <c r="E86" s="1086" t="s">
        <v>4059</v>
      </c>
      <c r="F86" s="398"/>
      <c r="G86" s="1084" t="s">
        <v>3834</v>
      </c>
    </row>
    <row r="87" spans="1:7" s="42" customFormat="1" ht="6" customHeight="1">
      <c r="A87" s="100"/>
      <c r="B87" s="394"/>
      <c r="C87" s="241"/>
      <c r="D87" s="394"/>
      <c r="E87" s="394"/>
      <c r="F87" s="395"/>
      <c r="G87" s="312"/>
    </row>
    <row r="88" spans="1:7" s="42" customFormat="1" ht="13.9" customHeight="1">
      <c r="A88" s="387">
        <v>10</v>
      </c>
      <c r="B88" s="406" t="s">
        <v>988</v>
      </c>
      <c r="C88" s="241"/>
      <c r="D88" s="392"/>
      <c r="E88" s="392" t="s">
        <v>345</v>
      </c>
      <c r="F88" s="392"/>
      <c r="G88" s="1084" t="s">
        <v>2311</v>
      </c>
    </row>
    <row r="89" spans="1:7" s="42" customFormat="1" ht="6" customHeight="1">
      <c r="A89" s="100"/>
      <c r="B89" s="394"/>
      <c r="C89" s="241"/>
      <c r="D89" s="394"/>
      <c r="E89" s="394"/>
      <c r="F89" s="395"/>
      <c r="G89" s="312"/>
    </row>
    <row r="90" spans="1:7" s="42" customFormat="1" ht="12" customHeight="1">
      <c r="A90" s="387">
        <v>11</v>
      </c>
      <c r="B90" s="406" t="s">
        <v>706</v>
      </c>
      <c r="C90" s="241"/>
      <c r="D90" s="392"/>
      <c r="E90" s="773" t="s">
        <v>3972</v>
      </c>
      <c r="F90" s="1088"/>
      <c r="G90" s="1084" t="s">
        <v>3834</v>
      </c>
    </row>
    <row r="91" spans="1:7" s="42" customFormat="1" ht="12" customHeight="1">
      <c r="A91" s="107"/>
      <c r="B91" s="392"/>
      <c r="C91" s="391"/>
      <c r="D91" s="1086"/>
      <c r="E91" s="392" t="s">
        <v>344</v>
      </c>
      <c r="F91" s="392"/>
      <c r="G91" s="1084" t="s">
        <v>2311</v>
      </c>
    </row>
    <row r="92" spans="1:7" s="42" customFormat="1" ht="12" customHeight="1">
      <c r="A92" s="387">
        <v>12</v>
      </c>
      <c r="B92" s="406" t="s">
        <v>1743</v>
      </c>
      <c r="C92" s="241"/>
      <c r="D92" s="392"/>
      <c r="E92" s="396" t="s">
        <v>3340</v>
      </c>
      <c r="F92" s="398"/>
      <c r="G92" s="1084" t="s">
        <v>3834</v>
      </c>
    </row>
    <row r="93" spans="1:7" s="42" customFormat="1" ht="12" customHeight="1">
      <c r="A93" s="104"/>
      <c r="B93" s="396"/>
      <c r="C93" s="241"/>
      <c r="D93" s="396"/>
      <c r="E93" s="396" t="s">
        <v>889</v>
      </c>
      <c r="F93" s="402"/>
      <c r="G93" s="1084" t="s">
        <v>3834</v>
      </c>
    </row>
    <row r="94" spans="1:7" s="42" customFormat="1" ht="12" customHeight="1">
      <c r="A94" s="104"/>
      <c r="B94" s="392"/>
      <c r="C94" s="241"/>
      <c r="D94" s="392"/>
      <c r="E94" s="396" t="s">
        <v>3887</v>
      </c>
      <c r="F94" s="398"/>
      <c r="G94" s="1084" t="s">
        <v>3834</v>
      </c>
    </row>
    <row r="95" spans="1:7" s="42" customFormat="1" ht="6" customHeight="1">
      <c r="A95" s="100"/>
      <c r="B95" s="394"/>
      <c r="C95" s="394"/>
      <c r="D95" s="394"/>
      <c r="E95" s="394"/>
      <c r="F95" s="395"/>
      <c r="G95" s="229"/>
    </row>
    <row r="96" spans="1:7" s="42" customFormat="1" ht="12" customHeight="1">
      <c r="A96" s="387">
        <v>13</v>
      </c>
      <c r="B96" s="406" t="s">
        <v>833</v>
      </c>
      <c r="C96" s="241"/>
      <c r="D96" s="396"/>
      <c r="E96" s="392" t="s">
        <v>879</v>
      </c>
      <c r="F96" s="392"/>
      <c r="G96" s="1084" t="s">
        <v>3834</v>
      </c>
    </row>
    <row r="97" spans="1:7" s="42" customFormat="1" ht="12" customHeight="1">
      <c r="A97" s="104"/>
      <c r="B97" s="241"/>
      <c r="C97" s="241"/>
      <c r="D97" s="392"/>
      <c r="E97" s="392" t="s">
        <v>3535</v>
      </c>
      <c r="F97" s="392"/>
      <c r="G97" s="1084" t="s">
        <v>2311</v>
      </c>
    </row>
    <row r="98" spans="1:7" s="42" customFormat="1" ht="12" customHeight="1">
      <c r="A98" s="104"/>
      <c r="B98" s="392"/>
      <c r="C98" s="241"/>
      <c r="D98" s="392"/>
      <c r="E98" s="392" t="s">
        <v>3371</v>
      </c>
      <c r="F98" s="392"/>
      <c r="G98" s="1084" t="s">
        <v>2311</v>
      </c>
    </row>
    <row r="99" spans="1:7" s="42" customFormat="1" ht="12" customHeight="1">
      <c r="A99" s="104"/>
      <c r="B99" s="391"/>
      <c r="C99" s="241"/>
      <c r="D99" s="392"/>
      <c r="E99" s="396" t="s">
        <v>3378</v>
      </c>
      <c r="F99" s="402"/>
      <c r="G99" s="1084" t="s">
        <v>2</v>
      </c>
    </row>
    <row r="100" spans="1:7" s="42" customFormat="1" ht="6" customHeight="1">
      <c r="A100" s="100"/>
      <c r="B100" s="394"/>
      <c r="C100" s="241"/>
      <c r="D100" s="394"/>
      <c r="E100" s="394"/>
      <c r="F100" s="395"/>
      <c r="G100" s="312"/>
    </row>
    <row r="101" spans="1:7" s="42" customFormat="1" ht="25.15" customHeight="1">
      <c r="A101" s="387">
        <v>14</v>
      </c>
      <c r="B101" s="414" t="s">
        <v>581</v>
      </c>
      <c r="C101" s="241"/>
      <c r="D101" s="396"/>
      <c r="E101" s="752" t="s">
        <v>78</v>
      </c>
      <c r="F101" s="752"/>
      <c r="G101" s="1084" t="s">
        <v>3834</v>
      </c>
    </row>
    <row r="102" spans="1:7" s="42" customFormat="1" ht="12" customHeight="1">
      <c r="A102" s="104"/>
      <c r="B102" s="391"/>
      <c r="C102" s="241"/>
      <c r="D102" s="396"/>
      <c r="E102" s="752" t="s">
        <v>985</v>
      </c>
      <c r="F102" s="753"/>
      <c r="G102" s="1084" t="s">
        <v>3834</v>
      </c>
    </row>
    <row r="103" spans="1:7" s="42" customFormat="1" ht="6" customHeight="1">
      <c r="A103" s="100"/>
      <c r="B103" s="394"/>
      <c r="C103" s="241"/>
      <c r="D103" s="394"/>
      <c r="E103" s="394"/>
      <c r="F103" s="395"/>
      <c r="G103" s="312"/>
    </row>
    <row r="104" spans="1:7" s="42" customFormat="1" ht="12" customHeight="1">
      <c r="A104" s="387">
        <v>15</v>
      </c>
      <c r="B104" s="406" t="s">
        <v>2786</v>
      </c>
      <c r="C104" s="241"/>
      <c r="D104" s="392"/>
      <c r="E104" s="396" t="s">
        <v>3383</v>
      </c>
      <c r="F104" s="402"/>
      <c r="G104" s="1084" t="s">
        <v>2311</v>
      </c>
    </row>
    <row r="105" spans="1:7" s="42" customFormat="1" ht="12" customHeight="1">
      <c r="A105" s="104"/>
      <c r="B105" s="396"/>
      <c r="C105" s="241"/>
      <c r="D105" s="396"/>
      <c r="E105" s="397" t="s">
        <v>3878</v>
      </c>
      <c r="F105" s="392"/>
      <c r="G105" s="1084" t="s">
        <v>2311</v>
      </c>
    </row>
    <row r="106" spans="1:7" s="42" customFormat="1" ht="12" customHeight="1">
      <c r="A106" s="104"/>
      <c r="B106" s="392"/>
      <c r="C106" s="241"/>
      <c r="D106" s="1086"/>
      <c r="E106" s="392" t="s">
        <v>3502</v>
      </c>
      <c r="F106" s="392"/>
      <c r="G106" s="1084" t="s">
        <v>3834</v>
      </c>
    </row>
    <row r="107" spans="1:7" s="42" customFormat="1" ht="12" customHeight="1">
      <c r="A107" s="104"/>
      <c r="B107" s="391"/>
      <c r="C107" s="241"/>
      <c r="D107" s="392"/>
      <c r="E107" s="392" t="s">
        <v>1793</v>
      </c>
      <c r="F107" s="392"/>
      <c r="G107" s="1084" t="s">
        <v>3834</v>
      </c>
    </row>
    <row r="108" spans="1:7" s="42" customFormat="1" ht="12" customHeight="1">
      <c r="A108" s="104"/>
      <c r="B108" s="392"/>
      <c r="C108" s="241"/>
      <c r="D108" s="392"/>
      <c r="E108" s="396" t="s">
        <v>1794</v>
      </c>
      <c r="F108" s="402"/>
      <c r="G108" s="1084" t="s">
        <v>3834</v>
      </c>
    </row>
    <row r="109" spans="1:7" s="42" customFormat="1" ht="12" customHeight="1">
      <c r="A109" s="104"/>
      <c r="B109" s="396"/>
      <c r="C109" s="241"/>
      <c r="D109" s="396"/>
      <c r="E109" s="396" t="s">
        <v>987</v>
      </c>
      <c r="F109" s="402"/>
      <c r="G109" s="1084" t="s">
        <v>2311</v>
      </c>
    </row>
    <row r="110" spans="1:7" s="42" customFormat="1" ht="12" customHeight="1">
      <c r="A110" s="104"/>
      <c r="B110" s="396"/>
      <c r="C110" s="241"/>
      <c r="D110" s="396"/>
      <c r="E110" s="396" t="s">
        <v>3457</v>
      </c>
      <c r="F110" s="402"/>
      <c r="G110" s="1084" t="s">
        <v>2311</v>
      </c>
    </row>
    <row r="111" spans="1:7" s="42" customFormat="1" ht="6" customHeight="1">
      <c r="A111" s="100"/>
      <c r="B111" s="394"/>
      <c r="C111" s="394"/>
      <c r="D111" s="394"/>
      <c r="E111" s="394"/>
      <c r="F111" s="395"/>
      <c r="G111" s="312"/>
    </row>
    <row r="112" spans="1:7" ht="12" customHeight="1">
      <c r="A112" s="387">
        <v>16</v>
      </c>
      <c r="B112" s="750" t="s">
        <v>370</v>
      </c>
      <c r="C112" s="751"/>
      <c r="D112" s="751"/>
      <c r="E112" s="396" t="s">
        <v>2162</v>
      </c>
      <c r="F112" s="396"/>
      <c r="G112" s="1084" t="s">
        <v>3834</v>
      </c>
    </row>
    <row r="113" spans="1:7" s="42" customFormat="1" ht="12" customHeight="1">
      <c r="A113" s="104"/>
      <c r="B113" s="750"/>
      <c r="C113" s="751"/>
      <c r="D113" s="751"/>
      <c r="E113" s="396" t="s">
        <v>2163</v>
      </c>
      <c r="F113" s="396"/>
      <c r="G113" s="1084" t="s">
        <v>3834</v>
      </c>
    </row>
    <row r="114" spans="1:7" s="42" customFormat="1" ht="12" customHeight="1">
      <c r="A114" s="104"/>
      <c r="B114" s="750"/>
      <c r="C114" s="751"/>
      <c r="D114" s="751"/>
      <c r="E114" s="396" t="s">
        <v>2166</v>
      </c>
      <c r="F114" s="396"/>
      <c r="G114" s="1084" t="s">
        <v>139</v>
      </c>
    </row>
    <row r="115" spans="1:7" s="42" customFormat="1" ht="6" customHeight="1">
      <c r="A115" s="100"/>
      <c r="B115" s="394"/>
      <c r="C115" s="394"/>
      <c r="D115" s="394"/>
      <c r="E115" s="394"/>
      <c r="F115" s="395"/>
      <c r="G115" s="312"/>
    </row>
    <row r="116" spans="1:7" s="42" customFormat="1" ht="12" customHeight="1">
      <c r="A116" s="387">
        <v>17</v>
      </c>
      <c r="B116" s="406" t="s">
        <v>2164</v>
      </c>
      <c r="C116" s="241"/>
      <c r="D116" s="392"/>
      <c r="E116" s="392" t="s">
        <v>3653</v>
      </c>
      <c r="F116" s="398"/>
      <c r="G116" s="1084" t="s">
        <v>2311</v>
      </c>
    </row>
    <row r="117" spans="1:7" s="42" customFormat="1" ht="12" customHeight="1">
      <c r="A117" s="104"/>
      <c r="B117" s="602" t="s">
        <v>3128</v>
      </c>
      <c r="C117" s="241"/>
      <c r="D117" s="1089"/>
      <c r="E117" s="403" t="s">
        <v>3654</v>
      </c>
      <c r="F117" s="398"/>
      <c r="G117" s="1084" t="s">
        <v>2311</v>
      </c>
    </row>
    <row r="118" spans="1:7" s="42" customFormat="1" ht="6" customHeight="1">
      <c r="A118" s="100"/>
      <c r="B118" s="394"/>
      <c r="C118" s="394"/>
      <c r="D118" s="394"/>
      <c r="E118" s="394"/>
      <c r="F118" s="395"/>
      <c r="G118" s="311"/>
    </row>
    <row r="119" spans="1:7" s="42" customFormat="1" ht="12" customHeight="1">
      <c r="A119" s="387">
        <v>18</v>
      </c>
      <c r="B119" s="406" t="s">
        <v>3197</v>
      </c>
      <c r="C119" s="414"/>
      <c r="D119" s="396"/>
      <c r="E119" s="393" t="s">
        <v>3289</v>
      </c>
      <c r="F119" s="392"/>
      <c r="G119" s="1084" t="s">
        <v>3</v>
      </c>
    </row>
    <row r="120" spans="1:7" s="42" customFormat="1" ht="12" customHeight="1">
      <c r="A120" s="387"/>
      <c r="B120" s="602" t="s">
        <v>3324</v>
      </c>
      <c r="C120" s="406"/>
      <c r="D120" s="392"/>
      <c r="E120" s="393" t="s">
        <v>2641</v>
      </c>
      <c r="F120" s="392"/>
      <c r="G120" s="1084" t="s">
        <v>3834</v>
      </c>
    </row>
    <row r="121" spans="1:7" s="42" customFormat="1" ht="12" customHeight="1">
      <c r="A121" s="104"/>
      <c r="B121" s="241"/>
      <c r="C121" s="392"/>
      <c r="D121" s="392"/>
      <c r="E121" s="392" t="s">
        <v>3405</v>
      </c>
      <c r="F121" s="392"/>
      <c r="G121" s="1084" t="s">
        <v>3834</v>
      </c>
    </row>
    <row r="122" spans="1:7" s="42" customFormat="1" ht="12" customHeight="1">
      <c r="A122" s="104"/>
      <c r="B122" s="392"/>
      <c r="C122" s="392"/>
      <c r="D122" s="392"/>
      <c r="E122" s="392" t="s">
        <v>3888</v>
      </c>
      <c r="F122" s="392"/>
      <c r="G122" s="1084" t="s">
        <v>3834</v>
      </c>
    </row>
    <row r="123" spans="1:7" s="42" customFormat="1" ht="6" customHeight="1">
      <c r="A123" s="100"/>
      <c r="B123" s="394"/>
      <c r="C123" s="394"/>
      <c r="D123" s="394"/>
      <c r="E123" s="394"/>
      <c r="F123" s="395"/>
      <c r="G123" s="311"/>
    </row>
    <row r="124" spans="1:7" s="42" customFormat="1" ht="12.4" customHeight="1">
      <c r="A124" s="387">
        <v>19</v>
      </c>
      <c r="B124" s="414" t="s">
        <v>2746</v>
      </c>
      <c r="C124" s="1086"/>
      <c r="D124" s="1086"/>
      <c r="E124" s="396" t="s">
        <v>3628</v>
      </c>
      <c r="F124" s="396"/>
      <c r="G124" s="1084" t="s">
        <v>3834</v>
      </c>
    </row>
    <row r="125" spans="1:7" s="42" customFormat="1" ht="12" customHeight="1">
      <c r="A125" s="104"/>
      <c r="B125" s="396"/>
      <c r="C125" s="391"/>
      <c r="D125" s="396"/>
      <c r="E125" s="396" t="s">
        <v>867</v>
      </c>
      <c r="F125" s="396"/>
      <c r="G125" s="1084" t="s">
        <v>3834</v>
      </c>
    </row>
    <row r="126" spans="1:7" s="42" customFormat="1" ht="12" customHeight="1">
      <c r="A126" s="104"/>
      <c r="B126" s="396"/>
      <c r="C126" s="391"/>
      <c r="D126" s="396"/>
      <c r="E126" s="396" t="s">
        <v>3620</v>
      </c>
      <c r="F126" s="396"/>
      <c r="G126" s="1084" t="s">
        <v>2311</v>
      </c>
    </row>
    <row r="127" spans="1:7" s="42" customFormat="1" ht="12" customHeight="1">
      <c r="A127" s="104"/>
      <c r="B127" s="396"/>
      <c r="C127" s="415"/>
      <c r="D127" s="396"/>
      <c r="E127" s="396" t="s">
        <v>3621</v>
      </c>
      <c r="F127" s="396"/>
      <c r="G127" s="1084" t="s">
        <v>2311</v>
      </c>
    </row>
    <row r="128" spans="1:7" s="42" customFormat="1" ht="12" customHeight="1">
      <c r="A128" s="104"/>
      <c r="B128" s="396"/>
      <c r="C128" s="396"/>
      <c r="D128" s="416"/>
      <c r="E128" s="396" t="s">
        <v>3544</v>
      </c>
      <c r="F128" s="396"/>
      <c r="G128" s="1084" t="s">
        <v>2311</v>
      </c>
    </row>
    <row r="129" spans="1:7" s="42" customFormat="1" ht="12" customHeight="1">
      <c r="A129" s="104"/>
      <c r="B129" s="396"/>
      <c r="C129" s="396"/>
      <c r="D129" s="416"/>
      <c r="E129" s="396" t="s">
        <v>3545</v>
      </c>
      <c r="F129" s="396"/>
      <c r="G129" s="1084" t="s">
        <v>2311</v>
      </c>
    </row>
    <row r="130" spans="1:7" s="1090" customFormat="1" ht="12" customHeight="1">
      <c r="A130" s="104"/>
      <c r="B130" s="396"/>
      <c r="C130" s="396"/>
      <c r="D130" s="416"/>
      <c r="E130" s="396" t="s">
        <v>3631</v>
      </c>
      <c r="F130" s="396"/>
      <c r="G130" s="1084" t="s">
        <v>2311</v>
      </c>
    </row>
    <row r="131" spans="1:7" s="42" customFormat="1" ht="24.4" customHeight="1">
      <c r="A131" s="107"/>
      <c r="B131" s="396"/>
      <c r="C131" s="396"/>
      <c r="D131" s="396"/>
      <c r="E131" s="752" t="s">
        <v>3632</v>
      </c>
      <c r="F131" s="753"/>
      <c r="G131" s="1084" t="s">
        <v>2311</v>
      </c>
    </row>
    <row r="132" spans="1:7" s="42" customFormat="1" ht="12.4" customHeight="1">
      <c r="A132" s="387">
        <v>20</v>
      </c>
      <c r="B132" s="414" t="s">
        <v>974</v>
      </c>
      <c r="C132" s="1086"/>
      <c r="D132" s="1086"/>
      <c r="E132" s="396" t="s">
        <v>608</v>
      </c>
      <c r="F132" s="396"/>
      <c r="G132" s="1084" t="s">
        <v>3834</v>
      </c>
    </row>
    <row r="133" spans="1:7" s="42" customFormat="1" ht="12" customHeight="1">
      <c r="A133" s="104"/>
      <c r="B133" s="396"/>
      <c r="C133" s="391"/>
      <c r="D133" s="396"/>
      <c r="E133" s="396" t="s">
        <v>3788</v>
      </c>
      <c r="F133" s="396"/>
      <c r="G133" s="1084" t="s">
        <v>3834</v>
      </c>
    </row>
    <row r="134" spans="1:7" s="42" customFormat="1" ht="12" customHeight="1">
      <c r="A134" s="104"/>
      <c r="B134" s="396"/>
      <c r="C134" s="415"/>
      <c r="D134" s="396"/>
      <c r="E134" s="396" t="s">
        <v>775</v>
      </c>
      <c r="F134" s="396"/>
      <c r="G134" s="1084" t="s">
        <v>3834</v>
      </c>
    </row>
    <row r="135" spans="1:7" s="42" customFormat="1" ht="12" customHeight="1">
      <c r="A135" s="104"/>
      <c r="B135" s="396"/>
      <c r="C135" s="396"/>
      <c r="D135" s="416"/>
      <c r="E135" s="396" t="s">
        <v>776</v>
      </c>
      <c r="F135" s="396"/>
      <c r="G135" s="1084" t="s">
        <v>3834</v>
      </c>
    </row>
    <row r="136" spans="1:7" s="42" customFormat="1" ht="12" customHeight="1">
      <c r="A136" s="104"/>
      <c r="B136" s="396"/>
      <c r="C136" s="396"/>
      <c r="D136" s="416"/>
      <c r="E136" s="396" t="s">
        <v>1083</v>
      </c>
      <c r="F136" s="396"/>
      <c r="G136" s="1084" t="s">
        <v>3834</v>
      </c>
    </row>
    <row r="137" spans="1:7" s="1090" customFormat="1" ht="12" customHeight="1">
      <c r="A137" s="104"/>
      <c r="B137" s="396"/>
      <c r="C137" s="396"/>
      <c r="D137" s="416"/>
      <c r="E137" s="396" t="s">
        <v>2710</v>
      </c>
      <c r="F137" s="396"/>
      <c r="G137" s="1084" t="s">
        <v>3834</v>
      </c>
    </row>
    <row r="138" spans="1:7" s="42" customFormat="1" ht="12" customHeight="1">
      <c r="A138" s="104"/>
      <c r="B138" s="396"/>
      <c r="C138" s="396"/>
      <c r="D138" s="396"/>
      <c r="E138" s="709" t="s">
        <v>3675</v>
      </c>
      <c r="F138" s="402"/>
      <c r="G138" s="1084" t="s">
        <v>3834</v>
      </c>
    </row>
    <row r="139" spans="1:7" s="42" customFormat="1" ht="6" customHeight="1">
      <c r="A139" s="100"/>
      <c r="B139" s="394"/>
      <c r="C139" s="394"/>
      <c r="D139" s="394"/>
      <c r="E139" s="394"/>
      <c r="F139" s="395"/>
      <c r="G139" s="312"/>
    </row>
    <row r="140" spans="1:7" ht="11.65" customHeight="1">
      <c r="A140" s="387">
        <v>21</v>
      </c>
      <c r="B140" s="414" t="s">
        <v>2643</v>
      </c>
      <c r="C140" s="1086"/>
      <c r="D140" s="1086"/>
      <c r="E140" s="396" t="s">
        <v>3282</v>
      </c>
      <c r="F140" s="396"/>
      <c r="G140" s="1084" t="s">
        <v>2311</v>
      </c>
    </row>
    <row r="141" spans="1:7" s="42" customFormat="1" ht="11.65" customHeight="1">
      <c r="A141" s="104"/>
      <c r="B141" s="241"/>
      <c r="C141" s="241"/>
      <c r="D141" s="396"/>
      <c r="E141" s="396" t="s">
        <v>2962</v>
      </c>
      <c r="F141" s="396"/>
      <c r="G141" s="1084" t="s">
        <v>2311</v>
      </c>
    </row>
    <row r="142" spans="1:7" s="42" customFormat="1" ht="11.65" customHeight="1">
      <c r="A142" s="104"/>
      <c r="B142" s="396"/>
      <c r="C142" s="396"/>
      <c r="D142" s="396"/>
      <c r="E142" s="396" t="s">
        <v>3125</v>
      </c>
      <c r="F142" s="396"/>
      <c r="G142" s="1084" t="s">
        <v>2311</v>
      </c>
    </row>
    <row r="143" spans="1:7" s="42" customFormat="1" ht="11.65" customHeight="1">
      <c r="A143" s="104"/>
      <c r="B143" s="396"/>
      <c r="C143" s="396"/>
      <c r="D143" s="396"/>
      <c r="E143" s="396" t="s">
        <v>2171</v>
      </c>
      <c r="F143" s="396"/>
      <c r="G143" s="1084" t="s">
        <v>2311</v>
      </c>
    </row>
    <row r="144" spans="1:7" s="42" customFormat="1" ht="11.65" customHeight="1">
      <c r="A144" s="104"/>
      <c r="B144" s="396"/>
      <c r="C144" s="396"/>
      <c r="D144" s="396"/>
      <c r="E144" s="396" t="s">
        <v>2165</v>
      </c>
      <c r="F144" s="396"/>
      <c r="G144" s="1084" t="s">
        <v>2311</v>
      </c>
    </row>
    <row r="145" spans="1:7" s="42" customFormat="1" ht="5.65" customHeight="1">
      <c r="A145" s="100"/>
      <c r="B145" s="394"/>
      <c r="C145" s="394"/>
      <c r="D145" s="394"/>
      <c r="E145" s="394"/>
      <c r="F145" s="395"/>
      <c r="G145" s="312"/>
    </row>
    <row r="146" spans="1:7" s="42" customFormat="1" ht="12" customHeight="1">
      <c r="A146" s="387">
        <v>22</v>
      </c>
      <c r="B146" s="414" t="s">
        <v>523</v>
      </c>
      <c r="C146" s="1086"/>
      <c r="D146" s="1086"/>
      <c r="E146" s="396" t="s">
        <v>2565</v>
      </c>
      <c r="F146" s="392"/>
      <c r="G146" s="1084" t="s">
        <v>2311</v>
      </c>
    </row>
    <row r="147" spans="1:7" s="42" customFormat="1" ht="12" customHeight="1">
      <c r="A147" s="104"/>
      <c r="B147" s="241"/>
      <c r="C147" s="241"/>
      <c r="D147" s="241"/>
      <c r="E147" s="396" t="s">
        <v>3515</v>
      </c>
      <c r="F147" s="392"/>
      <c r="G147" s="1084" t="s">
        <v>2311</v>
      </c>
    </row>
    <row r="148" spans="1:7" s="42" customFormat="1" ht="12" customHeight="1">
      <c r="A148" s="104"/>
      <c r="B148" s="241"/>
      <c r="C148" s="241"/>
      <c r="D148" s="241"/>
      <c r="E148" s="396" t="s">
        <v>3359</v>
      </c>
      <c r="F148" s="392"/>
      <c r="G148" s="1084" t="s">
        <v>2311</v>
      </c>
    </row>
    <row r="149" spans="1:7" s="42" customFormat="1" ht="12" customHeight="1">
      <c r="A149" s="104"/>
      <c r="B149" s="241"/>
      <c r="C149" s="396"/>
      <c r="D149" s="396"/>
      <c r="E149" s="396" t="s">
        <v>2566</v>
      </c>
      <c r="F149" s="392"/>
      <c r="G149" s="1084" t="s">
        <v>2311</v>
      </c>
    </row>
    <row r="150" spans="1:7" s="42" customFormat="1" ht="12" customHeight="1">
      <c r="A150" s="104"/>
      <c r="B150" s="396"/>
      <c r="C150" s="396"/>
      <c r="D150" s="396"/>
      <c r="E150" s="396" t="s">
        <v>2348</v>
      </c>
      <c r="F150" s="392"/>
      <c r="G150" s="1084" t="s">
        <v>2311</v>
      </c>
    </row>
    <row r="151" spans="1:7" s="42" customFormat="1" ht="12" customHeight="1">
      <c r="A151" s="104"/>
      <c r="B151" s="396"/>
      <c r="C151" s="396"/>
      <c r="D151" s="396"/>
      <c r="E151" s="396" t="s">
        <v>3437</v>
      </c>
      <c r="F151" s="392"/>
      <c r="G151" s="1084" t="s">
        <v>2311</v>
      </c>
    </row>
    <row r="152" spans="1:7" s="42" customFormat="1" ht="12" customHeight="1">
      <c r="A152" s="104"/>
      <c r="B152" s="396"/>
      <c r="C152" s="396"/>
      <c r="D152" s="396"/>
      <c r="E152" s="396" t="s">
        <v>3438</v>
      </c>
      <c r="F152" s="392"/>
      <c r="G152" s="1084" t="s">
        <v>2311</v>
      </c>
    </row>
    <row r="153" spans="1:7" s="42" customFormat="1" ht="12" customHeight="1">
      <c r="A153" s="104"/>
      <c r="B153" s="396"/>
      <c r="C153" s="396"/>
      <c r="D153" s="396"/>
      <c r="E153" s="396" t="s">
        <v>2439</v>
      </c>
      <c r="F153" s="392"/>
      <c r="G153" s="1084" t="s">
        <v>2311</v>
      </c>
    </row>
    <row r="154" spans="1:7" s="42" customFormat="1" ht="12" customHeight="1">
      <c r="A154" s="104"/>
      <c r="B154" s="709"/>
      <c r="C154" s="415"/>
      <c r="D154" s="396"/>
      <c r="E154" s="397" t="s">
        <v>2872</v>
      </c>
      <c r="F154" s="392"/>
      <c r="G154" s="1084" t="s">
        <v>2311</v>
      </c>
    </row>
    <row r="155" spans="1:7" s="42" customFormat="1" ht="5.65" customHeight="1">
      <c r="A155" s="100"/>
      <c r="B155" s="394"/>
      <c r="C155" s="394"/>
      <c r="D155" s="394"/>
      <c r="E155" s="394"/>
      <c r="F155" s="395"/>
      <c r="G155" s="312"/>
    </row>
    <row r="156" spans="1:7" s="42" customFormat="1" ht="12" customHeight="1">
      <c r="A156" s="387">
        <v>23</v>
      </c>
      <c r="B156" s="1091" t="s">
        <v>2172</v>
      </c>
      <c r="C156" s="1092"/>
      <c r="D156" s="1092"/>
      <c r="E156" s="1086" t="s">
        <v>1769</v>
      </c>
      <c r="F156" s="392"/>
      <c r="G156" s="1084" t="s">
        <v>2311</v>
      </c>
    </row>
    <row r="157" spans="1:7" s="42" customFormat="1" ht="12" customHeight="1">
      <c r="A157" s="104"/>
      <c r="B157" s="1093"/>
      <c r="C157" s="1092"/>
      <c r="D157" s="1092"/>
      <c r="E157" s="1086" t="s">
        <v>1770</v>
      </c>
      <c r="F157" s="392"/>
      <c r="G157" s="1084" t="s">
        <v>2311</v>
      </c>
    </row>
    <row r="158" spans="1:7" s="42" customFormat="1" ht="12" customHeight="1">
      <c r="A158" s="104"/>
      <c r="B158" s="1093"/>
      <c r="C158" s="1092"/>
      <c r="D158" s="1092"/>
      <c r="E158" s="1086" t="s">
        <v>1424</v>
      </c>
      <c r="F158" s="392"/>
      <c r="G158" s="1084" t="s">
        <v>2311</v>
      </c>
    </row>
    <row r="159" spans="1:7" s="42" customFormat="1" ht="24.4" customHeight="1">
      <c r="A159" s="104"/>
      <c r="B159" s="1094"/>
      <c r="C159" s="141"/>
      <c r="D159" s="141"/>
      <c r="E159" s="1095" t="s">
        <v>3507</v>
      </c>
      <c r="F159" s="1096"/>
      <c r="G159" s="1084" t="s">
        <v>2311</v>
      </c>
    </row>
    <row r="160" spans="1:7" s="42" customFormat="1" ht="5.65" customHeight="1">
      <c r="A160" s="100"/>
      <c r="B160" s="394"/>
      <c r="C160" s="394"/>
      <c r="D160" s="394"/>
      <c r="E160" s="394"/>
      <c r="F160" s="395"/>
      <c r="G160" s="312"/>
    </row>
    <row r="161" spans="1:7" s="42" customFormat="1" ht="12.4" customHeight="1">
      <c r="A161" s="104"/>
      <c r="B161" s="409" t="s">
        <v>3496</v>
      </c>
      <c r="C161" s="1097"/>
      <c r="D161" s="1098"/>
      <c r="E161" s="1086"/>
      <c r="F161" s="392"/>
      <c r="G161" s="106"/>
    </row>
    <row r="162" spans="1:7" s="42" customFormat="1" ht="12" customHeight="1">
      <c r="A162" s="387">
        <v>24</v>
      </c>
      <c r="B162" s="1087" t="s">
        <v>1012</v>
      </c>
      <c r="C162" s="241"/>
      <c r="D162" s="1086"/>
      <c r="E162" s="398" t="s">
        <v>3497</v>
      </c>
      <c r="F162" s="392"/>
      <c r="G162" s="1084" t="s">
        <v>3834</v>
      </c>
    </row>
    <row r="163" spans="1:7" s="42" customFormat="1" ht="12" customHeight="1">
      <c r="A163" s="104"/>
      <c r="B163" s="241"/>
      <c r="C163" s="709"/>
      <c r="D163" s="1086"/>
      <c r="E163" s="773" t="s">
        <v>920</v>
      </c>
      <c r="F163" s="753"/>
      <c r="G163" s="1084" t="s">
        <v>3834</v>
      </c>
    </row>
    <row r="164" spans="1:7" s="42" customFormat="1" ht="12" customHeight="1">
      <c r="A164" s="104"/>
      <c r="B164" s="401"/>
      <c r="C164" s="1086"/>
      <c r="D164" s="1086"/>
      <c r="E164" s="398" t="s">
        <v>289</v>
      </c>
      <c r="F164" s="392"/>
      <c r="G164" s="1084" t="s">
        <v>3834</v>
      </c>
    </row>
    <row r="165" spans="1:7" s="42" customFormat="1" ht="24.4" customHeight="1">
      <c r="A165" s="104"/>
      <c r="B165" s="401"/>
      <c r="C165" s="1086"/>
      <c r="D165" s="1086"/>
      <c r="E165" s="773" t="s">
        <v>842</v>
      </c>
      <c r="F165" s="753"/>
      <c r="G165" s="1084" t="s">
        <v>2311</v>
      </c>
    </row>
    <row r="166" spans="1:7" s="42" customFormat="1" ht="12" customHeight="1">
      <c r="A166" s="104"/>
      <c r="B166" s="401"/>
      <c r="C166" s="1086"/>
      <c r="D166" s="1086"/>
      <c r="E166" s="773" t="s">
        <v>846</v>
      </c>
      <c r="F166" s="753"/>
      <c r="G166" s="1084" t="s">
        <v>2311</v>
      </c>
    </row>
    <row r="167" spans="1:7" s="42" customFormat="1" ht="5.65" customHeight="1">
      <c r="A167" s="104"/>
      <c r="B167" s="401"/>
      <c r="C167" s="1086"/>
      <c r="D167" s="1086"/>
      <c r="E167" s="710"/>
      <c r="F167" s="710"/>
      <c r="G167" s="1099"/>
    </row>
    <row r="168" spans="1:7" s="42" customFormat="1" ht="13.9" customHeight="1">
      <c r="A168" s="387">
        <v>25</v>
      </c>
      <c r="B168" s="1100" t="s">
        <v>614</v>
      </c>
      <c r="C168" s="241"/>
      <c r="D168" s="1087"/>
      <c r="E168" s="773" t="s">
        <v>2783</v>
      </c>
      <c r="F168" s="753"/>
      <c r="G168" s="1084" t="s">
        <v>2311</v>
      </c>
    </row>
    <row r="169" spans="1:7" s="42" customFormat="1" ht="13.9" customHeight="1">
      <c r="A169" s="389"/>
      <c r="B169" s="1100"/>
      <c r="C169" s="241"/>
      <c r="D169" s="1087"/>
      <c r="E169" s="773" t="s">
        <v>486</v>
      </c>
      <c r="F169" s="753"/>
      <c r="G169" s="1084" t="s">
        <v>2311</v>
      </c>
    </row>
    <row r="170" spans="1:7" s="42" customFormat="1" ht="12" customHeight="1">
      <c r="A170" s="387">
        <v>26</v>
      </c>
      <c r="B170" s="1087" t="s">
        <v>847</v>
      </c>
      <c r="C170" s="241"/>
      <c r="D170" s="1087"/>
      <c r="E170" s="710" t="s">
        <v>848</v>
      </c>
      <c r="F170" s="708"/>
      <c r="G170" s="1084" t="s">
        <v>2311</v>
      </c>
    </row>
    <row r="171" spans="1:7" s="42" customFormat="1" ht="12" customHeight="1">
      <c r="A171" s="104"/>
      <c r="B171" s="1087"/>
      <c r="C171" s="241"/>
      <c r="E171" s="710" t="s">
        <v>621</v>
      </c>
      <c r="F171" s="708"/>
      <c r="G171" s="1084" t="s">
        <v>2311</v>
      </c>
    </row>
    <row r="172" spans="1:7" s="42" customFormat="1" ht="12" customHeight="1">
      <c r="A172" s="104"/>
      <c r="B172" s="408"/>
      <c r="C172" s="241"/>
      <c r="D172" s="1087"/>
      <c r="E172" s="773" t="s">
        <v>622</v>
      </c>
      <c r="F172" s="753"/>
      <c r="G172" s="1084" t="s">
        <v>2311</v>
      </c>
    </row>
    <row r="173" spans="1:7" s="42" customFormat="1" ht="12" customHeight="1">
      <c r="A173" s="104"/>
      <c r="B173" s="408"/>
      <c r="C173" s="241"/>
      <c r="D173" s="1087"/>
      <c r="E173" s="773" t="s">
        <v>623</v>
      </c>
      <c r="F173" s="753"/>
      <c r="G173" s="1084" t="s">
        <v>2311</v>
      </c>
    </row>
    <row r="174" spans="1:7" s="42" customFormat="1" ht="6" customHeight="1">
      <c r="A174" s="104"/>
      <c r="B174" s="401"/>
      <c r="C174" s="1086"/>
      <c r="D174" s="1086"/>
      <c r="E174" s="710"/>
      <c r="F174" s="710"/>
      <c r="G174" s="1099"/>
    </row>
    <row r="175" spans="1:7" s="42" customFormat="1" ht="12" customHeight="1">
      <c r="A175" s="387">
        <v>27</v>
      </c>
      <c r="B175" s="1101" t="s">
        <v>322</v>
      </c>
      <c r="C175" s="241"/>
      <c r="D175" s="1087"/>
      <c r="E175" s="710" t="s">
        <v>849</v>
      </c>
      <c r="F175" s="708"/>
      <c r="G175" s="1084" t="s">
        <v>2311</v>
      </c>
    </row>
    <row r="176" spans="1:7" s="42" customFormat="1" ht="12" customHeight="1">
      <c r="A176" s="104"/>
      <c r="B176" s="1087"/>
      <c r="C176" s="241"/>
      <c r="D176" s="1087"/>
      <c r="E176" s="773" t="s">
        <v>326</v>
      </c>
      <c r="F176" s="753"/>
      <c r="G176" s="1084" t="s">
        <v>2311</v>
      </c>
    </row>
    <row r="177" spans="1:7" s="42" customFormat="1" ht="12" customHeight="1">
      <c r="A177" s="104"/>
      <c r="B177" s="1087"/>
      <c r="C177" s="241"/>
      <c r="D177" s="1087"/>
      <c r="E177" s="398" t="s">
        <v>850</v>
      </c>
      <c r="F177" s="396"/>
      <c r="G177" s="1084" t="s">
        <v>2311</v>
      </c>
    </row>
    <row r="178" spans="1:7" s="42" customFormat="1" ht="12" customHeight="1">
      <c r="A178" s="104"/>
      <c r="B178" s="1087"/>
      <c r="C178" s="241"/>
      <c r="D178" s="1087"/>
      <c r="E178" s="398" t="s">
        <v>736</v>
      </c>
      <c r="F178" s="396"/>
      <c r="G178" s="1084" t="s">
        <v>2311</v>
      </c>
    </row>
    <row r="179" spans="1:7" s="42" customFormat="1" ht="12" customHeight="1">
      <c r="A179" s="387"/>
      <c r="B179" s="1087"/>
      <c r="C179" s="241"/>
      <c r="D179" s="1087"/>
      <c r="E179" s="1102" t="s">
        <v>961</v>
      </c>
      <c r="F179" s="396"/>
      <c r="G179" s="1084" t="s">
        <v>2311</v>
      </c>
    </row>
    <row r="180" spans="1:7" s="42" customFormat="1" ht="6" customHeight="1">
      <c r="A180" s="104"/>
      <c r="B180" s="1087"/>
      <c r="C180" s="241"/>
      <c r="D180" s="1087"/>
      <c r="E180" s="398"/>
      <c r="F180" s="398"/>
      <c r="G180" s="147"/>
    </row>
    <row r="181" spans="1:7" s="42" customFormat="1" ht="12" customHeight="1">
      <c r="A181" s="387">
        <v>28</v>
      </c>
      <c r="B181" s="1101" t="s">
        <v>3554</v>
      </c>
      <c r="C181" s="1087"/>
      <c r="D181" s="1087"/>
      <c r="E181" s="773" t="s">
        <v>327</v>
      </c>
      <c r="F181" s="1005"/>
      <c r="G181" s="1084" t="s">
        <v>2311</v>
      </c>
    </row>
    <row r="182" spans="1:7" s="42" customFormat="1" ht="12" customHeight="1">
      <c r="A182" s="387"/>
      <c r="B182" s="1101"/>
      <c r="C182" s="1087"/>
      <c r="D182" s="1087"/>
      <c r="E182" s="773" t="s">
        <v>328</v>
      </c>
      <c r="F182" s="1005"/>
      <c r="G182" s="1084" t="s">
        <v>2311</v>
      </c>
    </row>
    <row r="183" spans="1:7" s="42" customFormat="1" ht="25.15" customHeight="1">
      <c r="A183" s="104"/>
      <c r="B183" s="1087"/>
      <c r="C183" s="241"/>
      <c r="D183" s="1087"/>
      <c r="E183" s="773" t="s">
        <v>1853</v>
      </c>
      <c r="F183" s="753"/>
      <c r="G183" s="1084" t="s">
        <v>2311</v>
      </c>
    </row>
    <row r="184" spans="1:7" s="42" customFormat="1" ht="6" customHeight="1">
      <c r="A184" s="104"/>
      <c r="B184" s="1087"/>
      <c r="C184" s="241"/>
      <c r="D184" s="1087"/>
      <c r="E184" s="398"/>
      <c r="F184" s="396"/>
      <c r="G184" s="106"/>
    </row>
    <row r="185" spans="1:7" s="42" customFormat="1" ht="12" customHeight="1">
      <c r="A185" s="387">
        <v>29</v>
      </c>
      <c r="B185" s="1101" t="s">
        <v>538</v>
      </c>
      <c r="C185" s="241"/>
      <c r="D185" s="1087"/>
      <c r="E185" s="773" t="s">
        <v>624</v>
      </c>
      <c r="F185" s="753"/>
      <c r="G185" s="1084" t="s">
        <v>3</v>
      </c>
    </row>
    <row r="186" spans="1:7" s="42" customFormat="1" ht="12" customHeight="1">
      <c r="A186" s="387"/>
      <c r="B186" s="1101"/>
      <c r="C186" s="241"/>
      <c r="D186" s="1087"/>
      <c r="E186" s="393" t="s">
        <v>1970</v>
      </c>
      <c r="F186" s="708"/>
      <c r="G186" s="1084" t="s">
        <v>3834</v>
      </c>
    </row>
    <row r="187" spans="1:7" s="42" customFormat="1" ht="6" customHeight="1">
      <c r="A187" s="100"/>
      <c r="B187" s="394"/>
      <c r="C187" s="1087"/>
      <c r="D187" s="1087"/>
      <c r="E187" s="1086"/>
      <c r="F187" s="396"/>
      <c r="G187" s="396"/>
    </row>
    <row r="188" spans="1:7" s="42" customFormat="1" ht="12" customHeight="1">
      <c r="A188" s="387">
        <v>30</v>
      </c>
      <c r="B188" s="1087" t="s">
        <v>3971</v>
      </c>
      <c r="C188" s="241"/>
      <c r="D188" s="1087"/>
      <c r="E188" s="1086" t="s">
        <v>1863</v>
      </c>
      <c r="F188" s="396"/>
      <c r="G188" s="1084" t="s">
        <v>3834</v>
      </c>
    </row>
    <row r="189" spans="1:7" s="42" customFormat="1" ht="6" customHeight="1">
      <c r="A189" s="100"/>
      <c r="B189" s="394"/>
      <c r="C189" s="1087"/>
      <c r="D189" s="1087"/>
      <c r="E189" s="1086"/>
      <c r="F189" s="396"/>
      <c r="G189" s="396"/>
    </row>
    <row r="190" spans="1:7" s="42" customFormat="1" ht="12" customHeight="1">
      <c r="A190" s="387">
        <v>31</v>
      </c>
      <c r="B190" s="1103" t="s">
        <v>126</v>
      </c>
      <c r="C190" s="241"/>
      <c r="D190" s="395"/>
      <c r="E190" s="394"/>
      <c r="F190" s="395"/>
      <c r="G190" s="395"/>
    </row>
    <row r="191" spans="1:7" s="42" customFormat="1" ht="12" customHeight="1">
      <c r="A191" s="387"/>
      <c r="C191" s="1104" t="s">
        <v>793</v>
      </c>
      <c r="D191" s="1087"/>
      <c r="E191" s="1105" t="s">
        <v>3658</v>
      </c>
      <c r="F191" s="1106"/>
      <c r="G191" s="1084" t="s">
        <v>2311</v>
      </c>
    </row>
    <row r="192" spans="1:7" s="42" customFormat="1" ht="12" customHeight="1">
      <c r="A192" s="387"/>
      <c r="C192" s="1104"/>
      <c r="D192" s="1087"/>
      <c r="E192" s="1107" t="s">
        <v>1667</v>
      </c>
      <c r="F192" s="1108"/>
      <c r="G192" s="1084" t="s">
        <v>2311</v>
      </c>
    </row>
    <row r="193" spans="1:7" s="42" customFormat="1" ht="12" customHeight="1">
      <c r="A193" s="104"/>
      <c r="C193" s="241"/>
      <c r="D193" s="1087"/>
      <c r="E193" s="1109" t="s">
        <v>3659</v>
      </c>
      <c r="F193" s="1110"/>
      <c r="G193" s="1084" t="s">
        <v>2311</v>
      </c>
    </row>
    <row r="194" spans="1:7" s="42" customFormat="1" ht="12" customHeight="1">
      <c r="A194" s="104"/>
      <c r="C194" s="241"/>
      <c r="D194" s="1087"/>
      <c r="E194" s="1086" t="s">
        <v>3660</v>
      </c>
      <c r="F194" s="396"/>
      <c r="G194" s="1084" t="s">
        <v>2311</v>
      </c>
    </row>
    <row r="195" spans="1:7" s="42" customFormat="1" ht="5.65" customHeight="1">
      <c r="A195" s="100"/>
      <c r="B195" s="394"/>
      <c r="C195" s="395"/>
      <c r="D195" s="395"/>
      <c r="E195" s="394"/>
      <c r="F195" s="395"/>
      <c r="G195" s="312"/>
    </row>
    <row r="196" spans="1:7" s="42" customFormat="1" ht="12" customHeight="1">
      <c r="A196" s="104"/>
      <c r="C196" s="241" t="s">
        <v>670</v>
      </c>
      <c r="D196" s="1087"/>
      <c r="E196" s="1086" t="s">
        <v>3991</v>
      </c>
      <c r="F196" s="396"/>
      <c r="G196" s="1084" t="s">
        <v>2311</v>
      </c>
    </row>
    <row r="197" spans="1:7" s="42" customFormat="1" ht="12" customHeight="1">
      <c r="A197" s="104"/>
      <c r="B197" s="241"/>
      <c r="C197" s="241"/>
      <c r="D197" s="1087"/>
      <c r="E197" s="1086" t="s">
        <v>3372</v>
      </c>
      <c r="F197" s="396"/>
      <c r="G197" s="1084" t="s">
        <v>2311</v>
      </c>
    </row>
    <row r="198" spans="1:7" s="42" customFormat="1" ht="12" customHeight="1">
      <c r="A198" s="104"/>
      <c r="B198" s="1086"/>
      <c r="C198" s="408"/>
      <c r="D198" s="1087"/>
      <c r="E198" s="1086" t="s">
        <v>124</v>
      </c>
      <c r="F198" s="396"/>
      <c r="G198" s="1084" t="s">
        <v>2311</v>
      </c>
    </row>
    <row r="199" spans="1:7" s="42" customFormat="1" ht="12" customHeight="1">
      <c r="A199" s="104"/>
      <c r="B199" s="1086"/>
      <c r="C199" s="1087"/>
      <c r="D199" s="1087"/>
      <c r="E199" s="1086" t="s">
        <v>3889</v>
      </c>
      <c r="F199" s="396"/>
      <c r="G199" s="1084" t="s">
        <v>2311</v>
      </c>
    </row>
    <row r="200" spans="1:7" s="42" customFormat="1" ht="12" customHeight="1">
      <c r="A200" s="104"/>
      <c r="B200" s="709"/>
      <c r="C200" s="1087"/>
      <c r="D200" s="1087"/>
      <c r="E200" s="1086" t="s">
        <v>125</v>
      </c>
      <c r="F200" s="396"/>
      <c r="G200" s="1084" t="s">
        <v>2311</v>
      </c>
    </row>
    <row r="201" spans="1:7" s="42" customFormat="1" ht="5.65" customHeight="1">
      <c r="A201" s="100"/>
      <c r="B201" s="394"/>
      <c r="C201" s="395"/>
      <c r="D201" s="395"/>
      <c r="E201" s="394"/>
      <c r="F201" s="395"/>
      <c r="G201" s="312"/>
    </row>
    <row r="202" spans="1:7" s="42" customFormat="1" ht="12" customHeight="1">
      <c r="A202" s="104"/>
      <c r="B202" s="1087"/>
      <c r="C202" s="241" t="s">
        <v>671</v>
      </c>
      <c r="D202" s="1087"/>
      <c r="E202" s="1086" t="s">
        <v>2738</v>
      </c>
      <c r="F202" s="396"/>
      <c r="G202" s="1084" t="s">
        <v>2311</v>
      </c>
    </row>
    <row r="203" spans="1:7" s="42" customFormat="1" ht="12" customHeight="1">
      <c r="A203" s="104"/>
      <c r="B203" s="709"/>
      <c r="C203" s="1087"/>
      <c r="D203" s="1087"/>
      <c r="E203" s="1086" t="s">
        <v>2739</v>
      </c>
      <c r="F203" s="396"/>
      <c r="G203" s="1084" t="s">
        <v>2311</v>
      </c>
    </row>
    <row r="204" spans="1:7" s="42" customFormat="1" ht="5.65" customHeight="1">
      <c r="A204" s="100"/>
      <c r="B204" s="394"/>
      <c r="C204" s="395"/>
      <c r="D204" s="395"/>
      <c r="E204" s="394"/>
      <c r="F204" s="395"/>
      <c r="G204" s="312"/>
    </row>
    <row r="205" spans="1:7" s="42" customFormat="1" ht="12" customHeight="1">
      <c r="A205" s="104"/>
      <c r="C205" s="241" t="s">
        <v>213</v>
      </c>
      <c r="D205" s="1087"/>
      <c r="E205" s="1086" t="s">
        <v>214</v>
      </c>
      <c r="F205" s="396"/>
      <c r="G205" s="1084" t="s">
        <v>2311</v>
      </c>
    </row>
    <row r="206" spans="1:7" s="42" customFormat="1" ht="12" customHeight="1">
      <c r="A206" s="104"/>
      <c r="B206" s="241"/>
      <c r="C206" s="241"/>
      <c r="D206" s="1087"/>
      <c r="E206" s="1086" t="s">
        <v>211</v>
      </c>
      <c r="F206" s="396"/>
      <c r="G206" s="1084" t="s">
        <v>2311</v>
      </c>
    </row>
    <row r="207" spans="1:7" s="42" customFormat="1" ht="12" customHeight="1">
      <c r="A207" s="104"/>
      <c r="B207" s="1086"/>
      <c r="C207" s="408"/>
      <c r="D207" s="1087"/>
      <c r="E207" s="1086" t="s">
        <v>3508</v>
      </c>
      <c r="F207" s="396"/>
      <c r="G207" s="1084" t="s">
        <v>2311</v>
      </c>
    </row>
    <row r="208" spans="1:7" s="42" customFormat="1" ht="12" customHeight="1">
      <c r="A208" s="104"/>
      <c r="B208" s="1086"/>
      <c r="C208" s="1087"/>
      <c r="D208" s="1087"/>
      <c r="E208" s="1086" t="s">
        <v>409</v>
      </c>
      <c r="F208" s="396"/>
      <c r="G208" s="1084" t="s">
        <v>2311</v>
      </c>
    </row>
    <row r="209" spans="1:7" s="42" customFormat="1" ht="12" customHeight="1">
      <c r="A209" s="387"/>
      <c r="B209" s="709"/>
      <c r="C209" s="1087"/>
      <c r="D209" s="1087"/>
      <c r="E209" s="1086" t="s">
        <v>323</v>
      </c>
      <c r="F209" s="396"/>
      <c r="G209" s="1084" t="s">
        <v>2311</v>
      </c>
    </row>
    <row r="210" spans="1:7" s="42" customFormat="1" ht="12" customHeight="1">
      <c r="A210" s="107"/>
      <c r="B210" s="709"/>
      <c r="C210" s="1087"/>
      <c r="D210" s="1087"/>
      <c r="E210" s="1086" t="s">
        <v>324</v>
      </c>
      <c r="F210" s="396"/>
      <c r="G210" s="1084" t="s">
        <v>2311</v>
      </c>
    </row>
    <row r="211" spans="1:7" s="42" customFormat="1" ht="12" customHeight="1">
      <c r="A211" s="387">
        <v>32</v>
      </c>
      <c r="B211" s="1087" t="s">
        <v>3475</v>
      </c>
      <c r="C211" s="241"/>
      <c r="D211" s="1087"/>
      <c r="E211" s="1086" t="s">
        <v>325</v>
      </c>
      <c r="F211" s="396"/>
      <c r="G211" s="1084" t="s">
        <v>2311</v>
      </c>
    </row>
    <row r="212" spans="1:7" s="42" customFormat="1" ht="6" customHeight="1">
      <c r="A212" s="104"/>
      <c r="B212" s="709"/>
      <c r="C212" s="1087"/>
      <c r="D212" s="1087"/>
      <c r="E212" s="1086"/>
      <c r="F212" s="396"/>
      <c r="G212" s="313"/>
    </row>
    <row r="213" spans="1:7" s="42" customFormat="1" ht="12" customHeight="1">
      <c r="A213" s="387">
        <v>33</v>
      </c>
      <c r="B213" s="1087" t="s">
        <v>2966</v>
      </c>
      <c r="C213" s="241"/>
      <c r="D213" s="1087"/>
      <c r="E213" s="773" t="s">
        <v>418</v>
      </c>
      <c r="F213" s="753"/>
      <c r="G213" s="1084" t="s">
        <v>2311</v>
      </c>
    </row>
    <row r="214" spans="1:7" s="42" customFormat="1" ht="12" customHeight="1">
      <c r="A214" s="387"/>
      <c r="B214" s="241"/>
      <c r="C214" s="241"/>
      <c r="D214" s="1087"/>
      <c r="E214" s="773" t="s">
        <v>335</v>
      </c>
      <c r="F214" s="753"/>
      <c r="G214" s="1084" t="s">
        <v>2311</v>
      </c>
    </row>
    <row r="215" spans="1:7" s="42" customFormat="1" ht="12" customHeight="1">
      <c r="A215" s="387"/>
      <c r="B215" s="241"/>
      <c r="C215" s="241"/>
      <c r="D215" s="1087"/>
      <c r="E215" s="393" t="s">
        <v>3595</v>
      </c>
      <c r="F215" s="708"/>
      <c r="G215" s="1084" t="s">
        <v>2311</v>
      </c>
    </row>
    <row r="216" spans="1:7" s="42" customFormat="1" ht="6" customHeight="1">
      <c r="A216" s="104"/>
      <c r="B216" s="709"/>
      <c r="C216" s="1087"/>
      <c r="D216" s="1087"/>
      <c r="E216" s="1086"/>
      <c r="F216" s="396"/>
      <c r="G216" s="654"/>
    </row>
    <row r="217" spans="1:7" s="42" customFormat="1" ht="12.4" customHeight="1">
      <c r="A217" s="387">
        <v>34</v>
      </c>
      <c r="B217" s="1087" t="s">
        <v>2649</v>
      </c>
      <c r="C217" s="1087"/>
      <c r="D217" s="1087"/>
      <c r="E217" s="1086"/>
      <c r="F217" s="396"/>
      <c r="G217" s="601"/>
    </row>
    <row r="218" spans="1:7" s="42" customFormat="1" ht="12" customHeight="1">
      <c r="A218" s="104"/>
      <c r="B218" s="241"/>
      <c r="C218" s="1086" t="s">
        <v>2651</v>
      </c>
      <c r="D218" s="1087"/>
      <c r="E218" s="1086" t="s">
        <v>234</v>
      </c>
      <c r="F218" s="396"/>
      <c r="G218" s="1084" t="s">
        <v>2311</v>
      </c>
    </row>
    <row r="219" spans="1:7" s="42" customFormat="1" ht="12" customHeight="1">
      <c r="A219" s="104"/>
      <c r="B219" s="1086"/>
      <c r="C219" s="1086" t="s">
        <v>2652</v>
      </c>
      <c r="D219" s="1087"/>
      <c r="E219" s="396" t="s">
        <v>178</v>
      </c>
      <c r="F219" s="396"/>
      <c r="G219" s="1084" t="s">
        <v>2311</v>
      </c>
    </row>
    <row r="220" spans="1:7" s="42" customFormat="1" ht="12" customHeight="1">
      <c r="A220" s="104"/>
      <c r="B220" s="1086"/>
      <c r="C220" s="709" t="s">
        <v>2650</v>
      </c>
      <c r="D220" s="1087"/>
      <c r="E220" s="1086" t="s">
        <v>514</v>
      </c>
      <c r="F220" s="396"/>
      <c r="G220" s="1084" t="s">
        <v>2311</v>
      </c>
    </row>
    <row r="221" spans="1:7" s="42" customFormat="1" ht="6" customHeight="1">
      <c r="A221" s="104"/>
      <c r="B221" s="709"/>
      <c r="C221" s="1087"/>
      <c r="D221" s="1087"/>
      <c r="E221" s="1086"/>
      <c r="F221" s="396"/>
      <c r="G221" s="313"/>
    </row>
    <row r="222" spans="1:7" s="42" customFormat="1" ht="12" customHeight="1">
      <c r="A222" s="387">
        <v>35</v>
      </c>
      <c r="B222" s="1087" t="s">
        <v>1887</v>
      </c>
      <c r="C222" s="241"/>
      <c r="D222" s="1087"/>
      <c r="E222" s="1086" t="s">
        <v>1888</v>
      </c>
      <c r="F222" s="396"/>
      <c r="G222" s="1084" t="s">
        <v>2311</v>
      </c>
    </row>
    <row r="223" spans="1:7" s="42" customFormat="1" ht="6" customHeight="1">
      <c r="A223" s="104"/>
      <c r="B223" s="709"/>
      <c r="C223" s="1087"/>
      <c r="D223" s="1087"/>
      <c r="E223" s="1086"/>
      <c r="F223" s="396"/>
      <c r="G223" s="313"/>
    </row>
    <row r="224" spans="1:7" s="42" customFormat="1" ht="12" customHeight="1">
      <c r="A224" s="387">
        <v>36</v>
      </c>
      <c r="B224" s="1087" t="s">
        <v>321</v>
      </c>
      <c r="C224" s="241"/>
      <c r="D224" s="1087"/>
      <c r="E224" s="1086" t="s">
        <v>1802</v>
      </c>
      <c r="F224" s="396"/>
      <c r="G224" s="1084" t="s">
        <v>2311</v>
      </c>
    </row>
    <row r="225" spans="1:7" s="42" customFormat="1" ht="6" customHeight="1">
      <c r="A225" s="104"/>
      <c r="B225" s="709"/>
      <c r="C225" s="1087"/>
      <c r="D225" s="1087"/>
      <c r="E225" s="1086"/>
      <c r="F225" s="396"/>
      <c r="G225" s="106"/>
    </row>
    <row r="226" spans="1:7" s="42" customFormat="1" ht="12" customHeight="1">
      <c r="A226" s="387">
        <v>37</v>
      </c>
      <c r="B226" s="1087" t="s">
        <v>2741</v>
      </c>
      <c r="C226" s="241"/>
      <c r="D226" s="1087"/>
      <c r="E226" s="1086" t="s">
        <v>654</v>
      </c>
      <c r="F226" s="396"/>
      <c r="G226" s="1084" t="s">
        <v>2311</v>
      </c>
    </row>
    <row r="227" spans="1:7" s="42" customFormat="1" ht="12" customHeight="1">
      <c r="A227" s="104"/>
      <c r="B227" s="1086"/>
      <c r="C227" s="1087"/>
      <c r="D227" s="1087"/>
      <c r="E227" s="396" t="s">
        <v>655</v>
      </c>
      <c r="F227" s="396"/>
      <c r="G227" s="1084" t="s">
        <v>2311</v>
      </c>
    </row>
    <row r="228" spans="1:7" s="42" customFormat="1" ht="12" customHeight="1">
      <c r="A228" s="104"/>
      <c r="B228" s="1086"/>
      <c r="C228" s="408"/>
      <c r="D228" s="1087"/>
      <c r="E228" s="1086" t="s">
        <v>656</v>
      </c>
      <c r="F228" s="396"/>
      <c r="G228" s="1084" t="s">
        <v>2311</v>
      </c>
    </row>
    <row r="229" spans="1:7" s="42" customFormat="1" ht="12" customHeight="1">
      <c r="A229" s="104"/>
      <c r="B229" s="709"/>
      <c r="C229" s="1087"/>
      <c r="D229" s="1087"/>
      <c r="E229" s="1111" t="s">
        <v>657</v>
      </c>
      <c r="F229" s="396"/>
      <c r="G229" s="1084" t="s">
        <v>2311</v>
      </c>
    </row>
    <row r="230" spans="1:7" s="42" customFormat="1" ht="12" customHeight="1">
      <c r="A230" s="104"/>
      <c r="B230" s="1086"/>
      <c r="E230" s="1086" t="s">
        <v>172</v>
      </c>
      <c r="F230" s="396"/>
      <c r="G230" s="1084" t="s">
        <v>2311</v>
      </c>
    </row>
    <row r="231" spans="1:7" s="42" customFormat="1" ht="12" customHeight="1">
      <c r="A231" s="104"/>
      <c r="B231" s="709"/>
      <c r="E231" s="1111" t="s">
        <v>288</v>
      </c>
      <c r="F231" s="396"/>
      <c r="G231" s="1084" t="s">
        <v>2311</v>
      </c>
    </row>
    <row r="232" spans="1:7" s="42" customFormat="1" ht="6" customHeight="1">
      <c r="A232" s="104"/>
      <c r="B232" s="709"/>
      <c r="C232" s="1087"/>
      <c r="D232" s="1087"/>
      <c r="E232" s="1086"/>
      <c r="F232" s="396"/>
      <c r="G232" s="106"/>
    </row>
    <row r="233" spans="1:7" s="42" customFormat="1" ht="12" customHeight="1">
      <c r="A233" s="387">
        <v>38</v>
      </c>
      <c r="B233" s="1087" t="s">
        <v>3661</v>
      </c>
      <c r="C233" s="241"/>
      <c r="D233" s="1087"/>
      <c r="E233" s="1086" t="s">
        <v>3596</v>
      </c>
      <c r="F233" s="396"/>
      <c r="G233" s="1084" t="s">
        <v>3834</v>
      </c>
    </row>
    <row r="234" spans="1:7" s="42" customFormat="1" ht="12" customHeight="1">
      <c r="A234" s="104"/>
      <c r="B234" s="1086"/>
      <c r="C234" s="1087"/>
      <c r="D234" s="1087"/>
      <c r="E234" s="396" t="s">
        <v>3598</v>
      </c>
      <c r="F234" s="396"/>
      <c r="G234" s="1084" t="s">
        <v>3834</v>
      </c>
    </row>
    <row r="235" spans="1:7" s="42" customFormat="1" ht="6" customHeight="1">
      <c r="A235" s="104"/>
      <c r="B235" s="417"/>
      <c r="C235" s="1112"/>
      <c r="D235" s="1112"/>
      <c r="E235" s="1113"/>
      <c r="F235" s="106"/>
      <c r="G235" s="106"/>
    </row>
    <row r="236" spans="1:7" s="42" customFormat="1" ht="13.15" customHeight="1">
      <c r="A236" s="387">
        <v>39</v>
      </c>
      <c r="B236" s="1087" t="s">
        <v>2521</v>
      </c>
      <c r="E236" s="1114"/>
      <c r="F236" s="1114"/>
      <c r="G236" s="1084"/>
    </row>
    <row r="237" spans="1:7" s="42" customFormat="1" ht="12.4" customHeight="1">
      <c r="A237" s="104"/>
      <c r="C237" s="1115" t="s">
        <v>1013</v>
      </c>
      <c r="D237" s="1116"/>
      <c r="E237" s="1117"/>
      <c r="F237" s="1117"/>
      <c r="G237" s="1118"/>
    </row>
    <row r="238" spans="1:7" s="42" customFormat="1" ht="12.4" customHeight="1">
      <c r="A238" s="104"/>
      <c r="C238" s="1115"/>
      <c r="D238" s="1116"/>
      <c r="E238" s="1117"/>
      <c r="F238" s="1117"/>
      <c r="G238" s="1118"/>
    </row>
    <row r="239" spans="1:7" s="42" customFormat="1" ht="12.4" customHeight="1">
      <c r="A239" s="104"/>
      <c r="C239" s="1119"/>
      <c r="D239" s="1116"/>
      <c r="E239" s="1120"/>
      <c r="F239" s="1120"/>
      <c r="G239" s="1118"/>
    </row>
    <row r="240" spans="1:7" s="42" customFormat="1" ht="26.65" customHeight="1">
      <c r="A240" s="1121" t="s">
        <v>3050</v>
      </c>
      <c r="B240" s="1122"/>
      <c r="C240" s="1122"/>
      <c r="D240" s="1122"/>
      <c r="E240" s="1122"/>
      <c r="F240" s="1122"/>
      <c r="G240" s="1123"/>
    </row>
  </sheetData>
  <sheetProtection password="DDE0" sheet="1" objects="1" scenarios="1"/>
  <mergeCells count="35">
    <mergeCell ref="A240:G240"/>
    <mergeCell ref="E214:F214"/>
    <mergeCell ref="C237:D239"/>
    <mergeCell ref="E213:F213"/>
    <mergeCell ref="E193:F193"/>
    <mergeCell ref="E183:F183"/>
    <mergeCell ref="E185:F185"/>
    <mergeCell ref="E191:F191"/>
    <mergeCell ref="E163:F163"/>
    <mergeCell ref="E182:F182"/>
    <mergeCell ref="E169:F169"/>
    <mergeCell ref="E181:F181"/>
    <mergeCell ref="E173:F173"/>
    <mergeCell ref="E102:F102"/>
    <mergeCell ref="E50:F50"/>
    <mergeCell ref="A3:G3"/>
    <mergeCell ref="E21:F21"/>
    <mergeCell ref="E22:F22"/>
    <mergeCell ref="E47:F47"/>
    <mergeCell ref="E90:F90"/>
    <mergeCell ref="E101:F101"/>
    <mergeCell ref="A1:G1"/>
    <mergeCell ref="A2:G2"/>
    <mergeCell ref="B4:D6"/>
    <mergeCell ref="E4:F6"/>
    <mergeCell ref="E66:F66"/>
    <mergeCell ref="B112:D114"/>
    <mergeCell ref="E159:F159"/>
    <mergeCell ref="B156:D158"/>
    <mergeCell ref="E172:F172"/>
    <mergeCell ref="E176:F176"/>
    <mergeCell ref="E168:F168"/>
    <mergeCell ref="E131:F131"/>
    <mergeCell ref="E166:F166"/>
    <mergeCell ref="E165:F165"/>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scale="91" fitToHeight="0" orientation="landscape" horizontalDpi="4294967292" verticalDpi="4294967292"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sheetPr codeName="Sheet10" enableFormatConditionsCalculation="0">
    <pageSetUpPr fitToPage="1"/>
  </sheetPr>
  <dimension ref="A1:HM214"/>
  <sheetViews>
    <sheetView showGridLines="0" showZeros="0" topLeftCell="A128" zoomScaleNormal="85" zoomScalePageLayoutView="85" workbookViewId="0">
      <selection activeCell="E14" sqref="E14"/>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42578125" style="113" customWidth="1"/>
    <col min="20" max="73" width="9.140625" style="113" customWidth="1"/>
    <col min="74" max="79" width="12.42578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87" t="str">
        <f>CONCATENATE("PART SIX - PROJECTED REVENUES &amp; EXPENSES","  -  ",'Part I-Project Information'!$O$4," ",'Part I-Project Information'!$F$22,", ",'Part I-Project Information'!F24,", ",'Part I-Project Information'!J25," County")</f>
        <v>PART SIX - PROJECTED REVENUES &amp; EXPENSES  -  2011-028 Endeavor Pointe, LaFayette, Walker County</v>
      </c>
      <c r="B1" s="888"/>
      <c r="C1" s="888"/>
      <c r="D1" s="888"/>
      <c r="E1" s="888"/>
      <c r="F1" s="888"/>
      <c r="G1" s="888"/>
      <c r="H1" s="888"/>
      <c r="I1" s="888"/>
      <c r="J1" s="888"/>
      <c r="K1" s="888"/>
      <c r="L1" s="888"/>
      <c r="M1" s="888"/>
      <c r="N1" s="888"/>
      <c r="O1" s="888"/>
      <c r="P1" s="889"/>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4" customHeight="1">
      <c r="A3" s="5" t="s">
        <v>1126</v>
      </c>
      <c r="B3" s="5" t="s">
        <v>3673</v>
      </c>
      <c r="C3" s="2"/>
      <c r="D3" s="167" t="s">
        <v>453</v>
      </c>
      <c r="E3" s="2"/>
      <c r="F3" s="2"/>
      <c r="G3" s="167"/>
      <c r="H3" s="167"/>
      <c r="I3" s="167"/>
      <c r="J3" s="167"/>
      <c r="K3" s="167"/>
      <c r="L3" s="167"/>
      <c r="N3" s="707" t="s">
        <v>1042</v>
      </c>
      <c r="O3" s="968" t="str">
        <f>'Part I-Project Information'!$J$26</f>
        <v>Chattanooga</v>
      </c>
      <c r="P3" s="968"/>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760</v>
      </c>
      <c r="EZ3" s="655" t="s">
        <v>3702</v>
      </c>
      <c r="FA3" s="655" t="s">
        <v>3703</v>
      </c>
      <c r="FB3" s="655" t="s">
        <v>3704</v>
      </c>
      <c r="FC3" s="655" t="s">
        <v>3705</v>
      </c>
      <c r="FD3" s="656"/>
      <c r="FE3" s="656"/>
      <c r="FF3" s="656"/>
      <c r="FG3" s="656"/>
      <c r="FH3" s="656"/>
      <c r="FI3" s="655" t="s">
        <v>760</v>
      </c>
      <c r="FJ3" s="655" t="s">
        <v>3702</v>
      </c>
      <c r="FK3" s="655" t="s">
        <v>3703</v>
      </c>
      <c r="FL3" s="655" t="s">
        <v>3704</v>
      </c>
      <c r="FM3" s="655" t="s">
        <v>3705</v>
      </c>
      <c r="FN3" s="655" t="s">
        <v>760</v>
      </c>
      <c r="FO3" s="655" t="s">
        <v>3702</v>
      </c>
      <c r="FP3" s="655" t="s">
        <v>3703</v>
      </c>
      <c r="FQ3" s="655" t="s">
        <v>3704</v>
      </c>
      <c r="FR3" s="655" t="s">
        <v>3705</v>
      </c>
      <c r="FS3" s="655" t="s">
        <v>760</v>
      </c>
      <c r="FT3" s="655" t="s">
        <v>3702</v>
      </c>
      <c r="FU3" s="655" t="s">
        <v>3703</v>
      </c>
      <c r="FV3" s="655" t="s">
        <v>3704</v>
      </c>
      <c r="FW3" s="655" t="s">
        <v>3705</v>
      </c>
      <c r="FX3" s="655" t="s">
        <v>760</v>
      </c>
      <c r="FY3" s="655" t="s">
        <v>3702</v>
      </c>
      <c r="FZ3" s="655" t="s">
        <v>3703</v>
      </c>
      <c r="GA3" s="655" t="s">
        <v>3704</v>
      </c>
      <c r="GB3" s="655" t="s">
        <v>3705</v>
      </c>
      <c r="GC3" s="655" t="s">
        <v>760</v>
      </c>
      <c r="GD3" s="655" t="s">
        <v>3702</v>
      </c>
      <c r="GE3" s="655" t="s">
        <v>3703</v>
      </c>
      <c r="GF3" s="655" t="s">
        <v>3704</v>
      </c>
      <c r="GG3" s="655" t="s">
        <v>3705</v>
      </c>
      <c r="GH3" s="655" t="s">
        <v>760</v>
      </c>
      <c r="GI3" s="655" t="s">
        <v>3702</v>
      </c>
      <c r="GJ3" s="655" t="s">
        <v>3703</v>
      </c>
      <c r="GK3" s="655" t="s">
        <v>3704</v>
      </c>
      <c r="GL3" s="655" t="s">
        <v>3705</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4" customHeight="1">
      <c r="B4" s="5"/>
      <c r="C4" s="2"/>
      <c r="D4" s="5"/>
      <c r="E4" s="2"/>
      <c r="F4" s="2"/>
      <c r="G4" s="2"/>
      <c r="H4" s="2"/>
      <c r="I4" s="2"/>
      <c r="J4" s="2"/>
      <c r="K4" s="2"/>
      <c r="L4" s="2"/>
      <c r="P4" s="444"/>
      <c r="Q4" s="574"/>
      <c r="R4" s="574"/>
      <c r="T4" s="965" t="s">
        <v>1640</v>
      </c>
      <c r="U4" s="965" t="s">
        <v>1526</v>
      </c>
      <c r="V4" s="965" t="s">
        <v>1527</v>
      </c>
      <c r="W4" s="965" t="s">
        <v>1528</v>
      </c>
      <c r="X4" s="965" t="s">
        <v>1644</v>
      </c>
      <c r="Y4" s="965" t="s">
        <v>1556</v>
      </c>
      <c r="Z4" s="965" t="s">
        <v>3331</v>
      </c>
      <c r="AA4" s="965" t="s">
        <v>3332</v>
      </c>
      <c r="AB4" s="965" t="s">
        <v>3333</v>
      </c>
      <c r="AC4" s="965" t="s">
        <v>3439</v>
      </c>
      <c r="AD4" s="965" t="s">
        <v>1557</v>
      </c>
      <c r="AE4" s="965" t="s">
        <v>3440</v>
      </c>
      <c r="AF4" s="965" t="s">
        <v>3334</v>
      </c>
      <c r="AG4" s="965" t="s">
        <v>3447</v>
      </c>
      <c r="AH4" s="965" t="s">
        <v>3448</v>
      </c>
      <c r="AI4" s="965" t="s">
        <v>295</v>
      </c>
      <c r="AJ4" s="965" t="s">
        <v>3449</v>
      </c>
      <c r="AK4" s="965" t="s">
        <v>3450</v>
      </c>
      <c r="AL4" s="965" t="s">
        <v>3337</v>
      </c>
      <c r="AM4" s="965" t="s">
        <v>2008</v>
      </c>
      <c r="AN4" s="965" t="s">
        <v>1001</v>
      </c>
      <c r="AO4" s="965" t="s">
        <v>990</v>
      </c>
      <c r="AP4" s="965" t="s">
        <v>868</v>
      </c>
      <c r="AQ4" s="965" t="s">
        <v>869</v>
      </c>
      <c r="AR4" s="965" t="s">
        <v>870</v>
      </c>
      <c r="AS4" s="965" t="s">
        <v>871</v>
      </c>
      <c r="AT4" s="965" t="s">
        <v>872</v>
      </c>
      <c r="AU4" s="965" t="s">
        <v>873</v>
      </c>
      <c r="AV4" s="965" t="s">
        <v>874</v>
      </c>
      <c r="AW4" s="965" t="s">
        <v>875</v>
      </c>
      <c r="AX4" s="965" t="s">
        <v>964</v>
      </c>
      <c r="AY4" s="965" t="s">
        <v>965</v>
      </c>
      <c r="AZ4" s="965" t="s">
        <v>1602</v>
      </c>
      <c r="BA4" s="965" t="s">
        <v>1603</v>
      </c>
      <c r="BB4" s="965" t="s">
        <v>1607</v>
      </c>
      <c r="BC4" s="965" t="s">
        <v>905</v>
      </c>
      <c r="BD4" s="965" t="s">
        <v>906</v>
      </c>
      <c r="BE4" s="965" t="s">
        <v>907</v>
      </c>
      <c r="BF4" s="965" t="s">
        <v>908</v>
      </c>
      <c r="BG4" s="965" t="s">
        <v>910</v>
      </c>
      <c r="BH4" s="965" t="s">
        <v>1486</v>
      </c>
      <c r="BI4" s="965" t="s">
        <v>1487</v>
      </c>
      <c r="BJ4" s="965" t="s">
        <v>1488</v>
      </c>
      <c r="BK4" s="965" t="s">
        <v>1599</v>
      </c>
      <c r="BL4" s="965" t="s">
        <v>1600</v>
      </c>
      <c r="BM4" s="965" t="s">
        <v>1592</v>
      </c>
      <c r="BN4" s="965" t="s">
        <v>1593</v>
      </c>
      <c r="BO4" s="965" t="s">
        <v>1594</v>
      </c>
      <c r="BP4" s="965" t="s">
        <v>1595</v>
      </c>
      <c r="BQ4" s="965" t="s">
        <v>1596</v>
      </c>
      <c r="BR4" s="965" t="s">
        <v>3693</v>
      </c>
      <c r="BS4" s="965" t="s">
        <v>3694</v>
      </c>
      <c r="BT4" s="965" t="s">
        <v>3609</v>
      </c>
      <c r="BU4" s="965" t="s">
        <v>3610</v>
      </c>
      <c r="BV4" s="965" t="s">
        <v>3696</v>
      </c>
      <c r="BW4" s="965" t="s">
        <v>279</v>
      </c>
      <c r="BX4" s="965" t="s">
        <v>2011</v>
      </c>
      <c r="BY4" s="965" t="s">
        <v>2012</v>
      </c>
      <c r="BZ4" s="965" t="s">
        <v>2131</v>
      </c>
      <c r="CA4" s="965" t="s">
        <v>2132</v>
      </c>
      <c r="CB4" s="964" t="s">
        <v>298</v>
      </c>
      <c r="CC4" s="964" t="s">
        <v>2239</v>
      </c>
      <c r="CD4" s="964" t="s">
        <v>2240</v>
      </c>
      <c r="CE4" s="964" t="s">
        <v>1865</v>
      </c>
      <c r="CF4" s="964" t="s">
        <v>1866</v>
      </c>
      <c r="CG4" s="964" t="s">
        <v>297</v>
      </c>
      <c r="CH4" s="964" t="s">
        <v>1505</v>
      </c>
      <c r="CI4" s="964" t="s">
        <v>1506</v>
      </c>
      <c r="CJ4" s="964" t="s">
        <v>1507</v>
      </c>
      <c r="CK4" s="964" t="s">
        <v>1508</v>
      </c>
      <c r="CL4" s="964" t="s">
        <v>296</v>
      </c>
      <c r="CM4" s="964" t="s">
        <v>1509</v>
      </c>
      <c r="CN4" s="964" t="s">
        <v>1510</v>
      </c>
      <c r="CO4" s="964" t="s">
        <v>1638</v>
      </c>
      <c r="CP4" s="964" t="s">
        <v>1639</v>
      </c>
      <c r="CQ4" s="964" t="s">
        <v>1385</v>
      </c>
      <c r="CR4" s="964" t="s">
        <v>1386</v>
      </c>
      <c r="CS4" s="964" t="s">
        <v>1387</v>
      </c>
      <c r="CT4" s="964" t="s">
        <v>1388</v>
      </c>
      <c r="CU4" s="964" t="s">
        <v>1389</v>
      </c>
      <c r="CV4" s="964" t="s">
        <v>1570</v>
      </c>
      <c r="CW4" s="964" t="s">
        <v>1571</v>
      </c>
      <c r="CX4" s="964" t="s">
        <v>1572</v>
      </c>
      <c r="CY4" s="964" t="s">
        <v>1573</v>
      </c>
      <c r="CZ4" s="964" t="s">
        <v>3692</v>
      </c>
      <c r="DA4" s="964" t="s">
        <v>2177</v>
      </c>
      <c r="DB4" s="964" t="s">
        <v>2182</v>
      </c>
      <c r="DC4" s="964" t="s">
        <v>2183</v>
      </c>
      <c r="DD4" s="964" t="s">
        <v>2181</v>
      </c>
      <c r="DE4" s="964" t="s">
        <v>2036</v>
      </c>
      <c r="DF4" s="964" t="s">
        <v>787</v>
      </c>
      <c r="DG4" s="964" t="s">
        <v>788</v>
      </c>
      <c r="DH4" s="964" t="s">
        <v>789</v>
      </c>
      <c r="DI4" s="964" t="s">
        <v>900</v>
      </c>
      <c r="DJ4" s="964" t="s">
        <v>901</v>
      </c>
      <c r="DK4" s="964" t="s">
        <v>163</v>
      </c>
      <c r="DL4" s="964" t="s">
        <v>266</v>
      </c>
      <c r="DM4" s="964" t="s">
        <v>267</v>
      </c>
      <c r="DN4" s="964" t="s">
        <v>268</v>
      </c>
      <c r="DO4" s="964" t="s">
        <v>164</v>
      </c>
      <c r="DP4" s="964" t="s">
        <v>426</v>
      </c>
      <c r="DQ4" s="964" t="s">
        <v>427</v>
      </c>
      <c r="DR4" s="964" t="s">
        <v>428</v>
      </c>
      <c r="DS4" s="964" t="s">
        <v>2973</v>
      </c>
      <c r="DT4" s="964" t="s">
        <v>2974</v>
      </c>
      <c r="DU4" s="964" t="s">
        <v>2975</v>
      </c>
      <c r="DV4" s="964" t="s">
        <v>986</v>
      </c>
      <c r="DW4" s="964" t="s">
        <v>1084</v>
      </c>
      <c r="DX4" s="964" t="s">
        <v>1213</v>
      </c>
      <c r="DY4" s="964" t="s">
        <v>1214</v>
      </c>
      <c r="DZ4" s="964" t="s">
        <v>165</v>
      </c>
      <c r="EA4" s="964" t="s">
        <v>269</v>
      </c>
      <c r="EB4" s="964" t="s">
        <v>270</v>
      </c>
      <c r="EC4" s="964" t="s">
        <v>271</v>
      </c>
      <c r="ED4" s="964" t="s">
        <v>272</v>
      </c>
      <c r="EE4" s="964" t="s">
        <v>989</v>
      </c>
      <c r="EF4" s="964" t="s">
        <v>892</v>
      </c>
      <c r="EG4" s="964" t="s">
        <v>893</v>
      </c>
      <c r="EH4" s="964" t="s">
        <v>785</v>
      </c>
      <c r="EI4" s="964" t="s">
        <v>786</v>
      </c>
      <c r="EJ4" s="964" t="s">
        <v>3424</v>
      </c>
      <c r="EK4" s="964" t="s">
        <v>3425</v>
      </c>
      <c r="EL4" s="964" t="s">
        <v>3426</v>
      </c>
      <c r="EM4" s="964" t="s">
        <v>2250</v>
      </c>
      <c r="EN4" s="964" t="s">
        <v>2251</v>
      </c>
      <c r="EO4" s="964" t="s">
        <v>166</v>
      </c>
      <c r="EP4" s="964" t="s">
        <v>167</v>
      </c>
      <c r="EQ4" s="964" t="s">
        <v>168</v>
      </c>
      <c r="ER4" s="964" t="s">
        <v>169</v>
      </c>
      <c r="ES4" s="964" t="s">
        <v>170</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2642</v>
      </c>
      <c r="GN4" s="964" t="s">
        <v>3925</v>
      </c>
      <c r="GO4" s="964" t="s">
        <v>4076</v>
      </c>
      <c r="GP4" s="964" t="s">
        <v>497</v>
      </c>
      <c r="GQ4" s="964" t="s">
        <v>498</v>
      </c>
      <c r="GR4" s="964" t="s">
        <v>499</v>
      </c>
      <c r="GS4" s="964" t="s">
        <v>404</v>
      </c>
      <c r="GT4" s="964" t="s">
        <v>405</v>
      </c>
      <c r="GU4" s="964" t="s">
        <v>406</v>
      </c>
      <c r="GV4" s="964" t="s">
        <v>500</v>
      </c>
      <c r="GW4" s="964" t="s">
        <v>210</v>
      </c>
      <c r="GX4" s="964" t="s">
        <v>407</v>
      </c>
      <c r="GY4" s="964" t="s">
        <v>408</v>
      </c>
      <c r="GZ4" s="964" t="s">
        <v>309</v>
      </c>
      <c r="HA4" s="964" t="s">
        <v>310</v>
      </c>
      <c r="HB4" s="964" t="s">
        <v>311</v>
      </c>
      <c r="HC4" s="964" t="s">
        <v>312</v>
      </c>
      <c r="HD4" s="964" t="s">
        <v>313</v>
      </c>
      <c r="HE4" s="964" t="s">
        <v>314</v>
      </c>
      <c r="HF4" s="964" t="s">
        <v>315</v>
      </c>
      <c r="HG4" s="964" t="s">
        <v>316</v>
      </c>
      <c r="HH4" s="964" t="s">
        <v>317</v>
      </c>
      <c r="HI4" s="964" t="s">
        <v>318</v>
      </c>
      <c r="HJ4" s="964" t="s">
        <v>319</v>
      </c>
      <c r="HK4" s="964" t="s">
        <v>320</v>
      </c>
    </row>
    <row r="5" spans="1:219" s="122" customFormat="1" ht="13.15" customHeight="1">
      <c r="B5" s="5" t="s">
        <v>2936</v>
      </c>
      <c r="D5" s="2"/>
      <c r="E5" s="5"/>
      <c r="F5" s="2"/>
      <c r="G5" s="1302" t="s">
        <v>4040</v>
      </c>
      <c r="O5" s="2"/>
      <c r="P5" s="657" t="s">
        <v>1677</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3072</v>
      </c>
      <c r="D6" s="2"/>
      <c r="E6" s="5"/>
      <c r="G6" s="1303" t="s">
        <v>139</v>
      </c>
      <c r="J6" s="738" t="s">
        <v>3767</v>
      </c>
      <c r="O6" s="2"/>
      <c r="P6" s="658">
        <f>VLOOKUP('Part I-Project Information'!$J$26,'DCA Underwriting Assumptions'!$C$77:$D$187,2)</f>
        <v>41600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67" t="str">
        <f>IF(A48&gt;0,"Finish!","")</f>
        <v/>
      </c>
      <c r="B7" s="5"/>
      <c r="C7" s="2"/>
      <c r="D7" s="5"/>
      <c r="E7" s="2"/>
      <c r="F7" s="2"/>
      <c r="G7" s="2"/>
      <c r="H7" s="2"/>
      <c r="I7" s="2"/>
      <c r="J7" s="3" t="s">
        <v>3768</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67"/>
      <c r="B8" s="220" t="s">
        <v>2134</v>
      </c>
      <c r="C8" s="738" t="s">
        <v>379</v>
      </c>
      <c r="D8" s="738" t="s">
        <v>880</v>
      </c>
      <c r="E8" s="738" t="s">
        <v>2242</v>
      </c>
      <c r="F8" s="738" t="s">
        <v>2242</v>
      </c>
      <c r="G8" s="738" t="s">
        <v>3737</v>
      </c>
      <c r="H8" s="738" t="s">
        <v>3735</v>
      </c>
      <c r="I8" s="738" t="s">
        <v>1373</v>
      </c>
      <c r="J8" s="738" t="s">
        <v>3769</v>
      </c>
      <c r="K8" s="966" t="s">
        <v>416</v>
      </c>
      <c r="L8" s="966"/>
      <c r="M8" s="738" t="s">
        <v>3674</v>
      </c>
      <c r="N8" s="738" t="s">
        <v>976</v>
      </c>
      <c r="O8" s="738" t="s">
        <v>494</v>
      </c>
      <c r="P8" s="969" t="s">
        <v>1578</v>
      </c>
      <c r="Q8" s="969"/>
      <c r="R8" s="739"/>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2094</v>
      </c>
      <c r="EU8" s="445" t="s">
        <v>3702</v>
      </c>
      <c r="EV8" s="445" t="s">
        <v>3703</v>
      </c>
      <c r="EW8" s="445" t="s">
        <v>3704</v>
      </c>
      <c r="EX8" s="445" t="s">
        <v>3705</v>
      </c>
      <c r="EY8" s="964" t="s">
        <v>3882</v>
      </c>
      <c r="EZ8" s="964" t="s">
        <v>3882</v>
      </c>
      <c r="FA8" s="964" t="s">
        <v>3882</v>
      </c>
      <c r="FB8" s="964" t="s">
        <v>3882</v>
      </c>
      <c r="FC8" s="964" t="s">
        <v>3882</v>
      </c>
      <c r="FD8" s="445" t="s">
        <v>760</v>
      </c>
      <c r="FE8" s="445" t="s">
        <v>3702</v>
      </c>
      <c r="FF8" s="445" t="s">
        <v>3703</v>
      </c>
      <c r="FG8" s="445" t="s">
        <v>3704</v>
      </c>
      <c r="FH8" s="445" t="s">
        <v>3705</v>
      </c>
      <c r="FI8" s="964" t="s">
        <v>3884</v>
      </c>
      <c r="FJ8" s="964" t="s">
        <v>3884</v>
      </c>
      <c r="FK8" s="964" t="s">
        <v>3884</v>
      </c>
      <c r="FL8" s="964" t="s">
        <v>3884</v>
      </c>
      <c r="FM8" s="964" t="s">
        <v>3884</v>
      </c>
      <c r="FN8" s="964" t="s">
        <v>597</v>
      </c>
      <c r="FO8" s="964" t="s">
        <v>597</v>
      </c>
      <c r="FP8" s="964" t="s">
        <v>597</v>
      </c>
      <c r="FQ8" s="964" t="s">
        <v>597</v>
      </c>
      <c r="FR8" s="964" t="s">
        <v>597</v>
      </c>
      <c r="FS8" s="964" t="s">
        <v>598</v>
      </c>
      <c r="FT8" s="964" t="s">
        <v>598</v>
      </c>
      <c r="FU8" s="964" t="s">
        <v>598</v>
      </c>
      <c r="FV8" s="964" t="s">
        <v>598</v>
      </c>
      <c r="FW8" s="964" t="s">
        <v>598</v>
      </c>
      <c r="FX8" s="964" t="s">
        <v>599</v>
      </c>
      <c r="FY8" s="964" t="s">
        <v>599</v>
      </c>
      <c r="FZ8" s="964" t="s">
        <v>599</v>
      </c>
      <c r="GA8" s="964" t="s">
        <v>599</v>
      </c>
      <c r="GB8" s="964" t="s">
        <v>599</v>
      </c>
      <c r="GC8" s="964" t="s">
        <v>600</v>
      </c>
      <c r="GD8" s="964" t="s">
        <v>600</v>
      </c>
      <c r="GE8" s="964" t="s">
        <v>600</v>
      </c>
      <c r="GF8" s="964" t="s">
        <v>600</v>
      </c>
      <c r="GG8" s="964" t="s">
        <v>600</v>
      </c>
      <c r="GH8" s="964" t="s">
        <v>2093</v>
      </c>
      <c r="GI8" s="964" t="s">
        <v>2093</v>
      </c>
      <c r="GJ8" s="964" t="s">
        <v>2093</v>
      </c>
      <c r="GK8" s="964" t="s">
        <v>2093</v>
      </c>
      <c r="GL8" s="964" t="s">
        <v>2093</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67"/>
      <c r="B9" s="220" t="s">
        <v>2161</v>
      </c>
      <c r="C9" s="738" t="s">
        <v>466</v>
      </c>
      <c r="D9" s="738" t="s">
        <v>380</v>
      </c>
      <c r="E9" s="738" t="s">
        <v>2243</v>
      </c>
      <c r="F9" s="738" t="s">
        <v>2220</v>
      </c>
      <c r="G9" s="738" t="s">
        <v>2221</v>
      </c>
      <c r="H9" s="738" t="s">
        <v>3736</v>
      </c>
      <c r="I9" s="738" t="s">
        <v>1374</v>
      </c>
      <c r="J9" s="684" t="s">
        <v>712</v>
      </c>
      <c r="K9" s="738" t="s">
        <v>2336</v>
      </c>
      <c r="L9" s="738" t="s">
        <v>772</v>
      </c>
      <c r="M9" s="738" t="s">
        <v>2242</v>
      </c>
      <c r="N9" s="738" t="s">
        <v>2161</v>
      </c>
      <c r="O9" s="738" t="s">
        <v>495</v>
      </c>
      <c r="P9" s="739" t="s">
        <v>1682</v>
      </c>
      <c r="Q9" s="739" t="s">
        <v>1683</v>
      </c>
      <c r="R9" s="739"/>
      <c r="S9" s="739" t="s">
        <v>794</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3881</v>
      </c>
      <c r="EV9" s="445" t="s">
        <v>3881</v>
      </c>
      <c r="EW9" s="445" t="s">
        <v>3881</v>
      </c>
      <c r="EX9" s="445" t="s">
        <v>3881</v>
      </c>
      <c r="EY9" s="964"/>
      <c r="EZ9" s="964"/>
      <c r="FA9" s="964"/>
      <c r="FB9" s="964"/>
      <c r="FC9" s="964"/>
      <c r="FD9" s="445" t="s">
        <v>3883</v>
      </c>
      <c r="FE9" s="445" t="s">
        <v>3883</v>
      </c>
      <c r="FF9" s="445" t="s">
        <v>3883</v>
      </c>
      <c r="FG9" s="445" t="s">
        <v>3883</v>
      </c>
      <c r="FH9" s="445" t="s">
        <v>3883</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4"/>
      <c r="C10" s="1305"/>
      <c r="D10" s="1306"/>
      <c r="E10" s="1307"/>
      <c r="F10" s="1307"/>
      <c r="G10" s="1307"/>
      <c r="H10" s="1307"/>
      <c r="I10" s="1307"/>
      <c r="J10" s="1308"/>
      <c r="K10" s="226">
        <f>MAX(0,H10-I10)</f>
        <v>0</v>
      </c>
      <c r="L10" s="226">
        <f t="shared" ref="L10:L47" si="0">MAX(0,E10*K10)</f>
        <v>0</v>
      </c>
      <c r="M10" s="1309"/>
      <c r="N10" s="1309"/>
      <c r="O10" s="1309"/>
      <c r="P10" s="581" t="str">
        <f>IF(H10="","",H10*12/0.3)</f>
        <v/>
      </c>
      <c r="Q10" s="582" t="str">
        <f>IF(H10="","",P10/($P$6*VLOOKUP(C10,'DCA Underwriting Assumptions'!$J$77:$K$82,2,FALSE)))</f>
        <v/>
      </c>
      <c r="R10" s="739"/>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t="str">
        <f t="shared" ref="Z10:Z47" si="7">IF(AND(C10=1,B10="50% AMI",NOT(M10="Common")),E10,"")</f>
        <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t="str">
        <f t="shared" ref="CC10:CC47" si="32">IF(OR(AND(C10=1,B10="50% AMI",NOT(M10="Common")),AND(C10=1,B10="HOME 50% AMI",NOT(M10="Common"))),E10*F10,"")</f>
        <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t="str">
        <f t="shared" ref="EU10:EU47" si="102">IF(AND($C10=1, NOT(OR($N10="SF Detached",$N10="Mfd Home",$N10="Duplex",$N10="Townhome"))),$E10,"")</f>
        <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0" t="s">
        <v>280</v>
      </c>
      <c r="C11" s="1311">
        <v>1</v>
      </c>
      <c r="D11" s="1312">
        <v>1</v>
      </c>
      <c r="E11" s="1313">
        <v>3</v>
      </c>
      <c r="F11" s="1313">
        <v>762</v>
      </c>
      <c r="G11" s="1313">
        <v>534</v>
      </c>
      <c r="H11" s="1313">
        <v>468</v>
      </c>
      <c r="I11" s="1313">
        <v>133</v>
      </c>
      <c r="J11" s="1314"/>
      <c r="K11" s="227">
        <f t="shared" ref="K11:K27" si="172">MAX(0,H11-I11)</f>
        <v>335</v>
      </c>
      <c r="L11" s="227">
        <f t="shared" si="0"/>
        <v>1005</v>
      </c>
      <c r="M11" s="1315" t="s">
        <v>139</v>
      </c>
      <c r="N11" s="1315" t="s">
        <v>4039</v>
      </c>
      <c r="O11" s="1315" t="s">
        <v>3709</v>
      </c>
      <c r="P11" s="581">
        <f>IF(H11="","",H11*12/0.3)</f>
        <v>18720</v>
      </c>
      <c r="Q11" s="582">
        <f>IF(H11="","",P11/($P$6*VLOOKUP(C11,'DCA Underwriting Assumptions'!$J$77:$K$82,2,FALSE)))</f>
        <v>0.6</v>
      </c>
      <c r="R11" s="739"/>
      <c r="S11" s="659"/>
      <c r="T11" s="113" t="str">
        <f t="shared" si="1"/>
        <v/>
      </c>
      <c r="U11" s="113" t="str">
        <f t="shared" si="2"/>
        <v/>
      </c>
      <c r="V11" s="113" t="str">
        <f t="shared" si="3"/>
        <v/>
      </c>
      <c r="W11" s="113" t="str">
        <f t="shared" si="4"/>
        <v/>
      </c>
      <c r="X11" s="113" t="str">
        <f t="shared" si="5"/>
        <v/>
      </c>
      <c r="Y11" s="113" t="str">
        <f t="shared" si="6"/>
        <v/>
      </c>
      <c r="Z11" s="113">
        <f t="shared" si="7"/>
        <v>3</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f t="shared" si="32"/>
        <v>2286</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f t="shared" si="57"/>
        <v>3</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f t="shared" si="102"/>
        <v>3</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f t="shared" si="132"/>
        <v>3</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0" t="s">
        <v>280</v>
      </c>
      <c r="C12" s="1311">
        <v>2</v>
      </c>
      <c r="D12" s="1312">
        <v>2</v>
      </c>
      <c r="E12" s="1313">
        <v>10</v>
      </c>
      <c r="F12" s="1313">
        <v>1078</v>
      </c>
      <c r="G12" s="1313">
        <v>641</v>
      </c>
      <c r="H12" s="1313">
        <v>518</v>
      </c>
      <c r="I12" s="1313">
        <v>163</v>
      </c>
      <c r="J12" s="1314"/>
      <c r="K12" s="227">
        <f t="shared" si="172"/>
        <v>355</v>
      </c>
      <c r="L12" s="227">
        <f t="shared" si="0"/>
        <v>3550</v>
      </c>
      <c r="M12" s="1315" t="s">
        <v>139</v>
      </c>
      <c r="N12" s="1315" t="s">
        <v>4039</v>
      </c>
      <c r="O12" s="1315" t="s">
        <v>3709</v>
      </c>
      <c r="P12" s="581">
        <f>IF(H12="","",H12*12/0.3)</f>
        <v>20720</v>
      </c>
      <c r="Q12" s="582">
        <f>IF(H12="","",P12/($P$6*VLOOKUP(C12,'DCA Underwriting Assumptions'!$J$77:$K$82,2,FALSE)))</f>
        <v>0.55341880341880345</v>
      </c>
      <c r="R12" s="739"/>
      <c r="S12" s="659"/>
      <c r="T12" s="113" t="str">
        <f t="shared" si="1"/>
        <v/>
      </c>
      <c r="U12" s="113" t="str">
        <f t="shared" si="2"/>
        <v/>
      </c>
      <c r="V12" s="113" t="str">
        <f t="shared" si="3"/>
        <v/>
      </c>
      <c r="W12" s="113" t="str">
        <f t="shared" si="4"/>
        <v/>
      </c>
      <c r="X12" s="113" t="str">
        <f t="shared" si="5"/>
        <v/>
      </c>
      <c r="Y12" s="113" t="str">
        <f t="shared" si="6"/>
        <v/>
      </c>
      <c r="Z12" s="113" t="str">
        <f t="shared" si="7"/>
        <v/>
      </c>
      <c r="AA12" s="113">
        <f t="shared" si="8"/>
        <v>10</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f t="shared" si="33"/>
        <v>10780</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f t="shared" si="58"/>
        <v>10</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f t="shared" si="103"/>
        <v>10</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f t="shared" si="133"/>
        <v>10</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0"/>
      <c r="C13" s="1311"/>
      <c r="D13" s="1312"/>
      <c r="E13" s="1313"/>
      <c r="F13" s="1313"/>
      <c r="G13" s="1313"/>
      <c r="H13" s="1313"/>
      <c r="I13" s="1313"/>
      <c r="J13" s="1314"/>
      <c r="K13" s="227">
        <f t="shared" si="172"/>
        <v>0</v>
      </c>
      <c r="L13" s="227">
        <f t="shared" si="0"/>
        <v>0</v>
      </c>
      <c r="M13" s="1315"/>
      <c r="N13" s="1315"/>
      <c r="O13" s="1315"/>
      <c r="P13" s="581" t="str">
        <f>IF(H13="","",H13*12/0.3)</f>
        <v/>
      </c>
      <c r="Q13" s="582" t="str">
        <f>IF(H13="","",P13/($P$6*VLOOKUP(C13,'DCA Underwriting Assumptions'!$J$77:$K$82,2,FALSE)))</f>
        <v/>
      </c>
      <c r="R13" s="739"/>
      <c r="S13" s="659"/>
      <c r="T13" s="113" t="str">
        <f t="shared" si="1"/>
        <v/>
      </c>
      <c r="U13" s="113" t="str">
        <f t="shared" si="2"/>
        <v/>
      </c>
      <c r="V13" s="113" t="str">
        <f t="shared" si="3"/>
        <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t="str">
        <f t="shared" si="28"/>
        <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0" t="s">
        <v>2009</v>
      </c>
      <c r="C14" s="1311">
        <v>1</v>
      </c>
      <c r="D14" s="1312">
        <v>1</v>
      </c>
      <c r="E14" s="1313">
        <v>5</v>
      </c>
      <c r="F14" s="1313">
        <v>762</v>
      </c>
      <c r="G14" s="1313">
        <v>610</v>
      </c>
      <c r="H14" s="1313">
        <v>468</v>
      </c>
      <c r="I14" s="1313">
        <v>133</v>
      </c>
      <c r="J14" s="1314"/>
      <c r="K14" s="227">
        <f t="shared" si="172"/>
        <v>335</v>
      </c>
      <c r="L14" s="227">
        <f t="shared" si="0"/>
        <v>1675</v>
      </c>
      <c r="M14" s="1315" t="s">
        <v>139</v>
      </c>
      <c r="N14" s="1315" t="s">
        <v>4039</v>
      </c>
      <c r="O14" s="1315" t="s">
        <v>3709</v>
      </c>
      <c r="P14" s="581">
        <f>IF(H14="","",H14*12/0.3)</f>
        <v>18720</v>
      </c>
      <c r="Q14" s="582">
        <f>IF(H14="","",P14/($P$6*VLOOKUP(C14,'DCA Underwriting Assumptions'!$J$77:$K$82,2,FALSE)))</f>
        <v>0.6</v>
      </c>
      <c r="R14" s="739"/>
      <c r="S14" s="659"/>
      <c r="T14" s="113" t="str">
        <f t="shared" si="1"/>
        <v/>
      </c>
      <c r="U14" s="113">
        <f t="shared" si="2"/>
        <v>5</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f t="shared" si="27"/>
        <v>3810</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f t="shared" si="57"/>
        <v>5</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f t="shared" si="102"/>
        <v>5</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f t="shared" si="132"/>
        <v>5</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0" t="s">
        <v>2009</v>
      </c>
      <c r="C15" s="1311">
        <v>2</v>
      </c>
      <c r="D15" s="1312">
        <v>2</v>
      </c>
      <c r="E15" s="1313">
        <v>46</v>
      </c>
      <c r="F15" s="1313">
        <v>1078</v>
      </c>
      <c r="G15" s="1313">
        <v>718</v>
      </c>
      <c r="H15" s="1313">
        <v>518</v>
      </c>
      <c r="I15" s="1313">
        <v>163</v>
      </c>
      <c r="J15" s="1314"/>
      <c r="K15" s="227">
        <f t="shared" si="172"/>
        <v>355</v>
      </c>
      <c r="L15" s="227">
        <f t="shared" si="0"/>
        <v>16330</v>
      </c>
      <c r="M15" s="1315" t="s">
        <v>139</v>
      </c>
      <c r="N15" s="1315" t="s">
        <v>4039</v>
      </c>
      <c r="O15" s="1315" t="s">
        <v>3709</v>
      </c>
      <c r="P15" s="581">
        <f t="shared" ref="P15:P47" si="203">IF(H15="","",H15*12/0.3)</f>
        <v>20720</v>
      </c>
      <c r="Q15" s="582">
        <f>IF(H15="","",P15/($P$6*VLOOKUP(C15,'DCA Underwriting Assumptions'!$J$77:$K$82,2,FALSE)))</f>
        <v>0.55341880341880345</v>
      </c>
      <c r="R15" s="739"/>
      <c r="S15" s="659"/>
      <c r="T15" s="113" t="str">
        <f t="shared" si="1"/>
        <v/>
      </c>
      <c r="U15" s="113" t="str">
        <f t="shared" si="2"/>
        <v/>
      </c>
      <c r="V15" s="113">
        <f t="shared" si="3"/>
        <v>46</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f t="shared" si="28"/>
        <v>49588</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f t="shared" si="58"/>
        <v>46</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f t="shared" si="103"/>
        <v>46</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f t="shared" si="133"/>
        <v>46</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0"/>
      <c r="C16" s="1311"/>
      <c r="D16" s="1312"/>
      <c r="E16" s="1313"/>
      <c r="F16" s="1313"/>
      <c r="G16" s="1313"/>
      <c r="H16" s="1313"/>
      <c r="I16" s="1313"/>
      <c r="J16" s="1314"/>
      <c r="K16" s="227">
        <f t="shared" si="172"/>
        <v>0</v>
      </c>
      <c r="L16" s="227">
        <f t="shared" si="0"/>
        <v>0</v>
      </c>
      <c r="M16" s="1315"/>
      <c r="N16" s="1315"/>
      <c r="O16" s="1315"/>
      <c r="P16" s="581" t="str">
        <f t="shared" si="203"/>
        <v/>
      </c>
      <c r="Q16" s="582" t="str">
        <f>IF(H16="","",P16/($P$6*VLOOKUP(C16,'DCA Underwriting Assumptions'!$J$77:$K$82,2,FALSE)))</f>
        <v/>
      </c>
      <c r="R16" s="739"/>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0"/>
      <c r="C17" s="1311"/>
      <c r="D17" s="1312"/>
      <c r="E17" s="1313"/>
      <c r="F17" s="1313"/>
      <c r="G17" s="1313"/>
      <c r="H17" s="1313"/>
      <c r="I17" s="1313"/>
      <c r="J17" s="1314"/>
      <c r="K17" s="227">
        <f t="shared" si="172"/>
        <v>0</v>
      </c>
      <c r="L17" s="227">
        <f t="shared" si="0"/>
        <v>0</v>
      </c>
      <c r="M17" s="1315"/>
      <c r="N17" s="1315"/>
      <c r="O17" s="1315"/>
      <c r="P17" s="581" t="str">
        <f t="shared" si="203"/>
        <v/>
      </c>
      <c r="Q17" s="582" t="str">
        <f>IF(H17="","",P17/($P$6*VLOOKUP(C17,'DCA Underwriting Assumptions'!$J$77:$K$82,2,FALSE)))</f>
        <v/>
      </c>
      <c r="R17" s="739"/>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0"/>
      <c r="C18" s="1311"/>
      <c r="D18" s="1312"/>
      <c r="E18" s="1313"/>
      <c r="F18" s="1313"/>
      <c r="G18" s="1313"/>
      <c r="H18" s="1313"/>
      <c r="I18" s="1313"/>
      <c r="J18" s="1314"/>
      <c r="K18" s="227">
        <f t="shared" si="172"/>
        <v>0</v>
      </c>
      <c r="L18" s="227">
        <f t="shared" si="0"/>
        <v>0</v>
      </c>
      <c r="M18" s="1315"/>
      <c r="N18" s="1315"/>
      <c r="O18" s="1315"/>
      <c r="P18" s="581" t="str">
        <f t="shared" si="203"/>
        <v/>
      </c>
      <c r="Q18" s="582" t="str">
        <f>IF(H18="","",P18/($P$6*VLOOKUP(C18,'DCA Underwriting Assumptions'!$J$77:$K$82,2,FALSE)))</f>
        <v/>
      </c>
      <c r="R18" s="739"/>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0"/>
      <c r="C19" s="1311"/>
      <c r="D19" s="1312"/>
      <c r="E19" s="1313"/>
      <c r="F19" s="1313"/>
      <c r="G19" s="1313"/>
      <c r="H19" s="1313"/>
      <c r="I19" s="1313"/>
      <c r="J19" s="1314"/>
      <c r="K19" s="227">
        <f t="shared" si="172"/>
        <v>0</v>
      </c>
      <c r="L19" s="227">
        <f t="shared" si="0"/>
        <v>0</v>
      </c>
      <c r="M19" s="1315"/>
      <c r="N19" s="1315"/>
      <c r="O19" s="1315"/>
      <c r="P19" s="581" t="str">
        <f t="shared" si="203"/>
        <v/>
      </c>
      <c r="Q19" s="582" t="str">
        <f>IF(H19="","",P19/($P$6*VLOOKUP(C19,'DCA Underwriting Assumptions'!$J$77:$K$82,2,FALSE)))</f>
        <v/>
      </c>
      <c r="R19" s="739"/>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0"/>
      <c r="C20" s="1311"/>
      <c r="D20" s="1312"/>
      <c r="E20" s="1313"/>
      <c r="F20" s="1313"/>
      <c r="G20" s="1313"/>
      <c r="H20" s="1313"/>
      <c r="I20" s="1313"/>
      <c r="J20" s="1314"/>
      <c r="K20" s="227">
        <f t="shared" si="172"/>
        <v>0</v>
      </c>
      <c r="L20" s="227">
        <f t="shared" si="0"/>
        <v>0</v>
      </c>
      <c r="M20" s="1315"/>
      <c r="N20" s="1315"/>
      <c r="O20" s="1315"/>
      <c r="P20" s="581" t="str">
        <f t="shared" si="203"/>
        <v/>
      </c>
      <c r="Q20" s="582" t="str">
        <f>IF(H20="","",P20/($P$6*VLOOKUP(C20,'DCA Underwriting Assumptions'!$J$77:$K$82,2,FALSE)))</f>
        <v/>
      </c>
      <c r="R20" s="739"/>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0"/>
      <c r="C21" s="1311"/>
      <c r="D21" s="1312"/>
      <c r="E21" s="1313"/>
      <c r="F21" s="1313"/>
      <c r="G21" s="1313"/>
      <c r="H21" s="1313"/>
      <c r="I21" s="1313"/>
      <c r="J21" s="1314"/>
      <c r="K21" s="227">
        <f t="shared" si="172"/>
        <v>0</v>
      </c>
      <c r="L21" s="227">
        <f t="shared" si="0"/>
        <v>0</v>
      </c>
      <c r="M21" s="1315"/>
      <c r="N21" s="1315"/>
      <c r="O21" s="1315"/>
      <c r="P21" s="581" t="str">
        <f t="shared" si="203"/>
        <v/>
      </c>
      <c r="Q21" s="582" t="str">
        <f>IF(H21="","",P21/($P$6*VLOOKUP(C21,'DCA Underwriting Assumptions'!$J$77:$K$82,2,FALSE)))</f>
        <v/>
      </c>
      <c r="R21" s="739"/>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0"/>
      <c r="C22" s="1311"/>
      <c r="D22" s="1312"/>
      <c r="E22" s="1313"/>
      <c r="F22" s="1313"/>
      <c r="G22" s="1313"/>
      <c r="H22" s="1313"/>
      <c r="I22" s="1313"/>
      <c r="J22" s="1314"/>
      <c r="K22" s="227">
        <f t="shared" si="172"/>
        <v>0</v>
      </c>
      <c r="L22" s="227">
        <f t="shared" si="0"/>
        <v>0</v>
      </c>
      <c r="M22" s="1315"/>
      <c r="N22" s="1315"/>
      <c r="O22" s="1315"/>
      <c r="P22" s="581" t="str">
        <f t="shared" si="203"/>
        <v/>
      </c>
      <c r="Q22" s="582" t="str">
        <f>IF(H22="","",P22/($P$6*VLOOKUP(C22,'DCA Underwriting Assumptions'!$J$77:$K$82,2,FALSE)))</f>
        <v/>
      </c>
      <c r="R22" s="739"/>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0"/>
      <c r="C23" s="1311"/>
      <c r="D23" s="1312"/>
      <c r="E23" s="1313"/>
      <c r="F23" s="1313"/>
      <c r="G23" s="1313"/>
      <c r="H23" s="1313"/>
      <c r="I23" s="1313"/>
      <c r="J23" s="1314"/>
      <c r="K23" s="227">
        <f t="shared" si="172"/>
        <v>0</v>
      </c>
      <c r="L23" s="227">
        <f t="shared" si="0"/>
        <v>0</v>
      </c>
      <c r="M23" s="1315"/>
      <c r="N23" s="1315"/>
      <c r="O23" s="1315"/>
      <c r="P23" s="581" t="str">
        <f t="shared" si="203"/>
        <v/>
      </c>
      <c r="Q23" s="582" t="str">
        <f>IF(H23="","",P23/($P$6*VLOOKUP(C23,'DCA Underwriting Assumptions'!$J$77:$K$82,2,FALSE)))</f>
        <v/>
      </c>
      <c r="R23" s="739"/>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0"/>
      <c r="C24" s="1311"/>
      <c r="D24" s="1312"/>
      <c r="E24" s="1313"/>
      <c r="F24" s="1313"/>
      <c r="G24" s="1313"/>
      <c r="H24" s="1313"/>
      <c r="I24" s="1313"/>
      <c r="J24" s="1314"/>
      <c r="K24" s="227">
        <f t="shared" si="172"/>
        <v>0</v>
      </c>
      <c r="L24" s="227">
        <f t="shared" si="0"/>
        <v>0</v>
      </c>
      <c r="M24" s="1315"/>
      <c r="N24" s="1315"/>
      <c r="O24" s="1315"/>
      <c r="P24" s="581" t="str">
        <f t="shared" si="203"/>
        <v/>
      </c>
      <c r="Q24" s="582" t="str">
        <f>IF(H24="","",P24/($P$6*VLOOKUP(C24,'DCA Underwriting Assumptions'!$J$77:$K$82,2,FALSE)))</f>
        <v/>
      </c>
      <c r="R24" s="739"/>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0"/>
      <c r="C25" s="1311"/>
      <c r="D25" s="1312"/>
      <c r="E25" s="1313"/>
      <c r="F25" s="1313"/>
      <c r="G25" s="1313"/>
      <c r="H25" s="1313"/>
      <c r="I25" s="1313"/>
      <c r="J25" s="1314"/>
      <c r="K25" s="227">
        <f t="shared" si="172"/>
        <v>0</v>
      </c>
      <c r="L25" s="227">
        <f t="shared" si="0"/>
        <v>0</v>
      </c>
      <c r="M25" s="1315"/>
      <c r="N25" s="1315"/>
      <c r="O25" s="1315"/>
      <c r="P25" s="581" t="str">
        <f t="shared" si="203"/>
        <v/>
      </c>
      <c r="Q25" s="582" t="str">
        <f>IF(H25="","",P25/($P$6*VLOOKUP(C25,'DCA Underwriting Assumptions'!$J$77:$K$82,2,FALSE)))</f>
        <v/>
      </c>
      <c r="R25" s="739"/>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0"/>
      <c r="C26" s="1311"/>
      <c r="D26" s="1312"/>
      <c r="E26" s="1313"/>
      <c r="F26" s="1313"/>
      <c r="G26" s="1313"/>
      <c r="H26" s="1313"/>
      <c r="I26" s="1313"/>
      <c r="J26" s="1314"/>
      <c r="K26" s="227">
        <f t="shared" si="172"/>
        <v>0</v>
      </c>
      <c r="L26" s="227">
        <f t="shared" si="0"/>
        <v>0</v>
      </c>
      <c r="M26" s="1315"/>
      <c r="N26" s="1315"/>
      <c r="O26" s="1315"/>
      <c r="P26" s="581" t="str">
        <f t="shared" si="203"/>
        <v/>
      </c>
      <c r="Q26" s="582" t="str">
        <f>IF(H26="","",P26/($P$6*VLOOKUP(C26,'DCA Underwriting Assumptions'!$J$77:$K$82,2,FALSE)))</f>
        <v/>
      </c>
      <c r="R26" s="739"/>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0"/>
      <c r="C27" s="1311"/>
      <c r="D27" s="1312"/>
      <c r="E27" s="1313"/>
      <c r="F27" s="1313"/>
      <c r="G27" s="1313"/>
      <c r="H27" s="1313"/>
      <c r="I27" s="1313"/>
      <c r="J27" s="1314"/>
      <c r="K27" s="227">
        <f t="shared" si="172"/>
        <v>0</v>
      </c>
      <c r="L27" s="227">
        <f t="shared" si="0"/>
        <v>0</v>
      </c>
      <c r="M27" s="1315"/>
      <c r="N27" s="1315"/>
      <c r="O27" s="1315"/>
      <c r="P27" s="581" t="str">
        <f t="shared" si="203"/>
        <v/>
      </c>
      <c r="Q27" s="582" t="str">
        <f>IF(H27="","",P27/($P$6*VLOOKUP(C27,'DCA Underwriting Assumptions'!$J$77:$K$82,2,FALSE)))</f>
        <v/>
      </c>
      <c r="R27" s="739"/>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0"/>
      <c r="C28" s="1311"/>
      <c r="D28" s="1312"/>
      <c r="E28" s="1313"/>
      <c r="F28" s="1313"/>
      <c r="G28" s="1313"/>
      <c r="H28" s="1313"/>
      <c r="I28" s="1313"/>
      <c r="J28" s="1314"/>
      <c r="K28" s="227">
        <f>MAX(0,H28-I28)</f>
        <v>0</v>
      </c>
      <c r="L28" s="227">
        <f t="shared" si="0"/>
        <v>0</v>
      </c>
      <c r="M28" s="1315"/>
      <c r="N28" s="1315"/>
      <c r="O28" s="1315"/>
      <c r="P28" s="581" t="str">
        <f t="shared" si="203"/>
        <v/>
      </c>
      <c r="Q28" s="582" t="str">
        <f>IF(H28="","",P28/($P$6*VLOOKUP(C28,'DCA Underwriting Assumptions'!$J$77:$K$82,2,FALSE)))</f>
        <v/>
      </c>
      <c r="R28" s="739"/>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0"/>
      <c r="C29" s="1311"/>
      <c r="D29" s="1312"/>
      <c r="E29" s="1313"/>
      <c r="F29" s="1313"/>
      <c r="G29" s="1313"/>
      <c r="H29" s="1313"/>
      <c r="I29" s="1313"/>
      <c r="J29" s="1314"/>
      <c r="K29" s="227">
        <f t="shared" ref="K29:K47" si="204">MAX(0,H29-I29)</f>
        <v>0</v>
      </c>
      <c r="L29" s="227">
        <f t="shared" si="0"/>
        <v>0</v>
      </c>
      <c r="M29" s="1315"/>
      <c r="N29" s="1315"/>
      <c r="O29" s="1315"/>
      <c r="P29" s="581" t="str">
        <f t="shared" si="203"/>
        <v/>
      </c>
      <c r="Q29" s="582" t="str">
        <f>IF(H29="","",P29/($P$6*VLOOKUP(C29,'DCA Underwriting Assumptions'!$J$77:$K$82,2,FALSE)))</f>
        <v/>
      </c>
      <c r="R29" s="739"/>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0"/>
      <c r="C30" s="1311"/>
      <c r="D30" s="1312"/>
      <c r="E30" s="1313"/>
      <c r="F30" s="1313"/>
      <c r="G30" s="1313"/>
      <c r="H30" s="1313"/>
      <c r="I30" s="1313"/>
      <c r="J30" s="1314"/>
      <c r="K30" s="227">
        <f t="shared" si="204"/>
        <v>0</v>
      </c>
      <c r="L30" s="227">
        <f t="shared" si="0"/>
        <v>0</v>
      </c>
      <c r="M30" s="1315"/>
      <c r="N30" s="1315"/>
      <c r="O30" s="1315"/>
      <c r="P30" s="581" t="str">
        <f t="shared" si="203"/>
        <v/>
      </c>
      <c r="Q30" s="582" t="str">
        <f>IF(H30="","",P30/($P$6*VLOOKUP(C30,'DCA Underwriting Assumptions'!$J$77:$K$82,2,FALSE)))</f>
        <v/>
      </c>
      <c r="R30" s="739"/>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0"/>
      <c r="C31" s="1311"/>
      <c r="D31" s="1312"/>
      <c r="E31" s="1313"/>
      <c r="F31" s="1313"/>
      <c r="G31" s="1313"/>
      <c r="H31" s="1313"/>
      <c r="I31" s="1313"/>
      <c r="J31" s="1314"/>
      <c r="K31" s="227">
        <f t="shared" si="204"/>
        <v>0</v>
      </c>
      <c r="L31" s="227">
        <f t="shared" si="0"/>
        <v>0</v>
      </c>
      <c r="M31" s="1315"/>
      <c r="N31" s="1315"/>
      <c r="O31" s="1315"/>
      <c r="P31" s="581" t="str">
        <f t="shared" si="203"/>
        <v/>
      </c>
      <c r="Q31" s="582" t="str">
        <f>IF(H31="","",P31/($P$6*VLOOKUP(C31,'DCA Underwriting Assumptions'!$J$77:$K$82,2,FALSE)))</f>
        <v/>
      </c>
      <c r="R31" s="739"/>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0"/>
      <c r="C32" s="1311"/>
      <c r="D32" s="1312"/>
      <c r="E32" s="1313"/>
      <c r="F32" s="1313"/>
      <c r="G32" s="1313"/>
      <c r="H32" s="1313"/>
      <c r="I32" s="1313"/>
      <c r="J32" s="1314"/>
      <c r="K32" s="227">
        <f t="shared" si="204"/>
        <v>0</v>
      </c>
      <c r="L32" s="227">
        <f t="shared" si="0"/>
        <v>0</v>
      </c>
      <c r="M32" s="1315"/>
      <c r="N32" s="1315"/>
      <c r="O32" s="1315"/>
      <c r="P32" s="581" t="str">
        <f t="shared" si="203"/>
        <v/>
      </c>
      <c r="Q32" s="582" t="str">
        <f>IF(H32="","",P32/($P$6*VLOOKUP(C32,'DCA Underwriting Assumptions'!$J$77:$K$82,2,FALSE)))</f>
        <v/>
      </c>
      <c r="R32" s="739"/>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0"/>
      <c r="C33" s="1311"/>
      <c r="D33" s="1312"/>
      <c r="E33" s="1313"/>
      <c r="F33" s="1313"/>
      <c r="G33" s="1313"/>
      <c r="H33" s="1313"/>
      <c r="I33" s="1313"/>
      <c r="J33" s="1314"/>
      <c r="K33" s="227">
        <f t="shared" si="204"/>
        <v>0</v>
      </c>
      <c r="L33" s="227">
        <f t="shared" si="0"/>
        <v>0</v>
      </c>
      <c r="M33" s="1315"/>
      <c r="N33" s="1315"/>
      <c r="O33" s="1315"/>
      <c r="P33" s="581" t="str">
        <f t="shared" si="203"/>
        <v/>
      </c>
      <c r="Q33" s="582" t="str">
        <f>IF(H33="","",P33/($P$6*VLOOKUP(C33,'DCA Underwriting Assumptions'!$J$77:$K$82,2,FALSE)))</f>
        <v/>
      </c>
      <c r="R33" s="739"/>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0"/>
      <c r="C34" s="1311"/>
      <c r="D34" s="1312"/>
      <c r="E34" s="1313"/>
      <c r="F34" s="1313"/>
      <c r="G34" s="1313"/>
      <c r="H34" s="1313"/>
      <c r="I34" s="1313"/>
      <c r="J34" s="1314"/>
      <c r="K34" s="227">
        <f t="shared" si="204"/>
        <v>0</v>
      </c>
      <c r="L34" s="227">
        <f t="shared" si="0"/>
        <v>0</v>
      </c>
      <c r="M34" s="1315"/>
      <c r="N34" s="1315"/>
      <c r="O34" s="1315"/>
      <c r="P34" s="581" t="str">
        <f t="shared" si="203"/>
        <v/>
      </c>
      <c r="Q34" s="582" t="str">
        <f>IF(H34="","",P34/($P$6*VLOOKUP(C34,'DCA Underwriting Assumptions'!$J$77:$K$82,2,FALSE)))</f>
        <v/>
      </c>
      <c r="R34" s="739"/>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0"/>
      <c r="C35" s="1311"/>
      <c r="D35" s="1312"/>
      <c r="E35" s="1313"/>
      <c r="F35" s="1313"/>
      <c r="G35" s="1313"/>
      <c r="H35" s="1313"/>
      <c r="I35" s="1313"/>
      <c r="J35" s="1314"/>
      <c r="K35" s="227">
        <f t="shared" si="204"/>
        <v>0</v>
      </c>
      <c r="L35" s="227">
        <f t="shared" si="0"/>
        <v>0</v>
      </c>
      <c r="M35" s="1315"/>
      <c r="N35" s="1315"/>
      <c r="O35" s="1315"/>
      <c r="P35" s="581" t="str">
        <f t="shared" si="203"/>
        <v/>
      </c>
      <c r="Q35" s="582" t="str">
        <f>IF(H35="","",P35/($P$6*VLOOKUP(C35,'DCA Underwriting Assumptions'!$J$77:$K$82,2,FALSE)))</f>
        <v/>
      </c>
      <c r="R35" s="739"/>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0"/>
      <c r="C36" s="1311"/>
      <c r="D36" s="1312"/>
      <c r="E36" s="1313"/>
      <c r="F36" s="1313"/>
      <c r="G36" s="1313"/>
      <c r="H36" s="1313"/>
      <c r="I36" s="1313"/>
      <c r="J36" s="1314"/>
      <c r="K36" s="227">
        <f t="shared" si="204"/>
        <v>0</v>
      </c>
      <c r="L36" s="227">
        <f t="shared" si="0"/>
        <v>0</v>
      </c>
      <c r="M36" s="1315"/>
      <c r="N36" s="1315"/>
      <c r="O36" s="1315"/>
      <c r="P36" s="581" t="str">
        <f t="shared" si="203"/>
        <v/>
      </c>
      <c r="Q36" s="582" t="str">
        <f>IF(H36="","",P36/($P$6*VLOOKUP(C36,'DCA Underwriting Assumptions'!$J$77:$K$82,2,FALSE)))</f>
        <v/>
      </c>
      <c r="R36" s="739"/>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0"/>
      <c r="C37" s="1311"/>
      <c r="D37" s="1312"/>
      <c r="E37" s="1313"/>
      <c r="F37" s="1313"/>
      <c r="G37" s="1313"/>
      <c r="H37" s="1313"/>
      <c r="I37" s="1313"/>
      <c r="J37" s="1314"/>
      <c r="K37" s="227">
        <f t="shared" si="204"/>
        <v>0</v>
      </c>
      <c r="L37" s="227">
        <f t="shared" si="0"/>
        <v>0</v>
      </c>
      <c r="M37" s="1315"/>
      <c r="N37" s="1315"/>
      <c r="O37" s="1315"/>
      <c r="P37" s="581" t="str">
        <f t="shared" si="203"/>
        <v/>
      </c>
      <c r="Q37" s="582" t="str">
        <f>IF(H37="","",P37/($P$6*VLOOKUP(C37,'DCA Underwriting Assumptions'!$J$77:$K$82,2,FALSE)))</f>
        <v/>
      </c>
      <c r="R37" s="739"/>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0"/>
      <c r="C38" s="1311"/>
      <c r="D38" s="1312"/>
      <c r="E38" s="1313"/>
      <c r="F38" s="1313"/>
      <c r="G38" s="1313"/>
      <c r="H38" s="1313"/>
      <c r="I38" s="1313"/>
      <c r="J38" s="1314"/>
      <c r="K38" s="227">
        <f>MAX(0,H38-I38)</f>
        <v>0</v>
      </c>
      <c r="L38" s="227">
        <f t="shared" si="0"/>
        <v>0</v>
      </c>
      <c r="M38" s="1315"/>
      <c r="N38" s="1315"/>
      <c r="O38" s="1315"/>
      <c r="P38" s="581" t="str">
        <f t="shared" si="203"/>
        <v/>
      </c>
      <c r="Q38" s="582" t="str">
        <f>IF(H38="","",P38/($P$6*VLOOKUP(C38,'DCA Underwriting Assumptions'!$J$77:$K$82,2,FALSE)))</f>
        <v/>
      </c>
      <c r="R38" s="739"/>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0"/>
      <c r="C39" s="1311"/>
      <c r="D39" s="1312"/>
      <c r="E39" s="1313"/>
      <c r="F39" s="1313"/>
      <c r="G39" s="1313"/>
      <c r="H39" s="1313"/>
      <c r="I39" s="1313"/>
      <c r="J39" s="1314"/>
      <c r="K39" s="227">
        <f t="shared" ref="K39:K46" si="205">MAX(0,H39-I39)</f>
        <v>0</v>
      </c>
      <c r="L39" s="227">
        <f t="shared" si="0"/>
        <v>0</v>
      </c>
      <c r="M39" s="1315"/>
      <c r="N39" s="1315"/>
      <c r="O39" s="1315"/>
      <c r="P39" s="581" t="str">
        <f t="shared" si="203"/>
        <v/>
      </c>
      <c r="Q39" s="582" t="str">
        <f>IF(H39="","",P39/($P$6*VLOOKUP(C39,'DCA Underwriting Assumptions'!$J$77:$K$82,2,FALSE)))</f>
        <v/>
      </c>
      <c r="R39" s="739"/>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0"/>
      <c r="C40" s="1311"/>
      <c r="D40" s="1312"/>
      <c r="E40" s="1313"/>
      <c r="F40" s="1313"/>
      <c r="G40" s="1313"/>
      <c r="H40" s="1313"/>
      <c r="I40" s="1313"/>
      <c r="J40" s="1314"/>
      <c r="K40" s="227">
        <f t="shared" si="205"/>
        <v>0</v>
      </c>
      <c r="L40" s="227">
        <f t="shared" si="0"/>
        <v>0</v>
      </c>
      <c r="M40" s="1315"/>
      <c r="N40" s="1315"/>
      <c r="O40" s="1315"/>
      <c r="P40" s="581" t="str">
        <f t="shared" si="203"/>
        <v/>
      </c>
      <c r="Q40" s="582" t="str">
        <f>IF(H40="","",P40/($P$6*VLOOKUP(C40,'DCA Underwriting Assumptions'!$J$77:$K$82,2,FALSE)))</f>
        <v/>
      </c>
      <c r="R40" s="739"/>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0"/>
      <c r="C41" s="1311"/>
      <c r="D41" s="1312"/>
      <c r="E41" s="1313"/>
      <c r="F41" s="1313"/>
      <c r="G41" s="1313"/>
      <c r="H41" s="1313"/>
      <c r="I41" s="1313"/>
      <c r="J41" s="1314"/>
      <c r="K41" s="227">
        <f t="shared" si="205"/>
        <v>0</v>
      </c>
      <c r="L41" s="227">
        <f t="shared" si="0"/>
        <v>0</v>
      </c>
      <c r="M41" s="1315"/>
      <c r="N41" s="1315"/>
      <c r="O41" s="1315"/>
      <c r="P41" s="581" t="str">
        <f t="shared" si="203"/>
        <v/>
      </c>
      <c r="Q41" s="582" t="str">
        <f>IF(H41="","",P41/($P$6*VLOOKUP(C41,'DCA Underwriting Assumptions'!$J$77:$K$82,2,FALSE)))</f>
        <v/>
      </c>
      <c r="R41" s="739"/>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0"/>
      <c r="C42" s="1311"/>
      <c r="D42" s="1312"/>
      <c r="E42" s="1313"/>
      <c r="F42" s="1313"/>
      <c r="G42" s="1313"/>
      <c r="H42" s="1313"/>
      <c r="I42" s="1313"/>
      <c r="J42" s="1314"/>
      <c r="K42" s="227">
        <f t="shared" si="205"/>
        <v>0</v>
      </c>
      <c r="L42" s="227">
        <f t="shared" si="0"/>
        <v>0</v>
      </c>
      <c r="M42" s="1315"/>
      <c r="N42" s="1315"/>
      <c r="O42" s="1315"/>
      <c r="P42" s="581" t="str">
        <f t="shared" si="203"/>
        <v/>
      </c>
      <c r="Q42" s="582" t="str">
        <f>IF(H42="","",P42/($P$6*VLOOKUP(C42,'DCA Underwriting Assumptions'!$J$77:$K$82,2,FALSE)))</f>
        <v/>
      </c>
      <c r="R42" s="739"/>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0"/>
      <c r="C43" s="1311"/>
      <c r="D43" s="1312"/>
      <c r="E43" s="1313"/>
      <c r="F43" s="1313"/>
      <c r="G43" s="1313"/>
      <c r="H43" s="1313"/>
      <c r="I43" s="1313"/>
      <c r="J43" s="1314"/>
      <c r="K43" s="227">
        <f t="shared" si="205"/>
        <v>0</v>
      </c>
      <c r="L43" s="227">
        <f t="shared" si="0"/>
        <v>0</v>
      </c>
      <c r="M43" s="1315"/>
      <c r="N43" s="1315"/>
      <c r="O43" s="1315"/>
      <c r="P43" s="581" t="str">
        <f t="shared" si="203"/>
        <v/>
      </c>
      <c r="Q43" s="582" t="str">
        <f>IF(H43="","",P43/($P$6*VLOOKUP(C43,'DCA Underwriting Assumptions'!$J$77:$K$82,2,FALSE)))</f>
        <v/>
      </c>
      <c r="R43" s="739"/>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0"/>
      <c r="C44" s="1311"/>
      <c r="D44" s="1312"/>
      <c r="E44" s="1313"/>
      <c r="F44" s="1313"/>
      <c r="G44" s="1313"/>
      <c r="H44" s="1313"/>
      <c r="I44" s="1313"/>
      <c r="J44" s="1314"/>
      <c r="K44" s="227">
        <f t="shared" si="205"/>
        <v>0</v>
      </c>
      <c r="L44" s="227">
        <f t="shared" si="0"/>
        <v>0</v>
      </c>
      <c r="M44" s="1315"/>
      <c r="N44" s="1315"/>
      <c r="O44" s="1315"/>
      <c r="P44" s="581" t="str">
        <f t="shared" si="203"/>
        <v/>
      </c>
      <c r="Q44" s="582" t="str">
        <f>IF(H44="","",P44/($P$6*VLOOKUP(C44,'DCA Underwriting Assumptions'!$J$77:$K$82,2,FALSE)))</f>
        <v/>
      </c>
      <c r="R44" s="739"/>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0"/>
      <c r="C45" s="1311"/>
      <c r="D45" s="1312"/>
      <c r="E45" s="1313"/>
      <c r="F45" s="1313"/>
      <c r="G45" s="1313"/>
      <c r="H45" s="1313"/>
      <c r="I45" s="1313"/>
      <c r="J45" s="1314"/>
      <c r="K45" s="227">
        <f t="shared" si="205"/>
        <v>0</v>
      </c>
      <c r="L45" s="227">
        <f t="shared" si="0"/>
        <v>0</v>
      </c>
      <c r="M45" s="1315"/>
      <c r="N45" s="1315"/>
      <c r="O45" s="1315"/>
      <c r="P45" s="581" t="str">
        <f t="shared" si="203"/>
        <v/>
      </c>
      <c r="Q45" s="582" t="str">
        <f>IF(H45="","",P45/($P$6*VLOOKUP(C45,'DCA Underwriting Assumptions'!$J$77:$K$82,2,FALSE)))</f>
        <v/>
      </c>
      <c r="R45" s="739"/>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0"/>
      <c r="C46" s="1311"/>
      <c r="D46" s="1312"/>
      <c r="E46" s="1313"/>
      <c r="F46" s="1313"/>
      <c r="G46" s="1313"/>
      <c r="H46" s="1313"/>
      <c r="I46" s="1313"/>
      <c r="J46" s="1314"/>
      <c r="K46" s="227">
        <f t="shared" si="205"/>
        <v>0</v>
      </c>
      <c r="L46" s="227">
        <f t="shared" si="0"/>
        <v>0</v>
      </c>
      <c r="M46" s="1315"/>
      <c r="N46" s="1315"/>
      <c r="O46" s="1315"/>
      <c r="P46" s="581" t="str">
        <f t="shared" si="203"/>
        <v/>
      </c>
      <c r="Q46" s="582" t="str">
        <f>IF(H46="","",P46/($P$6*VLOOKUP(C46,'DCA Underwriting Assumptions'!$J$77:$K$82,2,FALSE)))</f>
        <v/>
      </c>
      <c r="R46" s="739"/>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6"/>
      <c r="C47" s="1317"/>
      <c r="D47" s="1318"/>
      <c r="E47" s="1319"/>
      <c r="F47" s="1319"/>
      <c r="G47" s="1319"/>
      <c r="H47" s="1319"/>
      <c r="I47" s="1319"/>
      <c r="J47" s="1320"/>
      <c r="K47" s="228">
        <f t="shared" si="204"/>
        <v>0</v>
      </c>
      <c r="L47" s="228">
        <f t="shared" si="0"/>
        <v>0</v>
      </c>
      <c r="M47" s="1321"/>
      <c r="N47" s="1321"/>
      <c r="O47" s="1321"/>
      <c r="P47" s="581" t="str">
        <f t="shared" si="203"/>
        <v/>
      </c>
      <c r="Q47" s="582" t="str">
        <f>IF(H47="","",P47/($P$6*VLOOKUP(C47,'DCA Underwriting Assumptions'!$J$77:$K$82,2,FALSE)))</f>
        <v/>
      </c>
      <c r="R47" s="739"/>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65" customHeight="1">
      <c r="A48" s="230">
        <f>COUNT(A10,A11,A12,A13,A14,A15,A16,A17,A18,A19,A20,A21,A22,A23,A24,A25,A26,A27,A28,A29,A30,A31,A32,A33,A34,A35,A36,A37,A38,A39)</f>
        <v>0</v>
      </c>
      <c r="B48" s="97"/>
      <c r="C48" s="2"/>
      <c r="D48" s="17" t="s">
        <v>1967</v>
      </c>
      <c r="E48" s="170">
        <f>SUM(E10:E47)</f>
        <v>64</v>
      </c>
      <c r="F48" s="171">
        <f>(E10*F10+E11*F11+E12*F12+E13*F13+E14*F14+E15*F15+E16*F16+E17*F17+E18*F18+E19*F19+E20*F20+E21*F21+E22*F22+E23*F23+E24*F24+E25*F25+E26*F26+E27*F27+E28*F28+E29*F29+E30*F30+E31*F31+E32*F32+E33*F33+E34*F34+E35*F35+E36*F36+E37*F37+E38*F38+E39*F39+E40*F40+E41*F41+E42*F42+E43*F43+E44*F44+E45*F45+E46*F46+E47*F47)</f>
        <v>66464</v>
      </c>
      <c r="G48" s="162"/>
      <c r="H48" s="163"/>
      <c r="I48" s="163"/>
      <c r="J48" s="163"/>
      <c r="K48" s="15" t="s">
        <v>2301</v>
      </c>
      <c r="L48" s="169">
        <f>SUM(L10:L47)</f>
        <v>22560</v>
      </c>
      <c r="M48" s="2"/>
      <c r="N48" s="42"/>
      <c r="O48" s="2"/>
      <c r="P48" s="122"/>
      <c r="Q48" s="122"/>
      <c r="R48" s="739"/>
      <c r="S48" s="446"/>
      <c r="T48" s="446">
        <f t="shared" ref="T48:CI48" si="206">SUM(T10:T47)</f>
        <v>0</v>
      </c>
      <c r="U48" s="446">
        <f t="shared" si="206"/>
        <v>5</v>
      </c>
      <c r="V48" s="446">
        <f t="shared" si="206"/>
        <v>46</v>
      </c>
      <c r="W48" s="446">
        <f t="shared" si="206"/>
        <v>0</v>
      </c>
      <c r="X48" s="446">
        <f t="shared" si="206"/>
        <v>0</v>
      </c>
      <c r="Y48" s="446">
        <f t="shared" si="206"/>
        <v>0</v>
      </c>
      <c r="Z48" s="446">
        <f t="shared" si="206"/>
        <v>3</v>
      </c>
      <c r="AA48" s="446">
        <f t="shared" si="206"/>
        <v>10</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3810</v>
      </c>
      <c r="BY48" s="446">
        <f t="shared" si="206"/>
        <v>49588</v>
      </c>
      <c r="BZ48" s="446">
        <f t="shared" si="206"/>
        <v>0</v>
      </c>
      <c r="CA48" s="446">
        <f t="shared" si="206"/>
        <v>0</v>
      </c>
      <c r="CB48" s="446">
        <f t="shared" si="206"/>
        <v>0</v>
      </c>
      <c r="CC48" s="446">
        <f t="shared" si="206"/>
        <v>2286</v>
      </c>
      <c r="CD48" s="446">
        <f t="shared" si="206"/>
        <v>10780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8</v>
      </c>
      <c r="DC48" s="446">
        <f t="shared" si="208"/>
        <v>56</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8</v>
      </c>
      <c r="EV48" s="446">
        <f t="shared" si="209"/>
        <v>56</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8</v>
      </c>
      <c r="FZ48" s="446">
        <f t="shared" si="209"/>
        <v>56</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65" customHeight="1">
      <c r="A49" s="113"/>
      <c r="B49" s="6"/>
      <c r="D49" s="17"/>
      <c r="E49" s="224"/>
      <c r="F49" s="224"/>
      <c r="G49" s="163"/>
      <c r="H49" s="163"/>
      <c r="I49" s="163"/>
      <c r="J49" s="163"/>
      <c r="K49" s="17" t="s">
        <v>1390</v>
      </c>
      <c r="L49" s="169">
        <f>L48*12</f>
        <v>270720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65" customHeight="1">
      <c r="A51" s="963" t="s">
        <v>3847</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6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65" customHeight="1">
      <c r="N53" s="42"/>
      <c r="O53" s="113"/>
      <c r="FW53" s="113"/>
      <c r="FX53" s="113"/>
      <c r="GN53" s="445"/>
      <c r="GO53" s="445"/>
      <c r="GT53" s="113"/>
      <c r="GV53" s="172"/>
      <c r="HJ53" s="113"/>
      <c r="HK53" s="113"/>
      <c r="HL53" s="172"/>
      <c r="HM53" s="172"/>
    </row>
    <row r="54" spans="1:221" ht="14.65" customHeight="1">
      <c r="A54" s="16" t="s">
        <v>1241</v>
      </c>
      <c r="B54" s="16" t="s">
        <v>767</v>
      </c>
      <c r="O54" s="113"/>
      <c r="Q54" s="970" t="str">
        <f>IF(SUM(Q57:Q98)&gt;0,"ERROR Between Rent Schedule &amp; Unit Summary:", "")</f>
        <v/>
      </c>
      <c r="R54" s="678" t="s">
        <v>1241</v>
      </c>
      <c r="S54" s="678" t="s">
        <v>767</v>
      </c>
      <c r="T54" s="207"/>
      <c r="U54" s="207"/>
      <c r="V54" s="207"/>
      <c r="W54" s="207"/>
      <c r="X54" s="207"/>
      <c r="Y54" s="207"/>
      <c r="Z54" s="207"/>
      <c r="AA54" s="207"/>
      <c r="AB54" s="207"/>
      <c r="AC54" s="207"/>
      <c r="AD54" s="207"/>
      <c r="AE54" s="207"/>
      <c r="AF54" s="122"/>
      <c r="GU54" s="172"/>
      <c r="HJ54" s="113"/>
    </row>
    <row r="55" spans="1:221" ht="3" customHeight="1">
      <c r="A55" s="16"/>
      <c r="B55" s="16"/>
      <c r="O55" s="113"/>
      <c r="Q55" s="971"/>
      <c r="R55" s="172"/>
      <c r="S55" s="678"/>
      <c r="T55" s="207"/>
      <c r="U55" s="207"/>
      <c r="V55" s="207"/>
      <c r="W55" s="207"/>
      <c r="X55" s="207"/>
      <c r="Y55" s="207"/>
      <c r="Z55" s="207"/>
      <c r="AA55" s="207"/>
      <c r="AB55" s="207"/>
      <c r="AC55" s="207"/>
      <c r="AD55" s="207"/>
      <c r="AE55" s="207"/>
      <c r="AF55" s="122"/>
      <c r="GU55" s="172"/>
      <c r="HJ55" s="113"/>
    </row>
    <row r="56" spans="1:221" ht="14.65" customHeight="1">
      <c r="A56" s="16"/>
      <c r="B56" s="16" t="s">
        <v>1797</v>
      </c>
      <c r="H56" s="164" t="s">
        <v>909</v>
      </c>
      <c r="I56" s="164" t="s">
        <v>768</v>
      </c>
      <c r="J56" s="164" t="s">
        <v>769</v>
      </c>
      <c r="K56" s="164" t="s">
        <v>770</v>
      </c>
      <c r="L56" s="164" t="s">
        <v>771</v>
      </c>
      <c r="M56" s="164" t="s">
        <v>772</v>
      </c>
      <c r="O56" s="113"/>
      <c r="Q56" s="971"/>
      <c r="R56" s="172"/>
      <c r="S56" s="678" t="s">
        <v>1797</v>
      </c>
      <c r="T56" s="207"/>
      <c r="U56" s="207"/>
      <c r="V56" s="207"/>
      <c r="W56" s="207"/>
      <c r="X56" s="207"/>
      <c r="Y56" s="679" t="s">
        <v>909</v>
      </c>
      <c r="Z56" s="679" t="s">
        <v>768</v>
      </c>
      <c r="AA56" s="679" t="s">
        <v>769</v>
      </c>
      <c r="AB56" s="679" t="s">
        <v>770</v>
      </c>
      <c r="AC56" s="679" t="s">
        <v>771</v>
      </c>
      <c r="AD56" s="679" t="s">
        <v>772</v>
      </c>
      <c r="AE56" s="207"/>
      <c r="AF56" s="122"/>
      <c r="GU56" s="172"/>
      <c r="HJ56" s="113"/>
    </row>
    <row r="57" spans="1:221" ht="15" customHeight="1">
      <c r="C57" s="2" t="s">
        <v>1799</v>
      </c>
      <c r="D57" s="2"/>
      <c r="E57" s="2"/>
      <c r="F57" s="2"/>
      <c r="G57" s="46" t="s">
        <v>2009</v>
      </c>
      <c r="H57" s="381">
        <f>T48</f>
        <v>0</v>
      </c>
      <c r="I57" s="381">
        <f>U48</f>
        <v>5</v>
      </c>
      <c r="J57" s="381">
        <f>V48</f>
        <v>46</v>
      </c>
      <c r="K57" s="381">
        <f>W48</f>
        <v>0</v>
      </c>
      <c r="L57" s="381">
        <f>X48</f>
        <v>0</v>
      </c>
      <c r="M57" s="381">
        <f t="shared" ref="M57:M63" si="211">SUM(H57:L57)</f>
        <v>51</v>
      </c>
      <c r="N57" s="974" t="s">
        <v>1598</v>
      </c>
      <c r="O57" s="975"/>
      <c r="P57" s="737"/>
      <c r="Q57" s="680">
        <f t="shared" ref="Q57:Q63" si="212">ABS(M57-AD57)</f>
        <v>0</v>
      </c>
      <c r="S57" s="207"/>
      <c r="T57" s="447" t="s">
        <v>1799</v>
      </c>
      <c r="U57" s="447"/>
      <c r="V57" s="447"/>
      <c r="W57" s="447"/>
      <c r="X57" s="448" t="s">
        <v>2009</v>
      </c>
      <c r="Y57" s="449">
        <f>T48</f>
        <v>0</v>
      </c>
      <c r="Z57" s="449">
        <f>U48</f>
        <v>5</v>
      </c>
      <c r="AA57" s="449">
        <f>V48</f>
        <v>46</v>
      </c>
      <c r="AB57" s="449">
        <f>W48</f>
        <v>0</v>
      </c>
      <c r="AC57" s="449">
        <f>X48</f>
        <v>0</v>
      </c>
      <c r="AD57" s="449">
        <f t="shared" ref="AD57:AD63" si="213">SUM(Y57:AC57)</f>
        <v>51</v>
      </c>
      <c r="AE57" s="448" t="s">
        <v>1569</v>
      </c>
      <c r="AF57" s="122"/>
      <c r="GU57" s="172"/>
      <c r="HJ57" s="113"/>
    </row>
    <row r="58" spans="1:221" ht="15" customHeight="1">
      <c r="A58" s="985" t="s">
        <v>790</v>
      </c>
      <c r="B58" s="985"/>
      <c r="C58" s="5"/>
      <c r="D58" s="2"/>
      <c r="E58" s="2"/>
      <c r="F58" s="2"/>
      <c r="G58" s="46" t="s">
        <v>280</v>
      </c>
      <c r="H58" s="382">
        <f>Y48</f>
        <v>0</v>
      </c>
      <c r="I58" s="382">
        <f>Z48</f>
        <v>3</v>
      </c>
      <c r="J58" s="382">
        <f>AA48</f>
        <v>10</v>
      </c>
      <c r="K58" s="382">
        <f>AB48</f>
        <v>0</v>
      </c>
      <c r="L58" s="382">
        <f>AC48</f>
        <v>0</v>
      </c>
      <c r="M58" s="382">
        <f t="shared" si="211"/>
        <v>13</v>
      </c>
      <c r="N58" s="974"/>
      <c r="O58" s="975"/>
      <c r="P58" s="737"/>
      <c r="Q58" s="680">
        <f t="shared" si="212"/>
        <v>0</v>
      </c>
      <c r="S58" s="207"/>
      <c r="T58" s="231"/>
      <c r="U58" s="447"/>
      <c r="V58" s="447"/>
      <c r="W58" s="447"/>
      <c r="X58" s="448" t="s">
        <v>280</v>
      </c>
      <c r="Y58" s="449">
        <f>Y48</f>
        <v>0</v>
      </c>
      <c r="Z58" s="449">
        <f>Z48</f>
        <v>3</v>
      </c>
      <c r="AA58" s="449">
        <f>AA48</f>
        <v>10</v>
      </c>
      <c r="AB58" s="449">
        <f>AB48</f>
        <v>0</v>
      </c>
      <c r="AC58" s="449">
        <f>AC48</f>
        <v>0</v>
      </c>
      <c r="AD58" s="449">
        <f t="shared" si="213"/>
        <v>13</v>
      </c>
      <c r="AE58" s="448"/>
      <c r="AF58" s="122"/>
      <c r="GU58" s="172"/>
      <c r="HJ58" s="113"/>
    </row>
    <row r="59" spans="1:221" ht="15" customHeight="1">
      <c r="A59" s="985"/>
      <c r="B59" s="985"/>
      <c r="C59" s="5"/>
      <c r="D59" s="2"/>
      <c r="E59" s="2"/>
      <c r="F59" s="2"/>
      <c r="G59" s="46" t="s">
        <v>772</v>
      </c>
      <c r="H59" s="383">
        <f>SUM(H57:H58)</f>
        <v>0</v>
      </c>
      <c r="I59" s="383">
        <f>SUM(I57:I58)</f>
        <v>8</v>
      </c>
      <c r="J59" s="383">
        <f>SUM(J57:J58)</f>
        <v>56</v>
      </c>
      <c r="K59" s="383">
        <f>SUM(K57:K58)</f>
        <v>0</v>
      </c>
      <c r="L59" s="383">
        <f>SUM(L57:L58)</f>
        <v>0</v>
      </c>
      <c r="M59" s="383">
        <f t="shared" si="211"/>
        <v>64</v>
      </c>
      <c r="N59" s="386"/>
      <c r="O59" s="113"/>
      <c r="Q59" s="680">
        <f t="shared" si="212"/>
        <v>0</v>
      </c>
      <c r="S59" s="207"/>
      <c r="T59" s="231"/>
      <c r="U59" s="447"/>
      <c r="V59" s="447"/>
      <c r="W59" s="447"/>
      <c r="X59" s="448" t="s">
        <v>772</v>
      </c>
      <c r="Y59" s="449">
        <f>SUM(Y57:Y58)</f>
        <v>0</v>
      </c>
      <c r="Z59" s="449">
        <f>SUM(Z57:Z58)</f>
        <v>8</v>
      </c>
      <c r="AA59" s="449">
        <f>SUM(AA57:AA58)</f>
        <v>56</v>
      </c>
      <c r="AB59" s="449">
        <f>SUM(AB57:AB58)</f>
        <v>0</v>
      </c>
      <c r="AC59" s="449">
        <f>SUM(AC57:AC58)</f>
        <v>0</v>
      </c>
      <c r="AD59" s="449">
        <f t="shared" si="213"/>
        <v>64</v>
      </c>
      <c r="AE59" s="448"/>
      <c r="AF59" s="122"/>
      <c r="GU59" s="172"/>
      <c r="HJ59" s="113"/>
    </row>
    <row r="60" spans="1:221" ht="15" customHeight="1">
      <c r="A60" s="985"/>
      <c r="B60" s="985"/>
      <c r="C60" s="2" t="s">
        <v>529</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529</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85"/>
      <c r="B61" s="985"/>
      <c r="C61" s="2" t="s">
        <v>1800</v>
      </c>
      <c r="D61" s="2"/>
      <c r="E61" s="2"/>
      <c r="F61" s="2"/>
      <c r="G61" s="46"/>
      <c r="H61" s="383">
        <f>SUM(H59:H60)</f>
        <v>0</v>
      </c>
      <c r="I61" s="383">
        <f>SUM(I59:I60)</f>
        <v>8</v>
      </c>
      <c r="J61" s="383">
        <f>SUM(J59:J60)</f>
        <v>56</v>
      </c>
      <c r="K61" s="383">
        <f>SUM(K59:K60)</f>
        <v>0</v>
      </c>
      <c r="L61" s="383">
        <f>SUM(L59:L60)</f>
        <v>0</v>
      </c>
      <c r="M61" s="383">
        <f t="shared" si="211"/>
        <v>64</v>
      </c>
      <c r="N61" s="68"/>
      <c r="O61" s="113"/>
      <c r="Q61" s="680">
        <f t="shared" si="212"/>
        <v>0</v>
      </c>
      <c r="S61" s="207"/>
      <c r="T61" s="447" t="s">
        <v>1800</v>
      </c>
      <c r="U61" s="447"/>
      <c r="V61" s="447"/>
      <c r="W61" s="447"/>
      <c r="X61" s="448"/>
      <c r="Y61" s="449">
        <f>SUM(Y59:Y60)</f>
        <v>0</v>
      </c>
      <c r="Z61" s="449">
        <f>SUM(Z59:Z60)</f>
        <v>8</v>
      </c>
      <c r="AA61" s="449">
        <f>SUM(AA59:AA60)</f>
        <v>56</v>
      </c>
      <c r="AB61" s="449">
        <f>SUM(AB59:AB60)</f>
        <v>0</v>
      </c>
      <c r="AC61" s="449">
        <f>SUM(AC59:AC60)</f>
        <v>0</v>
      </c>
      <c r="AD61" s="449">
        <f t="shared" si="213"/>
        <v>64</v>
      </c>
      <c r="AE61" s="450"/>
      <c r="AF61" s="122"/>
      <c r="GU61" s="172"/>
      <c r="HJ61" s="113"/>
    </row>
    <row r="62" spans="1:221" ht="15" customHeight="1">
      <c r="A62" s="985"/>
      <c r="B62" s="985"/>
      <c r="C62" s="2" t="s">
        <v>3908</v>
      </c>
      <c r="D62" s="2"/>
      <c r="E62" s="2"/>
      <c r="F62" s="2"/>
      <c r="G62" s="46"/>
      <c r="H62" s="383">
        <f>BR48</f>
        <v>0</v>
      </c>
      <c r="I62" s="383">
        <f>BS48</f>
        <v>0</v>
      </c>
      <c r="J62" s="383">
        <f>BT48</f>
        <v>0</v>
      </c>
      <c r="K62" s="383">
        <f>BU48</f>
        <v>0</v>
      </c>
      <c r="L62" s="383">
        <f>BV48</f>
        <v>0</v>
      </c>
      <c r="M62" s="383">
        <f t="shared" si="211"/>
        <v>0</v>
      </c>
      <c r="N62" s="65" t="s">
        <v>3533</v>
      </c>
      <c r="O62" s="113"/>
      <c r="Q62" s="680">
        <f t="shared" si="212"/>
        <v>0</v>
      </c>
      <c r="S62" s="207"/>
      <c r="T62" s="447" t="s">
        <v>3908</v>
      </c>
      <c r="U62" s="447"/>
      <c r="V62" s="447"/>
      <c r="W62" s="447"/>
      <c r="X62" s="448"/>
      <c r="Y62" s="449">
        <f>BR48</f>
        <v>0</v>
      </c>
      <c r="Z62" s="449">
        <f>BS48</f>
        <v>0</v>
      </c>
      <c r="AA62" s="449">
        <f>BT48</f>
        <v>0</v>
      </c>
      <c r="AB62" s="449">
        <f>BU48</f>
        <v>0</v>
      </c>
      <c r="AC62" s="449">
        <f>BV48</f>
        <v>0</v>
      </c>
      <c r="AD62" s="449">
        <f t="shared" si="213"/>
        <v>0</v>
      </c>
      <c r="AE62" s="448" t="s">
        <v>881</v>
      </c>
      <c r="AF62" s="122"/>
      <c r="GU62" s="172"/>
      <c r="HJ62" s="113"/>
    </row>
    <row r="63" spans="1:221" ht="15" customHeight="1">
      <c r="A63" s="985"/>
      <c r="B63" s="985"/>
      <c r="C63" s="2" t="s">
        <v>772</v>
      </c>
      <c r="D63" s="2"/>
      <c r="E63" s="2"/>
      <c r="F63" s="2"/>
      <c r="G63" s="46"/>
      <c r="H63" s="383">
        <f>SUM(H61:H62)</f>
        <v>0</v>
      </c>
      <c r="I63" s="383">
        <f>SUM(I61:I62)</f>
        <v>8</v>
      </c>
      <c r="J63" s="383">
        <f>SUM(J61:J62)</f>
        <v>56</v>
      </c>
      <c r="K63" s="383">
        <f>SUM(K61:K62)</f>
        <v>0</v>
      </c>
      <c r="L63" s="383">
        <f>SUM(L61:L62)</f>
        <v>0</v>
      </c>
      <c r="M63" s="383">
        <f t="shared" si="211"/>
        <v>64</v>
      </c>
      <c r="O63" s="113"/>
      <c r="Q63" s="680">
        <f t="shared" si="212"/>
        <v>0</v>
      </c>
      <c r="S63" s="207"/>
      <c r="T63" s="447" t="s">
        <v>772</v>
      </c>
      <c r="U63" s="447"/>
      <c r="V63" s="447"/>
      <c r="W63" s="447"/>
      <c r="X63" s="448"/>
      <c r="Y63" s="449">
        <f>SUM(Y61:Y62)</f>
        <v>0</v>
      </c>
      <c r="Z63" s="449">
        <f>SUM(Z61:Z62)</f>
        <v>8</v>
      </c>
      <c r="AA63" s="449">
        <f>SUM(AA61:AA62)</f>
        <v>56</v>
      </c>
      <c r="AB63" s="449">
        <f>SUM(AB61:AB62)</f>
        <v>0</v>
      </c>
      <c r="AC63" s="449">
        <f>SUM(AC61:AC62)</f>
        <v>0</v>
      </c>
      <c r="AD63" s="449">
        <f t="shared" si="213"/>
        <v>64</v>
      </c>
      <c r="AE63" s="207"/>
      <c r="AF63" s="122"/>
      <c r="GU63" s="172"/>
      <c r="HJ63" s="113"/>
    </row>
    <row r="64" spans="1:221" ht="14.65" customHeight="1">
      <c r="A64" s="985"/>
      <c r="B64" s="985"/>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85"/>
      <c r="B65" s="985"/>
      <c r="C65" s="2" t="s">
        <v>1608</v>
      </c>
      <c r="D65" s="2"/>
      <c r="E65" s="147"/>
      <c r="F65" s="2"/>
      <c r="G65" s="46" t="s">
        <v>2009</v>
      </c>
      <c r="H65" s="381">
        <f>AX48</f>
        <v>0</v>
      </c>
      <c r="I65" s="381">
        <f>AY48</f>
        <v>0</v>
      </c>
      <c r="J65" s="381">
        <f>AZ48</f>
        <v>0</v>
      </c>
      <c r="K65" s="381">
        <f>BA48</f>
        <v>0</v>
      </c>
      <c r="L65" s="381">
        <f>BB48</f>
        <v>0</v>
      </c>
      <c r="M65" s="381">
        <f>SUM(H65:L65)</f>
        <v>0</v>
      </c>
      <c r="N65" s="65"/>
      <c r="O65" s="113"/>
      <c r="Q65" s="680">
        <f>ABS(M65-AD65)</f>
        <v>0</v>
      </c>
      <c r="S65" s="207"/>
      <c r="T65" s="447" t="s">
        <v>1608</v>
      </c>
      <c r="U65" s="447"/>
      <c r="V65" s="451"/>
      <c r="W65" s="447"/>
      <c r="X65" s="448" t="s">
        <v>2009</v>
      </c>
      <c r="Y65" s="449">
        <f>AX48</f>
        <v>0</v>
      </c>
      <c r="Z65" s="449">
        <f>AY48</f>
        <v>0</v>
      </c>
      <c r="AA65" s="449">
        <f>AZ48</f>
        <v>0</v>
      </c>
      <c r="AB65" s="449">
        <f>BA48</f>
        <v>0</v>
      </c>
      <c r="AC65" s="449">
        <f>BB48</f>
        <v>0</v>
      </c>
      <c r="AD65" s="449">
        <f>SUM(Y65:AC65)</f>
        <v>0</v>
      </c>
      <c r="AE65" s="448"/>
      <c r="AF65" s="122"/>
      <c r="GU65" s="172"/>
      <c r="HJ65" s="113"/>
    </row>
    <row r="66" spans="1:218" ht="15" customHeight="1">
      <c r="A66" s="985"/>
      <c r="B66" s="985"/>
      <c r="C66" s="46" t="s">
        <v>3909</v>
      </c>
      <c r="D66" s="2"/>
      <c r="E66" s="147"/>
      <c r="F66" s="2"/>
      <c r="G66" s="46" t="s">
        <v>280</v>
      </c>
      <c r="H66" s="382">
        <f>AS48</f>
        <v>0</v>
      </c>
      <c r="I66" s="382">
        <f>AT48</f>
        <v>0</v>
      </c>
      <c r="J66" s="382">
        <f>AU48</f>
        <v>0</v>
      </c>
      <c r="K66" s="382">
        <f>AV48</f>
        <v>0</v>
      </c>
      <c r="L66" s="382">
        <f>AW48</f>
        <v>0</v>
      </c>
      <c r="M66" s="384">
        <f>SUM(H66:L66)</f>
        <v>0</v>
      </c>
      <c r="N66" s="65"/>
      <c r="O66" s="113"/>
      <c r="Q66" s="680">
        <f>ABS(M66-AD66)</f>
        <v>0</v>
      </c>
      <c r="S66" s="207"/>
      <c r="T66" s="448" t="s">
        <v>3909</v>
      </c>
      <c r="U66" s="447"/>
      <c r="V66" s="451"/>
      <c r="W66" s="447"/>
      <c r="X66" s="448" t="s">
        <v>280</v>
      </c>
      <c r="Y66" s="449">
        <f>AS48</f>
        <v>0</v>
      </c>
      <c r="Z66" s="449">
        <f>AT48</f>
        <v>0</v>
      </c>
      <c r="AA66" s="449">
        <f>AU48</f>
        <v>0</v>
      </c>
      <c r="AB66" s="449">
        <f>AV48</f>
        <v>0</v>
      </c>
      <c r="AC66" s="449">
        <f>AW48</f>
        <v>0</v>
      </c>
      <c r="AD66" s="449">
        <f>SUM(Y66:AC66)</f>
        <v>0</v>
      </c>
      <c r="AE66" s="448"/>
      <c r="AF66" s="122"/>
      <c r="GU66" s="172"/>
      <c r="HJ66" s="113"/>
    </row>
    <row r="67" spans="1:218" ht="15" customHeight="1">
      <c r="A67" s="985"/>
      <c r="B67" s="985"/>
      <c r="C67" s="5"/>
      <c r="D67" s="2"/>
      <c r="E67" s="147"/>
      <c r="F67" s="2"/>
      <c r="G67" s="46" t="s">
        <v>772</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772</v>
      </c>
      <c r="Y67" s="449">
        <f>SUM(Y65:Y66)</f>
        <v>0</v>
      </c>
      <c r="Z67" s="449">
        <f>SUM(Z65:Z66)</f>
        <v>0</v>
      </c>
      <c r="AA67" s="449">
        <f>SUM(AA65:AA66)</f>
        <v>0</v>
      </c>
      <c r="AB67" s="449">
        <f>SUM(AB65:AB66)</f>
        <v>0</v>
      </c>
      <c r="AC67" s="449">
        <f>SUM(AC65:AC66)</f>
        <v>0</v>
      </c>
      <c r="AD67" s="449">
        <f>SUM(Y67:AC67)</f>
        <v>0</v>
      </c>
      <c r="AE67" s="448"/>
      <c r="AF67" s="122"/>
      <c r="GU67" s="172"/>
      <c r="HJ67" s="113"/>
    </row>
    <row r="68" spans="1:218" ht="14.65" customHeight="1">
      <c r="A68" s="985"/>
      <c r="B68" s="985"/>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85"/>
      <c r="B69" s="985"/>
      <c r="C69" s="2" t="s">
        <v>1597</v>
      </c>
      <c r="D69" s="2"/>
      <c r="E69" s="147"/>
      <c r="F69" s="2"/>
      <c r="G69" s="46" t="s">
        <v>2009</v>
      </c>
      <c r="H69" s="381">
        <f>BM48</f>
        <v>0</v>
      </c>
      <c r="I69" s="381">
        <f>BN48</f>
        <v>0</v>
      </c>
      <c r="J69" s="381">
        <f>BO48</f>
        <v>0</v>
      </c>
      <c r="K69" s="381">
        <f>BP48</f>
        <v>0</v>
      </c>
      <c r="L69" s="381">
        <f>BQ48</f>
        <v>0</v>
      </c>
      <c r="M69" s="381">
        <f>SUM(H69:L69)</f>
        <v>0</v>
      </c>
      <c r="N69" s="65"/>
      <c r="O69" s="113"/>
      <c r="Q69" s="680">
        <f>ABS(M69-AD69)</f>
        <v>0</v>
      </c>
      <c r="S69" s="207"/>
      <c r="T69" s="122" t="s">
        <v>1597</v>
      </c>
      <c r="U69" s="447"/>
      <c r="V69" s="451"/>
      <c r="W69" s="447"/>
      <c r="X69" s="448" t="s">
        <v>2009</v>
      </c>
      <c r="Y69" s="449">
        <f>BM48</f>
        <v>0</v>
      </c>
      <c r="Z69" s="449">
        <f>BN48</f>
        <v>0</v>
      </c>
      <c r="AA69" s="449">
        <f>BO48</f>
        <v>0</v>
      </c>
      <c r="AB69" s="449">
        <f>BP48</f>
        <v>0</v>
      </c>
      <c r="AC69" s="449">
        <f>BQ48</f>
        <v>0</v>
      </c>
      <c r="AD69" s="449">
        <f>SUM(Y69:AC69)</f>
        <v>0</v>
      </c>
      <c r="AE69" s="448"/>
      <c r="AF69" s="122"/>
      <c r="GU69" s="172"/>
      <c r="HJ69" s="113"/>
    </row>
    <row r="70" spans="1:218" ht="15" customHeight="1">
      <c r="A70" s="985"/>
      <c r="B70" s="985"/>
      <c r="C70" s="46" t="s">
        <v>3909</v>
      </c>
      <c r="D70" s="2"/>
      <c r="E70" s="147"/>
      <c r="F70" s="2"/>
      <c r="G70" s="46" t="s">
        <v>280</v>
      </c>
      <c r="H70" s="382">
        <f>BH48</f>
        <v>0</v>
      </c>
      <c r="I70" s="382">
        <f>BI48</f>
        <v>0</v>
      </c>
      <c r="J70" s="382">
        <f>BJ48</f>
        <v>0</v>
      </c>
      <c r="K70" s="382">
        <f>BK48</f>
        <v>0</v>
      </c>
      <c r="L70" s="382">
        <f>BL48</f>
        <v>0</v>
      </c>
      <c r="M70" s="384">
        <f>SUM(H70:L70)</f>
        <v>0</v>
      </c>
      <c r="N70" s="65"/>
      <c r="O70" s="113"/>
      <c r="Q70" s="680">
        <f>ABS(M70-AD70)</f>
        <v>0</v>
      </c>
      <c r="S70" s="207"/>
      <c r="T70" s="681" t="s">
        <v>3909</v>
      </c>
      <c r="U70" s="447"/>
      <c r="V70" s="451"/>
      <c r="W70" s="447"/>
      <c r="X70" s="448" t="s">
        <v>280</v>
      </c>
      <c r="Y70" s="449">
        <f>BH48</f>
        <v>0</v>
      </c>
      <c r="Z70" s="449">
        <f>BI48</f>
        <v>0</v>
      </c>
      <c r="AA70" s="449">
        <f>BJ48</f>
        <v>0</v>
      </c>
      <c r="AB70" s="449">
        <f>BK48</f>
        <v>0</v>
      </c>
      <c r="AC70" s="449">
        <f>BL48</f>
        <v>0</v>
      </c>
      <c r="AD70" s="449">
        <f>SUM(Y70:AC70)</f>
        <v>0</v>
      </c>
      <c r="AE70" s="448"/>
      <c r="AF70" s="122"/>
      <c r="GU70" s="172"/>
      <c r="HJ70" s="113"/>
    </row>
    <row r="71" spans="1:218" ht="15" customHeight="1">
      <c r="A71" s="985"/>
      <c r="B71" s="985"/>
      <c r="C71" s="5"/>
      <c r="D71" s="2"/>
      <c r="E71" s="147"/>
      <c r="F71" s="2"/>
      <c r="G71" s="46" t="s">
        <v>772</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772</v>
      </c>
      <c r="Y71" s="449">
        <f>SUM(Y69:Y70)</f>
        <v>0</v>
      </c>
      <c r="Z71" s="449">
        <f>SUM(Z69:Z70)</f>
        <v>0</v>
      </c>
      <c r="AA71" s="449">
        <f>SUM(AA69:AA70)</f>
        <v>0</v>
      </c>
      <c r="AB71" s="449">
        <f>SUM(AB69:AB70)</f>
        <v>0</v>
      </c>
      <c r="AC71" s="449">
        <f>SUM(AC69:AC70)</f>
        <v>0</v>
      </c>
      <c r="AD71" s="449">
        <f>SUM(Y71:AC71)</f>
        <v>0</v>
      </c>
      <c r="AE71" s="448"/>
      <c r="AF71" s="122"/>
      <c r="GU71" s="172"/>
      <c r="HJ71" s="113"/>
    </row>
    <row r="72" spans="1:218" ht="14.65" customHeight="1">
      <c r="A72" s="985"/>
      <c r="B72" s="985"/>
      <c r="C72" s="2" t="s">
        <v>131</v>
      </c>
      <c r="D72" s="2"/>
      <c r="E72" s="147"/>
      <c r="F72" s="2"/>
      <c r="G72" s="46"/>
      <c r="H72" s="15"/>
      <c r="I72" s="15"/>
      <c r="J72" s="15"/>
      <c r="K72" s="15"/>
      <c r="L72" s="15"/>
      <c r="M72" s="15"/>
      <c r="O72" s="113"/>
      <c r="Q72" s="680"/>
      <c r="S72" s="207"/>
      <c r="T72" s="447" t="s">
        <v>3380</v>
      </c>
      <c r="U72" s="447"/>
      <c r="V72" s="451"/>
      <c r="W72" s="447"/>
      <c r="X72" s="448"/>
      <c r="Y72" s="447"/>
      <c r="Z72" s="447"/>
      <c r="AA72" s="447"/>
      <c r="AB72" s="447"/>
      <c r="AC72" s="447"/>
      <c r="AD72" s="447"/>
      <c r="AE72" s="207"/>
      <c r="AF72" s="122"/>
      <c r="GU72" s="172"/>
      <c r="HJ72" s="113"/>
    </row>
    <row r="73" spans="1:218" ht="15" customHeight="1">
      <c r="A73" s="985"/>
      <c r="B73" s="985"/>
      <c r="C73" s="2"/>
      <c r="D73" s="2"/>
      <c r="E73" s="140" t="s">
        <v>3709</v>
      </c>
      <c r="F73" s="2"/>
      <c r="G73" s="46" t="s">
        <v>2310</v>
      </c>
      <c r="H73" s="381">
        <f>DA48</f>
        <v>0</v>
      </c>
      <c r="I73" s="381">
        <f>DB48</f>
        <v>8</v>
      </c>
      <c r="J73" s="381">
        <f>DC48</f>
        <v>56</v>
      </c>
      <c r="K73" s="381">
        <f>DD48</f>
        <v>0</v>
      </c>
      <c r="L73" s="381">
        <f>DE48</f>
        <v>0</v>
      </c>
      <c r="M73" s="381">
        <f t="shared" ref="M73:M83" si="214">SUM(H73:L73)</f>
        <v>64</v>
      </c>
      <c r="N73" s="31"/>
      <c r="O73" s="113"/>
      <c r="Q73" s="680">
        <f t="shared" ref="Q73:Q81" si="215">ABS(M73-AD73)</f>
        <v>0</v>
      </c>
      <c r="S73" s="207"/>
      <c r="T73" s="447"/>
      <c r="U73" s="447"/>
      <c r="V73" s="451" t="s">
        <v>3709</v>
      </c>
      <c r="W73" s="447"/>
      <c r="X73" s="448" t="s">
        <v>2310</v>
      </c>
      <c r="Y73" s="449">
        <f>DA48</f>
        <v>0</v>
      </c>
      <c r="Z73" s="449">
        <f>DB48</f>
        <v>8</v>
      </c>
      <c r="AA73" s="449">
        <f>DC48</f>
        <v>56</v>
      </c>
      <c r="AB73" s="449">
        <f>DD48</f>
        <v>0</v>
      </c>
      <c r="AC73" s="449">
        <f>DE48</f>
        <v>0</v>
      </c>
      <c r="AD73" s="449">
        <f t="shared" ref="AD73:AD81" si="216">SUM(Y73:AC73)</f>
        <v>64</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85"/>
      <c r="B74" s="985"/>
      <c r="C74" s="2"/>
      <c r="D74" s="2"/>
      <c r="E74" s="147"/>
      <c r="F74" s="2"/>
      <c r="G74" s="46" t="s">
        <v>529</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2309</v>
      </c>
      <c r="Y74" s="449">
        <f>DF48</f>
        <v>0</v>
      </c>
      <c r="Z74" s="449">
        <f>DG48</f>
        <v>0</v>
      </c>
      <c r="AA74" s="449">
        <f>DH48</f>
        <v>0</v>
      </c>
      <c r="AB74" s="449">
        <f>DI48</f>
        <v>0</v>
      </c>
      <c r="AC74" s="449">
        <f>DJ48</f>
        <v>0</v>
      </c>
      <c r="AD74" s="449">
        <f t="shared" si="216"/>
        <v>0</v>
      </c>
      <c r="AE74" s="450"/>
      <c r="AF74" s="122"/>
      <c r="GU74" s="172"/>
      <c r="HJ74" s="113"/>
    </row>
    <row r="75" spans="1:218" ht="15" customHeight="1">
      <c r="A75" s="985"/>
      <c r="B75" s="985"/>
      <c r="C75" s="5"/>
      <c r="D75" s="2"/>
      <c r="E75" s="147"/>
      <c r="F75" s="2"/>
      <c r="G75" s="46" t="s">
        <v>171</v>
      </c>
      <c r="H75" s="383">
        <f>SUM(H73:H74)+DK48</f>
        <v>0</v>
      </c>
      <c r="I75" s="383">
        <f>SUM(I73:I74)+DL48</f>
        <v>8</v>
      </c>
      <c r="J75" s="383">
        <f>SUM(J73:J74)+DM48</f>
        <v>56</v>
      </c>
      <c r="K75" s="383">
        <f>SUM(K73:K74)+DN48</f>
        <v>0</v>
      </c>
      <c r="L75" s="383">
        <f>SUM(L73:L74)+DO48</f>
        <v>0</v>
      </c>
      <c r="M75" s="383">
        <f t="shared" si="214"/>
        <v>64</v>
      </c>
      <c r="N75" s="65"/>
      <c r="O75" s="113"/>
      <c r="Q75" s="680">
        <f t="shared" si="215"/>
        <v>0</v>
      </c>
      <c r="S75" s="207"/>
      <c r="T75" s="231"/>
      <c r="U75" s="447"/>
      <c r="V75" s="451"/>
      <c r="W75" s="447"/>
      <c r="X75" s="681" t="s">
        <v>171</v>
      </c>
      <c r="Y75" s="449">
        <f>SUM(Y73:Y74)+DK48</f>
        <v>0</v>
      </c>
      <c r="Z75" s="449">
        <f>SUM(Z73:Z74)+DL48</f>
        <v>8</v>
      </c>
      <c r="AA75" s="449">
        <f>SUM(AA73:AA74)+DM48</f>
        <v>56</v>
      </c>
      <c r="AB75" s="449">
        <f>SUM(AB73:AB74)+DN48</f>
        <v>0</v>
      </c>
      <c r="AC75" s="449">
        <f>SUM(AC73:AC74)+DO48</f>
        <v>0</v>
      </c>
      <c r="AD75" s="449">
        <f t="shared" si="216"/>
        <v>64</v>
      </c>
      <c r="AE75" s="448"/>
      <c r="AF75" s="122"/>
      <c r="GU75" s="172"/>
      <c r="HJ75" s="113"/>
    </row>
    <row r="76" spans="1:218" ht="15" customHeight="1">
      <c r="A76" s="985"/>
      <c r="B76" s="985"/>
      <c r="C76" s="2"/>
      <c r="D76" s="2"/>
      <c r="E76" s="140" t="s">
        <v>3382</v>
      </c>
      <c r="F76" s="2"/>
      <c r="G76" s="46" t="s">
        <v>2310</v>
      </c>
      <c r="H76" s="381">
        <f>DP48</f>
        <v>0</v>
      </c>
      <c r="I76" s="381">
        <f>DQ48</f>
        <v>0</v>
      </c>
      <c r="J76" s="381">
        <f>DR48</f>
        <v>0</v>
      </c>
      <c r="K76" s="381">
        <f>DS48</f>
        <v>0</v>
      </c>
      <c r="L76" s="381">
        <f>DT48</f>
        <v>0</v>
      </c>
      <c r="M76" s="381">
        <f t="shared" si="214"/>
        <v>0</v>
      </c>
      <c r="N76" s="31"/>
      <c r="O76" s="113"/>
      <c r="Q76" s="680">
        <f t="shared" si="215"/>
        <v>0</v>
      </c>
      <c r="S76" s="207"/>
      <c r="T76" s="447"/>
      <c r="U76" s="447"/>
      <c r="V76" s="451" t="s">
        <v>3382</v>
      </c>
      <c r="W76" s="447"/>
      <c r="X76" s="448" t="s">
        <v>2310</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529</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2309</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171</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171</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80" t="s">
        <v>1995</v>
      </c>
      <c r="F79" s="980"/>
      <c r="G79" s="46" t="s">
        <v>2310</v>
      </c>
      <c r="H79" s="381">
        <f>EE48</f>
        <v>0</v>
      </c>
      <c r="I79" s="381">
        <f>EF48</f>
        <v>0</v>
      </c>
      <c r="J79" s="381">
        <f>EG48</f>
        <v>0</v>
      </c>
      <c r="K79" s="381">
        <f>EH48</f>
        <v>0</v>
      </c>
      <c r="L79" s="381">
        <f>EI48</f>
        <v>0</v>
      </c>
      <c r="M79" s="381">
        <f t="shared" si="214"/>
        <v>0</v>
      </c>
      <c r="N79" s="31"/>
      <c r="O79" s="113"/>
      <c r="Q79" s="680">
        <f t="shared" si="215"/>
        <v>0</v>
      </c>
      <c r="S79" s="207"/>
      <c r="T79" s="447"/>
      <c r="U79" s="447"/>
      <c r="V79" s="451" t="s">
        <v>3196</v>
      </c>
      <c r="W79" s="447"/>
      <c r="X79" s="448" t="s">
        <v>2310</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529</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2309</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171</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171</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609</v>
      </c>
      <c r="F82" s="2"/>
      <c r="G82" s="46"/>
      <c r="H82" s="1322"/>
      <c r="I82" s="1322"/>
      <c r="J82" s="1322"/>
      <c r="K82" s="1322"/>
      <c r="L82" s="132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610</v>
      </c>
      <c r="F83" s="2"/>
      <c r="G83" s="46"/>
      <c r="H83" s="1323"/>
      <c r="I83" s="1323"/>
      <c r="J83" s="1323"/>
      <c r="K83" s="1323"/>
      <c r="L83" s="132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65" customHeight="1">
      <c r="C84" s="2" t="s">
        <v>132</v>
      </c>
      <c r="D84" s="2"/>
      <c r="E84" s="147"/>
      <c r="F84" s="2"/>
      <c r="G84" s="46"/>
      <c r="H84" s="15"/>
      <c r="I84" s="15"/>
      <c r="J84" s="15"/>
      <c r="K84" s="15"/>
      <c r="L84" s="15"/>
      <c r="M84" s="15"/>
      <c r="O84" s="113"/>
      <c r="Q84" s="680"/>
      <c r="S84" s="207"/>
      <c r="T84" s="122" t="s">
        <v>132</v>
      </c>
      <c r="U84" s="122"/>
      <c r="V84" s="444"/>
      <c r="W84" s="122"/>
      <c r="X84" s="448"/>
      <c r="Y84" s="447"/>
      <c r="Z84" s="447"/>
      <c r="AA84" s="447"/>
      <c r="AB84" s="447"/>
      <c r="AC84" s="447"/>
      <c r="AD84" s="447"/>
      <c r="AE84" s="207"/>
      <c r="AF84" s="122"/>
      <c r="GU84" s="172"/>
      <c r="HJ84" s="113"/>
    </row>
    <row r="85" spans="1:218" ht="15" customHeight="1">
      <c r="C85" s="2"/>
      <c r="D85" s="2"/>
      <c r="E85" s="140" t="s">
        <v>133</v>
      </c>
      <c r="F85" s="2"/>
      <c r="G85" s="46"/>
      <c r="H85" s="381">
        <f>ET48</f>
        <v>0</v>
      </c>
      <c r="I85" s="381">
        <f>EU48</f>
        <v>8</v>
      </c>
      <c r="J85" s="381">
        <f>EV48</f>
        <v>56</v>
      </c>
      <c r="K85" s="381">
        <f>EW48</f>
        <v>0</v>
      </c>
      <c r="L85" s="381">
        <f>EX48</f>
        <v>0</v>
      </c>
      <c r="M85" s="381">
        <f>SUM(H85:L85)</f>
        <v>64</v>
      </c>
      <c r="N85" s="31"/>
      <c r="O85" s="113"/>
      <c r="Q85" s="680">
        <f>ABS(M85-AD85)</f>
        <v>0</v>
      </c>
      <c r="S85" s="207"/>
      <c r="T85" s="122"/>
      <c r="U85" s="122"/>
      <c r="V85" s="451" t="s">
        <v>133</v>
      </c>
      <c r="W85" s="122"/>
      <c r="X85" s="448"/>
      <c r="Y85" s="449">
        <f>ET48</f>
        <v>0</v>
      </c>
      <c r="Z85" s="449">
        <f>EU48</f>
        <v>8</v>
      </c>
      <c r="AA85" s="449">
        <f>EV48</f>
        <v>56</v>
      </c>
      <c r="AB85" s="449">
        <f>EW48</f>
        <v>0</v>
      </c>
      <c r="AC85" s="449">
        <f>EX48</f>
        <v>0</v>
      </c>
      <c r="AD85" s="449">
        <f>SUM(Y85:AC85)</f>
        <v>64</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134</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134</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135</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135</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998</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998</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999</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999</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65" customHeight="1">
      <c r="A91" s="16"/>
      <c r="B91" s="16" t="s">
        <v>3370</v>
      </c>
      <c r="C91" s="2"/>
      <c r="D91" s="2"/>
      <c r="E91" s="2"/>
      <c r="F91" s="2"/>
      <c r="G91" s="46"/>
      <c r="H91" s="2"/>
      <c r="I91" s="2"/>
      <c r="J91" s="2"/>
      <c r="K91" s="2"/>
      <c r="L91" s="2"/>
      <c r="M91" s="2"/>
      <c r="O91" s="113"/>
      <c r="Q91" s="680"/>
      <c r="R91" s="172"/>
      <c r="S91" s="678" t="s">
        <v>1798</v>
      </c>
      <c r="T91" s="447"/>
      <c r="U91" s="447"/>
      <c r="V91" s="447"/>
      <c r="W91" s="447"/>
      <c r="X91" s="448"/>
      <c r="Y91" s="447"/>
      <c r="Z91" s="447"/>
      <c r="AA91" s="447"/>
      <c r="AB91" s="447"/>
      <c r="AC91" s="447"/>
      <c r="AD91" s="447"/>
      <c r="AE91" s="207"/>
      <c r="AF91" s="122"/>
      <c r="GU91" s="172"/>
      <c r="HJ91" s="113"/>
    </row>
    <row r="92" spans="1:218" ht="15" customHeight="1">
      <c r="C92" s="6" t="s">
        <v>3381</v>
      </c>
      <c r="D92" s="2"/>
      <c r="E92" s="2"/>
      <c r="F92" s="2"/>
      <c r="G92" s="46" t="s">
        <v>2009</v>
      </c>
      <c r="H92" s="223">
        <f>BW48</f>
        <v>0</v>
      </c>
      <c r="I92" s="223">
        <f>BX48</f>
        <v>3810</v>
      </c>
      <c r="J92" s="223">
        <f>BY48</f>
        <v>49588</v>
      </c>
      <c r="K92" s="223">
        <f>BZ48</f>
        <v>0</v>
      </c>
      <c r="L92" s="223">
        <f>CA48</f>
        <v>0</v>
      </c>
      <c r="M92" s="223">
        <f t="shared" ref="M92:M98" si="217">SUM(H92:L92)</f>
        <v>53398</v>
      </c>
      <c r="O92" s="113"/>
      <c r="Q92" s="680">
        <f t="shared" ref="Q92:Q98" si="218">ABS(M92-AD92)</f>
        <v>0</v>
      </c>
      <c r="S92" s="207"/>
      <c r="T92" s="447" t="s">
        <v>3381</v>
      </c>
      <c r="U92" s="447"/>
      <c r="V92" s="447"/>
      <c r="W92" s="447"/>
      <c r="X92" s="448" t="s">
        <v>2009</v>
      </c>
      <c r="Y92" s="449">
        <f>BW48</f>
        <v>0</v>
      </c>
      <c r="Z92" s="449">
        <f>BX48</f>
        <v>3810</v>
      </c>
      <c r="AA92" s="449">
        <f>BY48</f>
        <v>49588</v>
      </c>
      <c r="AB92" s="449">
        <f>BZ48</f>
        <v>0</v>
      </c>
      <c r="AC92" s="449">
        <f>CA48</f>
        <v>0</v>
      </c>
      <c r="AD92" s="449">
        <f t="shared" ref="AD92:AD98" si="219">SUM(Y92:AC92)</f>
        <v>53398</v>
      </c>
      <c r="AE92" s="207"/>
      <c r="AF92" s="122"/>
      <c r="GU92" s="172"/>
      <c r="HJ92" s="113"/>
    </row>
    <row r="93" spans="1:218" ht="15" customHeight="1">
      <c r="C93" s="5"/>
      <c r="D93" s="2"/>
      <c r="E93" s="2"/>
      <c r="F93" s="2"/>
      <c r="G93" s="46" t="s">
        <v>280</v>
      </c>
      <c r="H93" s="225">
        <f>CB48</f>
        <v>0</v>
      </c>
      <c r="I93" s="225">
        <f>CC48</f>
        <v>2286</v>
      </c>
      <c r="J93" s="225">
        <f>CD48</f>
        <v>10780</v>
      </c>
      <c r="K93" s="225">
        <f>CE48</f>
        <v>0</v>
      </c>
      <c r="L93" s="225">
        <f>CF48</f>
        <v>0</v>
      </c>
      <c r="M93" s="225">
        <f t="shared" si="217"/>
        <v>13066</v>
      </c>
      <c r="N93" s="6"/>
      <c r="O93" s="113"/>
      <c r="Q93" s="680">
        <f t="shared" si="218"/>
        <v>0</v>
      </c>
      <c r="S93" s="207"/>
      <c r="T93" s="231"/>
      <c r="U93" s="447"/>
      <c r="V93" s="447"/>
      <c r="W93" s="447"/>
      <c r="X93" s="448" t="s">
        <v>280</v>
      </c>
      <c r="Y93" s="449">
        <f>CB48</f>
        <v>0</v>
      </c>
      <c r="Z93" s="449">
        <f>CC48</f>
        <v>2286</v>
      </c>
      <c r="AA93" s="449">
        <f>CD48</f>
        <v>10780</v>
      </c>
      <c r="AB93" s="449">
        <f>CE48</f>
        <v>0</v>
      </c>
      <c r="AC93" s="449">
        <f>CF48</f>
        <v>0</v>
      </c>
      <c r="AD93" s="449">
        <f t="shared" si="219"/>
        <v>13066</v>
      </c>
      <c r="AE93" s="447"/>
      <c r="AF93" s="122"/>
      <c r="GU93" s="172"/>
      <c r="HJ93" s="113"/>
    </row>
    <row r="94" spans="1:218" ht="15" customHeight="1">
      <c r="C94" s="5"/>
      <c r="D94" s="2"/>
      <c r="E94" s="2"/>
      <c r="F94" s="2"/>
      <c r="G94" s="46" t="s">
        <v>772</v>
      </c>
      <c r="H94" s="222">
        <f>SUM(H92:H93)</f>
        <v>0</v>
      </c>
      <c r="I94" s="222">
        <f>SUM(I92:I93)</f>
        <v>6096</v>
      </c>
      <c r="J94" s="222">
        <f>SUM(J92:J93)</f>
        <v>60368</v>
      </c>
      <c r="K94" s="222">
        <f>SUM(K92:K93)</f>
        <v>0</v>
      </c>
      <c r="L94" s="222">
        <f>SUM(L92:L93)</f>
        <v>0</v>
      </c>
      <c r="M94" s="222">
        <f t="shared" si="217"/>
        <v>66464</v>
      </c>
      <c r="N94" s="6"/>
      <c r="O94" s="113"/>
      <c r="Q94" s="680">
        <f t="shared" si="218"/>
        <v>0</v>
      </c>
      <c r="S94" s="207"/>
      <c r="T94" s="231"/>
      <c r="U94" s="447"/>
      <c r="V94" s="447"/>
      <c r="W94" s="447"/>
      <c r="X94" s="448" t="s">
        <v>772</v>
      </c>
      <c r="Y94" s="449">
        <f>SUM(Y92:Y93)</f>
        <v>0</v>
      </c>
      <c r="Z94" s="449">
        <f>SUM(Z92:Z93)</f>
        <v>6096</v>
      </c>
      <c r="AA94" s="449">
        <f>SUM(AA92:AA93)</f>
        <v>60368</v>
      </c>
      <c r="AB94" s="449">
        <f>SUM(AB92:AB93)</f>
        <v>0</v>
      </c>
      <c r="AC94" s="449">
        <f>SUM(AC92:AC93)</f>
        <v>0</v>
      </c>
      <c r="AD94" s="449">
        <f t="shared" si="219"/>
        <v>66464</v>
      </c>
      <c r="AE94" s="447"/>
      <c r="AF94" s="122"/>
      <c r="GU94" s="172"/>
      <c r="HJ94" s="113"/>
    </row>
    <row r="95" spans="1:218" ht="15" customHeight="1">
      <c r="C95" s="2" t="s">
        <v>529</v>
      </c>
      <c r="D95" s="2"/>
      <c r="E95" s="2"/>
      <c r="F95" s="2"/>
      <c r="G95" s="2"/>
      <c r="H95" s="222">
        <f>CL48</f>
        <v>0</v>
      </c>
      <c r="I95" s="222">
        <f>CM48</f>
        <v>0</v>
      </c>
      <c r="J95" s="222">
        <f>CN48</f>
        <v>0</v>
      </c>
      <c r="K95" s="222">
        <f>CO48</f>
        <v>0</v>
      </c>
      <c r="L95" s="222">
        <f>CP48</f>
        <v>0</v>
      </c>
      <c r="M95" s="222">
        <f t="shared" si="217"/>
        <v>0</v>
      </c>
      <c r="O95" s="113"/>
      <c r="Q95" s="680">
        <f t="shared" si="218"/>
        <v>0</v>
      </c>
      <c r="S95" s="207"/>
      <c r="T95" s="122" t="s">
        <v>529</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1800</v>
      </c>
      <c r="D96" s="2"/>
      <c r="E96" s="2"/>
      <c r="F96" s="2"/>
      <c r="G96" s="2"/>
      <c r="H96" s="222">
        <f>SUM(H94:H95)</f>
        <v>0</v>
      </c>
      <c r="I96" s="222">
        <f>SUM(I94:I95)</f>
        <v>6096</v>
      </c>
      <c r="J96" s="222">
        <f>SUM(J94:J95)</f>
        <v>60368</v>
      </c>
      <c r="K96" s="222">
        <f>SUM(K94:K95)</f>
        <v>0</v>
      </c>
      <c r="L96" s="222">
        <f>SUM(L94:L95)</f>
        <v>0</v>
      </c>
      <c r="M96" s="222">
        <f t="shared" si="217"/>
        <v>66464</v>
      </c>
      <c r="O96" s="113"/>
      <c r="Q96" s="680">
        <f t="shared" si="218"/>
        <v>0</v>
      </c>
      <c r="S96" s="207"/>
      <c r="T96" s="447" t="s">
        <v>1800</v>
      </c>
      <c r="U96" s="447"/>
      <c r="V96" s="447"/>
      <c r="W96" s="447"/>
      <c r="X96" s="447"/>
      <c r="Y96" s="449">
        <f>SUM(Y94:Y95)</f>
        <v>0</v>
      </c>
      <c r="Z96" s="449">
        <f>SUM(Z94:Z95)</f>
        <v>6096</v>
      </c>
      <c r="AA96" s="449">
        <f>SUM(AA94:AA95)</f>
        <v>60368</v>
      </c>
      <c r="AB96" s="449">
        <f>SUM(AB94:AB95)</f>
        <v>0</v>
      </c>
      <c r="AC96" s="449">
        <f>SUM(AC94:AC95)</f>
        <v>0</v>
      </c>
      <c r="AD96" s="449">
        <f t="shared" si="219"/>
        <v>66464</v>
      </c>
      <c r="AE96" s="207"/>
      <c r="AF96" s="122"/>
      <c r="GU96" s="172"/>
      <c r="HJ96" s="113"/>
    </row>
    <row r="97" spans="1:220" ht="15" customHeight="1">
      <c r="C97" s="6" t="s">
        <v>3908</v>
      </c>
      <c r="D97" s="2"/>
      <c r="E97" s="2"/>
      <c r="F97" s="2"/>
      <c r="G97" s="2"/>
      <c r="H97" s="222">
        <f>CV48</f>
        <v>0</v>
      </c>
      <c r="I97" s="222">
        <f>CW48</f>
        <v>0</v>
      </c>
      <c r="J97" s="222">
        <f>CX48</f>
        <v>0</v>
      </c>
      <c r="K97" s="222">
        <f>CY48</f>
        <v>0</v>
      </c>
      <c r="L97" s="222">
        <f>CZ48</f>
        <v>0</v>
      </c>
      <c r="M97" s="222">
        <f t="shared" si="217"/>
        <v>0</v>
      </c>
      <c r="O97" s="113"/>
      <c r="Q97" s="680">
        <f t="shared" si="218"/>
        <v>0</v>
      </c>
      <c r="S97" s="207"/>
      <c r="T97" s="447" t="s">
        <v>3908</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772</v>
      </c>
      <c r="D98" s="2"/>
      <c r="E98" s="2"/>
      <c r="F98" s="2"/>
      <c r="G98" s="2"/>
      <c r="H98" s="222">
        <f>SUM(H96:H97)</f>
        <v>0</v>
      </c>
      <c r="I98" s="222">
        <f>SUM(I96:I97)</f>
        <v>6096</v>
      </c>
      <c r="J98" s="222">
        <f>SUM(J96:J97)</f>
        <v>60368</v>
      </c>
      <c r="K98" s="222">
        <f>SUM(K96:K97)</f>
        <v>0</v>
      </c>
      <c r="L98" s="222">
        <f>SUM(L96:L97)</f>
        <v>0</v>
      </c>
      <c r="M98" s="222">
        <f t="shared" si="217"/>
        <v>66464</v>
      </c>
      <c r="O98" s="113"/>
      <c r="Q98" s="680">
        <f t="shared" si="218"/>
        <v>0</v>
      </c>
      <c r="S98" s="207"/>
      <c r="T98" s="447" t="s">
        <v>772</v>
      </c>
      <c r="U98" s="447"/>
      <c r="V98" s="447"/>
      <c r="W98" s="447"/>
      <c r="X98" s="447"/>
      <c r="Y98" s="449">
        <f>SUM(Y96:Y97)</f>
        <v>0</v>
      </c>
      <c r="Z98" s="449">
        <f>SUM(Z96:Z97)</f>
        <v>6096</v>
      </c>
      <c r="AA98" s="449">
        <f>SUM(AA96:AA97)</f>
        <v>60368</v>
      </c>
      <c r="AB98" s="449">
        <f>SUM(AB96:AB97)</f>
        <v>0</v>
      </c>
      <c r="AC98" s="449">
        <f>SUM(AC96:AC97)</f>
        <v>0</v>
      </c>
      <c r="AD98" s="449">
        <f t="shared" si="219"/>
        <v>66464</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1243</v>
      </c>
      <c r="B100" s="16" t="s">
        <v>429</v>
      </c>
      <c r="P100" s="9"/>
      <c r="Q100" s="682"/>
      <c r="FW100" s="113"/>
      <c r="GN100" s="445"/>
      <c r="GT100" s="113"/>
      <c r="GU100" s="172"/>
      <c r="HJ100" s="113"/>
      <c r="HL100" s="172"/>
    </row>
    <row r="101" spans="1:220" ht="9" customHeight="1">
      <c r="P101" s="682"/>
    </row>
    <row r="102" spans="1:220" ht="12.4" customHeight="1">
      <c r="B102" s="16" t="s">
        <v>1965</v>
      </c>
      <c r="D102" s="147"/>
      <c r="E102" s="184"/>
      <c r="G102" s="972">
        <f>0.02*L49</f>
        <v>5414.4000000000005</v>
      </c>
      <c r="H102" s="973"/>
      <c r="I102" s="145" t="s">
        <v>3864</v>
      </c>
      <c r="P102" s="575"/>
    </row>
    <row r="103" spans="1:220" ht="15" customHeight="1">
      <c r="B103" s="16"/>
      <c r="D103" s="147"/>
      <c r="E103" s="184"/>
      <c r="G103" s="303"/>
      <c r="H103" s="303"/>
      <c r="I103" s="145"/>
      <c r="P103" s="575"/>
    </row>
    <row r="104" spans="1:220" ht="13.9" customHeight="1">
      <c r="B104" s="16" t="s">
        <v>2208</v>
      </c>
      <c r="I104" s="16"/>
      <c r="K104" s="43"/>
    </row>
    <row r="105" spans="1:220" ht="15" customHeight="1">
      <c r="B105" s="16"/>
      <c r="I105" s="16"/>
      <c r="K105" s="43"/>
    </row>
    <row r="106" spans="1:220" ht="13.9" customHeight="1">
      <c r="B106" s="569" t="s">
        <v>3522</v>
      </c>
      <c r="G106" s="571">
        <v>1</v>
      </c>
      <c r="H106" s="571">
        <v>2</v>
      </c>
      <c r="I106" s="571">
        <v>3</v>
      </c>
      <c r="J106" s="571">
        <v>4</v>
      </c>
      <c r="K106" s="572">
        <v>5</v>
      </c>
      <c r="L106" s="571">
        <v>6</v>
      </c>
      <c r="M106" s="571">
        <v>7</v>
      </c>
      <c r="N106" s="571">
        <v>8</v>
      </c>
      <c r="O106" s="571">
        <v>9</v>
      </c>
      <c r="P106" s="571">
        <v>10</v>
      </c>
    </row>
    <row r="107" spans="1:220" ht="15" customHeight="1">
      <c r="B107" s="9" t="s">
        <v>1966</v>
      </c>
      <c r="G107" s="1324"/>
      <c r="H107" s="1324"/>
      <c r="I107" s="1324"/>
      <c r="J107" s="1324"/>
      <c r="K107" s="1325"/>
      <c r="L107" s="1324"/>
      <c r="M107" s="1324"/>
      <c r="N107" s="1324"/>
      <c r="O107" s="1324"/>
      <c r="P107" s="1324"/>
    </row>
    <row r="108" spans="1:220" ht="15" customHeight="1">
      <c r="B108" s="9" t="s">
        <v>1242</v>
      </c>
      <c r="C108" s="1326"/>
      <c r="D108" s="1327"/>
      <c r="E108" s="1327"/>
      <c r="F108" s="1328"/>
      <c r="G108" s="1329"/>
      <c r="H108" s="1329"/>
      <c r="I108" s="1329"/>
      <c r="J108" s="1329"/>
      <c r="K108" s="1330"/>
      <c r="L108" s="1329"/>
      <c r="M108" s="1329"/>
      <c r="N108" s="1329"/>
      <c r="O108" s="1329"/>
      <c r="P108" s="1329"/>
    </row>
    <row r="109" spans="1:220" ht="15" customHeight="1">
      <c r="C109" s="121" t="s">
        <v>1724</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4" customHeight="1">
      <c r="C110" s="121"/>
      <c r="G110" s="25"/>
      <c r="H110" s="25"/>
      <c r="I110" s="25"/>
      <c r="J110" s="25"/>
      <c r="K110" s="25"/>
      <c r="L110" s="25"/>
      <c r="M110" s="25"/>
      <c r="N110" s="25"/>
      <c r="O110" s="25"/>
      <c r="P110" s="25"/>
    </row>
    <row r="111" spans="1:220" ht="15.4" customHeight="1">
      <c r="B111" s="570" t="s">
        <v>1044</v>
      </c>
      <c r="G111" s="44"/>
      <c r="P111" s="9"/>
    </row>
    <row r="112" spans="1:220" ht="15" customHeight="1">
      <c r="B112" s="9" t="s">
        <v>2349</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977</v>
      </c>
      <c r="G113" s="1324"/>
      <c r="H113" s="1324"/>
      <c r="I113" s="1324"/>
      <c r="J113" s="1324"/>
      <c r="K113" s="1325"/>
      <c r="L113" s="1324"/>
      <c r="M113" s="1324"/>
      <c r="N113" s="1324"/>
      <c r="O113" s="1324"/>
      <c r="P113" s="1324"/>
    </row>
    <row r="114" spans="2:16" ht="15" customHeight="1">
      <c r="B114" s="9" t="s">
        <v>1242</v>
      </c>
      <c r="C114" s="1326"/>
      <c r="D114" s="1327"/>
      <c r="E114" s="1327"/>
      <c r="F114" s="1328"/>
      <c r="G114" s="1329"/>
      <c r="H114" s="1329"/>
      <c r="I114" s="1329"/>
      <c r="J114" s="1329"/>
      <c r="K114" s="1330"/>
      <c r="L114" s="1329"/>
      <c r="M114" s="1329"/>
      <c r="N114" s="1329"/>
      <c r="O114" s="1329"/>
      <c r="P114" s="1329"/>
    </row>
    <row r="115" spans="2:16" ht="15" customHeight="1">
      <c r="C115" s="121" t="s">
        <v>200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4" customHeight="1">
      <c r="B116" s="16"/>
      <c r="G116" s="44"/>
      <c r="P116" s="9"/>
    </row>
    <row r="117" spans="2:16" ht="13.9" customHeight="1">
      <c r="B117" s="569" t="s">
        <v>3522</v>
      </c>
      <c r="G117" s="571">
        <v>11</v>
      </c>
      <c r="H117" s="571">
        <v>12</v>
      </c>
      <c r="I117" s="571">
        <v>13</v>
      </c>
      <c r="J117" s="571">
        <v>14</v>
      </c>
      <c r="K117" s="571">
        <v>15</v>
      </c>
      <c r="L117" s="571">
        <v>16</v>
      </c>
      <c r="M117" s="571">
        <v>17</v>
      </c>
      <c r="N117" s="571">
        <v>18</v>
      </c>
      <c r="O117" s="571">
        <v>19</v>
      </c>
      <c r="P117" s="571">
        <v>20</v>
      </c>
    </row>
    <row r="118" spans="2:16" ht="15" customHeight="1">
      <c r="B118" s="9" t="s">
        <v>1966</v>
      </c>
      <c r="G118" s="1324"/>
      <c r="H118" s="1324"/>
      <c r="I118" s="1324"/>
      <c r="J118" s="1324"/>
      <c r="K118" s="1325"/>
      <c r="L118" s="1324"/>
      <c r="M118" s="1324"/>
      <c r="N118" s="1324"/>
      <c r="O118" s="1324"/>
      <c r="P118" s="1324"/>
    </row>
    <row r="119" spans="2:16" ht="15" customHeight="1">
      <c r="B119" s="9" t="s">
        <v>1242</v>
      </c>
      <c r="C119" s="1326"/>
      <c r="D119" s="1327"/>
      <c r="E119" s="1327"/>
      <c r="F119" s="1328"/>
      <c r="G119" s="1329"/>
      <c r="H119" s="1329"/>
      <c r="I119" s="1329"/>
      <c r="J119" s="1329"/>
      <c r="K119" s="1330"/>
      <c r="L119" s="1329"/>
      <c r="M119" s="1329"/>
      <c r="N119" s="1329"/>
      <c r="O119" s="1329"/>
      <c r="P119" s="1329"/>
    </row>
    <row r="120" spans="2:16" ht="15" customHeight="1">
      <c r="C120" s="121" t="s">
        <v>1724</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4" customHeight="1">
      <c r="C121" s="121"/>
      <c r="G121" s="25"/>
      <c r="H121" s="25"/>
      <c r="I121" s="25"/>
      <c r="J121" s="25"/>
      <c r="K121" s="25"/>
      <c r="L121" s="25"/>
      <c r="M121" s="25"/>
      <c r="N121" s="25"/>
      <c r="O121" s="25"/>
      <c r="P121" s="25"/>
    </row>
    <row r="122" spans="2:16" ht="15.4" customHeight="1">
      <c r="B122" s="570" t="s">
        <v>1044</v>
      </c>
      <c r="G122" s="44"/>
      <c r="P122" s="9"/>
    </row>
    <row r="123" spans="2:16" ht="15" customHeight="1">
      <c r="B123" s="9" t="s">
        <v>2349</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977</v>
      </c>
      <c r="G124" s="1324"/>
      <c r="H124" s="1324"/>
      <c r="I124" s="1324"/>
      <c r="J124" s="1324"/>
      <c r="K124" s="1325"/>
      <c r="L124" s="1324"/>
      <c r="M124" s="1324"/>
      <c r="N124" s="1324"/>
      <c r="O124" s="1324"/>
      <c r="P124" s="1324"/>
    </row>
    <row r="125" spans="2:16" ht="15" customHeight="1">
      <c r="B125" s="9" t="s">
        <v>1242</v>
      </c>
      <c r="C125" s="1326"/>
      <c r="D125" s="1327"/>
      <c r="E125" s="1327"/>
      <c r="F125" s="1328"/>
      <c r="G125" s="1329"/>
      <c r="H125" s="1329"/>
      <c r="I125" s="1329"/>
      <c r="J125" s="1329"/>
      <c r="K125" s="1330"/>
      <c r="L125" s="1329"/>
      <c r="M125" s="1329"/>
      <c r="N125" s="1329"/>
      <c r="O125" s="1329"/>
      <c r="P125" s="1329"/>
    </row>
    <row r="126" spans="2:16" ht="15" customHeight="1">
      <c r="C126" s="121" t="s">
        <v>200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4" customHeight="1">
      <c r="B127" s="16"/>
      <c r="G127" s="44"/>
      <c r="P127" s="9"/>
    </row>
    <row r="128" spans="2:16" ht="13.9" customHeight="1">
      <c r="B128" s="569" t="s">
        <v>3522</v>
      </c>
      <c r="G128" s="571">
        <v>21</v>
      </c>
      <c r="H128" s="571">
        <v>22</v>
      </c>
      <c r="I128" s="571">
        <v>23</v>
      </c>
      <c r="J128" s="571">
        <v>24</v>
      </c>
      <c r="K128" s="571">
        <v>25</v>
      </c>
      <c r="L128" s="571">
        <v>26</v>
      </c>
      <c r="M128" s="571">
        <v>27</v>
      </c>
      <c r="N128" s="571">
        <v>28</v>
      </c>
      <c r="O128" s="571">
        <v>29</v>
      </c>
      <c r="P128" s="571">
        <v>30</v>
      </c>
    </row>
    <row r="129" spans="1:219" ht="15" customHeight="1">
      <c r="B129" s="9" t="s">
        <v>1966</v>
      </c>
      <c r="G129" s="1324"/>
      <c r="H129" s="1324"/>
      <c r="I129" s="1324"/>
      <c r="J129" s="1324"/>
      <c r="K129" s="1325"/>
      <c r="L129" s="1324"/>
      <c r="M129" s="1324"/>
      <c r="N129" s="1324"/>
      <c r="O129" s="1324"/>
      <c r="P129" s="1324"/>
    </row>
    <row r="130" spans="1:219" ht="15" customHeight="1">
      <c r="B130" s="9" t="s">
        <v>1242</v>
      </c>
      <c r="C130" s="1326"/>
      <c r="D130" s="1327"/>
      <c r="E130" s="1327"/>
      <c r="F130" s="1328"/>
      <c r="G130" s="1329"/>
      <c r="H130" s="1329"/>
      <c r="I130" s="1329"/>
      <c r="J130" s="1329"/>
      <c r="K130" s="1330"/>
      <c r="L130" s="1329"/>
      <c r="M130" s="1329"/>
      <c r="N130" s="1329"/>
      <c r="O130" s="1329"/>
      <c r="P130" s="1329"/>
    </row>
    <row r="131" spans="1:219" ht="15" customHeight="1">
      <c r="C131" s="121" t="s">
        <v>1724</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4" customHeight="1">
      <c r="C132" s="121"/>
      <c r="G132" s="25"/>
      <c r="H132" s="25"/>
      <c r="I132" s="25"/>
      <c r="J132" s="25"/>
      <c r="K132" s="25"/>
      <c r="L132" s="25"/>
      <c r="M132" s="25"/>
      <c r="N132" s="25"/>
      <c r="O132" s="25"/>
      <c r="P132" s="25"/>
    </row>
    <row r="133" spans="1:219" ht="15.4" customHeight="1">
      <c r="B133" s="570" t="s">
        <v>1044</v>
      </c>
      <c r="G133" s="44"/>
      <c r="P133" s="9"/>
    </row>
    <row r="134" spans="1:219" ht="15" customHeight="1">
      <c r="B134" s="9" t="s">
        <v>2349</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977</v>
      </c>
      <c r="G135" s="1324"/>
      <c r="H135" s="1324"/>
      <c r="I135" s="1324"/>
      <c r="J135" s="1324"/>
      <c r="K135" s="1325"/>
      <c r="L135" s="1324"/>
      <c r="M135" s="1324"/>
      <c r="N135" s="1324"/>
      <c r="O135" s="1324"/>
      <c r="P135" s="1324"/>
    </row>
    <row r="136" spans="1:219" ht="15" customHeight="1">
      <c r="B136" s="9" t="s">
        <v>1242</v>
      </c>
      <c r="C136" s="1326"/>
      <c r="D136" s="1327"/>
      <c r="E136" s="1327"/>
      <c r="F136" s="1328"/>
      <c r="G136" s="1329"/>
      <c r="H136" s="1329"/>
      <c r="I136" s="1329"/>
      <c r="J136" s="1329"/>
      <c r="K136" s="1330"/>
      <c r="L136" s="1329"/>
      <c r="M136" s="1329"/>
      <c r="N136" s="1329"/>
      <c r="O136" s="1329"/>
      <c r="P136" s="1329"/>
    </row>
    <row r="137" spans="1:219" ht="15" customHeight="1">
      <c r="C137" s="121" t="s">
        <v>200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4" customHeight="1">
      <c r="B138" s="16"/>
      <c r="F138" s="44"/>
      <c r="G138" s="44"/>
      <c r="J138" s="19"/>
      <c r="P138" s="9"/>
    </row>
    <row r="139" spans="1:219" s="122" customFormat="1" ht="11.25" customHeight="1">
      <c r="A139" s="5" t="s">
        <v>2950</v>
      </c>
      <c r="B139" s="712" t="s">
        <v>2116</v>
      </c>
      <c r="C139" s="712"/>
      <c r="D139" s="712"/>
      <c r="E139" s="712"/>
      <c r="F139" s="712"/>
      <c r="G139" s="712"/>
      <c r="H139" s="712"/>
      <c r="I139" s="712"/>
      <c r="J139" s="712"/>
      <c r="K139" s="712"/>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2"/>
      <c r="C140" s="712"/>
      <c r="D140" s="712"/>
      <c r="E140" s="712"/>
      <c r="F140" s="712"/>
      <c r="G140" s="712"/>
      <c r="H140" s="712"/>
      <c r="I140" s="712"/>
      <c r="J140" s="712"/>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2002</v>
      </c>
      <c r="C141" s="2"/>
      <c r="D141" s="2"/>
      <c r="E141" s="2"/>
      <c r="F141" s="31"/>
      <c r="G141" s="31"/>
      <c r="H141" s="2"/>
      <c r="I141" s="11" t="s">
        <v>1934</v>
      </c>
      <c r="J141" s="2"/>
      <c r="K141" s="2"/>
      <c r="L141" s="2"/>
      <c r="M141" s="2"/>
      <c r="N141" s="11" t="s">
        <v>2053</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4" customHeight="1">
      <c r="A142" s="2"/>
      <c r="B142" s="2" t="s">
        <v>3342</v>
      </c>
      <c r="C142" s="2"/>
      <c r="D142" s="2"/>
      <c r="E142" s="2"/>
      <c r="F142" s="1331">
        <v>26000</v>
      </c>
      <c r="G142" s="1332"/>
      <c r="H142" s="2"/>
      <c r="I142" s="2" t="s">
        <v>1935</v>
      </c>
      <c r="J142" s="2"/>
      <c r="K142" s="1331"/>
      <c r="L142" s="1332"/>
      <c r="M142" s="2"/>
      <c r="N142" s="2" t="s">
        <v>1725</v>
      </c>
      <c r="O142" s="2"/>
      <c r="P142" s="1333">
        <v>33000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4" customHeight="1" thickBot="1">
      <c r="A143" s="2"/>
      <c r="B143" s="2" t="s">
        <v>2044</v>
      </c>
      <c r="C143" s="2"/>
      <c r="D143" s="2"/>
      <c r="E143" s="2"/>
      <c r="F143" s="1331">
        <v>18000</v>
      </c>
      <c r="G143" s="1332"/>
      <c r="H143" s="2"/>
      <c r="I143" s="2" t="s">
        <v>1936</v>
      </c>
      <c r="J143" s="2"/>
      <c r="K143" s="1331"/>
      <c r="L143" s="1332"/>
      <c r="M143" s="2"/>
      <c r="N143" s="2" t="s">
        <v>383</v>
      </c>
      <c r="O143" s="2"/>
      <c r="P143" s="1333">
        <v>13000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4" customHeight="1" thickTop="1" thickBot="1">
      <c r="A144" s="2"/>
      <c r="B144" s="2" t="s">
        <v>2173</v>
      </c>
      <c r="C144" s="2"/>
      <c r="D144" s="2"/>
      <c r="E144" s="2"/>
      <c r="F144" s="1331"/>
      <c r="G144" s="1332"/>
      <c r="H144" s="2"/>
      <c r="I144" s="2"/>
      <c r="J144" s="168" t="s">
        <v>199</v>
      </c>
      <c r="K144" s="976">
        <f>SUM(K142:L143)</f>
        <v>0</v>
      </c>
      <c r="L144" s="977"/>
      <c r="M144" s="2"/>
      <c r="N144" s="1334" t="s">
        <v>301</v>
      </c>
      <c r="O144" s="1335"/>
      <c r="P144" s="1336"/>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4" customHeight="1" thickTop="1" thickBot="1">
      <c r="A145" s="2"/>
      <c r="B145" s="1337" t="s">
        <v>301</v>
      </c>
      <c r="C145" s="1338"/>
      <c r="D145" s="1338"/>
      <c r="E145" s="1339"/>
      <c r="F145" s="1340"/>
      <c r="G145" s="1341"/>
      <c r="H145" s="2"/>
      <c r="I145" s="2"/>
      <c r="J145" s="2"/>
      <c r="K145" s="2"/>
      <c r="L145" s="2"/>
      <c r="M145" s="2"/>
      <c r="N145" s="13" t="s">
        <v>199</v>
      </c>
      <c r="O145" s="2"/>
      <c r="P145" s="665">
        <f>SUM(P142:P144)</f>
        <v>46000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4" customHeight="1" thickTop="1">
      <c r="A146" s="2"/>
      <c r="B146" s="2"/>
      <c r="C146" s="13" t="s">
        <v>199</v>
      </c>
      <c r="D146" s="2"/>
      <c r="E146" s="2"/>
      <c r="F146" s="976">
        <f>SUM(F142:G145)</f>
        <v>44000</v>
      </c>
      <c r="G146" s="977"/>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2156</v>
      </c>
      <c r="C148" s="2"/>
      <c r="D148" s="10"/>
      <c r="E148" s="2"/>
      <c r="F148" s="2"/>
      <c r="G148" s="2"/>
      <c r="H148" s="2"/>
      <c r="I148" s="11" t="s">
        <v>2157</v>
      </c>
      <c r="J148" s="2"/>
      <c r="K148" s="2"/>
      <c r="L148" s="2"/>
      <c r="M148" s="2"/>
      <c r="N148" s="11" t="s">
        <v>1937</v>
      </c>
      <c r="O148" s="2"/>
      <c r="P148" s="664">
        <f>IF(OR('Part VII-Pro Forma'!$B$20 = "Choose Mgt Fee",'Part VII-Pro Forma'!$B$20 = "Choose One!"), 0,- 'Part VII-Pro Forma'!$B$20)</f>
        <v>26880</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4" customHeight="1">
      <c r="A149" s="2"/>
      <c r="B149" s="2" t="s">
        <v>2049</v>
      </c>
      <c r="C149" s="2"/>
      <c r="D149" s="10"/>
      <c r="E149" s="2"/>
      <c r="F149" s="1331">
        <v>2500</v>
      </c>
      <c r="G149" s="1332"/>
      <c r="H149" s="2"/>
      <c r="I149" s="2" t="s">
        <v>2522</v>
      </c>
      <c r="J149" s="2"/>
      <c r="K149" s="1342">
        <v>500</v>
      </c>
      <c r="L149" s="1343"/>
      <c r="M149" s="2"/>
      <c r="N149" s="610">
        <f>+P148/(M63*0.93)</f>
        <v>451.61290322580641</v>
      </c>
      <c r="O149" s="30" t="s">
        <v>3959</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4" customHeight="1">
      <c r="A150" s="2"/>
      <c r="B150" s="2" t="s">
        <v>2050</v>
      </c>
      <c r="C150" s="2"/>
      <c r="D150" s="10"/>
      <c r="E150" s="2"/>
      <c r="F150" s="1331">
        <v>2500</v>
      </c>
      <c r="G150" s="1332"/>
      <c r="H150" s="2"/>
      <c r="I150" s="2" t="s">
        <v>3195</v>
      </c>
      <c r="J150" s="2"/>
      <c r="K150" s="1344">
        <v>7000</v>
      </c>
      <c r="L150" s="1345"/>
      <c r="M150" s="2"/>
      <c r="N150" s="610">
        <f>+P148/(M63*0.93)/12</f>
        <v>37.634408602150536</v>
      </c>
      <c r="O150" s="30" t="s">
        <v>3960</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4" customHeight="1">
      <c r="A151" s="2"/>
      <c r="B151" s="2" t="s">
        <v>2051</v>
      </c>
      <c r="C151" s="2"/>
      <c r="D151" s="10"/>
      <c r="E151" s="2"/>
      <c r="F151" s="1331">
        <v>500</v>
      </c>
      <c r="G151" s="1332"/>
      <c r="H151" s="2"/>
      <c r="I151" s="2" t="s">
        <v>2523</v>
      </c>
      <c r="J151" s="2"/>
      <c r="K151" s="1344">
        <v>2000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4" customHeight="1" thickBot="1">
      <c r="A152" s="2"/>
      <c r="B152" s="2" t="s">
        <v>3582</v>
      </c>
      <c r="C152" s="2"/>
      <c r="D152" s="10"/>
      <c r="E152" s="2"/>
      <c r="F152" s="1331"/>
      <c r="G152" s="1332"/>
      <c r="H152" s="2"/>
      <c r="I152" s="1334" t="s">
        <v>301</v>
      </c>
      <c r="J152" s="1335"/>
      <c r="K152" s="1342"/>
      <c r="L152" s="1343"/>
      <c r="M152" s="2"/>
      <c r="N152" s="978" t="s">
        <v>3762</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4" customHeight="1" thickTop="1">
      <c r="A153" s="2"/>
      <c r="B153" s="2" t="s">
        <v>2520</v>
      </c>
      <c r="C153" s="2"/>
      <c r="D153" s="10"/>
      <c r="E153" s="2"/>
      <c r="F153" s="1331">
        <v>2000</v>
      </c>
      <c r="G153" s="1332"/>
      <c r="H153" s="2"/>
      <c r="I153" s="11"/>
      <c r="J153" s="13" t="s">
        <v>199</v>
      </c>
      <c r="K153" s="983">
        <f>SUM(K149:K152)</f>
        <v>9500</v>
      </c>
      <c r="L153" s="984"/>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4" customHeight="1" thickBot="1">
      <c r="A154" s="2"/>
      <c r="B154" s="1337" t="s">
        <v>301</v>
      </c>
      <c r="C154" s="1338"/>
      <c r="D154" s="1338"/>
      <c r="E154" s="1339"/>
      <c r="F154" s="1340"/>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4" customHeight="1" thickTop="1">
      <c r="A155" s="2"/>
      <c r="B155" s="2"/>
      <c r="C155" s="13" t="s">
        <v>199</v>
      </c>
      <c r="D155" s="2"/>
      <c r="E155" s="2"/>
      <c r="F155" s="976">
        <f>SUM(F149:G154)</f>
        <v>7500</v>
      </c>
      <c r="G155" s="977"/>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2158</v>
      </c>
      <c r="C157" s="2"/>
      <c r="D157" s="10"/>
      <c r="E157" s="2"/>
      <c r="F157" s="2"/>
      <c r="G157" s="2"/>
      <c r="H157" s="2"/>
      <c r="I157" s="11" t="s">
        <v>2052</v>
      </c>
      <c r="J157" s="713" t="s">
        <v>3506</v>
      </c>
      <c r="K157" s="2"/>
      <c r="L157" s="2"/>
      <c r="M157" s="2"/>
      <c r="N157" s="11" t="s">
        <v>3172</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4" customHeight="1" thickBot="1">
      <c r="A158" s="2"/>
      <c r="B158" s="2" t="s">
        <v>2524</v>
      </c>
      <c r="C158" s="2"/>
      <c r="D158" s="10"/>
      <c r="E158" s="2"/>
      <c r="F158" s="1346">
        <v>4000</v>
      </c>
      <c r="G158" s="1347"/>
      <c r="H158" s="2"/>
      <c r="I158" s="2" t="s">
        <v>2045</v>
      </c>
      <c r="J158" s="662">
        <f>K158/12/$M$63</f>
        <v>16.927083333333332</v>
      </c>
      <c r="K158" s="1344">
        <v>13000</v>
      </c>
      <c r="L158" s="1345"/>
      <c r="M158" s="2"/>
      <c r="N158" s="368">
        <f>+$P$158/$M$63</f>
        <v>3021.5625</v>
      </c>
      <c r="O158" s="30" t="s">
        <v>2141</v>
      </c>
      <c r="P158" s="663">
        <f>F146+F155+F166+K144+K153+K163+P145+P148</f>
        <v>193380</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4" customHeight="1">
      <c r="A159" s="2"/>
      <c r="B159" s="2" t="s">
        <v>2525</v>
      </c>
      <c r="C159" s="2"/>
      <c r="D159" s="10"/>
      <c r="E159" s="2"/>
      <c r="F159" s="1346">
        <v>4000</v>
      </c>
      <c r="G159" s="1347"/>
      <c r="H159" s="2"/>
      <c r="I159" s="2" t="s">
        <v>2046</v>
      </c>
      <c r="J159" s="662">
        <f>K159/12/$M$63</f>
        <v>0</v>
      </c>
      <c r="K159" s="1344">
        <v>0</v>
      </c>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4" customHeight="1" thickBot="1">
      <c r="A160" s="2"/>
      <c r="B160" s="2" t="s">
        <v>2397</v>
      </c>
      <c r="C160" s="2"/>
      <c r="D160" s="10"/>
      <c r="E160" s="2"/>
      <c r="F160" s="1346">
        <v>13000</v>
      </c>
      <c r="G160" s="1347"/>
      <c r="H160" s="2"/>
      <c r="I160" s="2" t="s">
        <v>3505</v>
      </c>
      <c r="J160" s="662">
        <f>K160/12/$M$63</f>
        <v>5.208333333333333</v>
      </c>
      <c r="K160" s="1344">
        <v>4000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4" customHeight="1" thickBot="1">
      <c r="A161" s="2"/>
      <c r="B161" s="2" t="s">
        <v>1634</v>
      </c>
      <c r="C161" s="2"/>
      <c r="D161" s="10"/>
      <c r="E161" s="2"/>
      <c r="F161" s="1331">
        <v>4500</v>
      </c>
      <c r="G161" s="1332"/>
      <c r="H161" s="2"/>
      <c r="I161" s="2" t="s">
        <v>2048</v>
      </c>
      <c r="J161" s="2"/>
      <c r="K161" s="1344">
        <v>7000</v>
      </c>
      <c r="L161" s="1345"/>
      <c r="M161" s="2"/>
      <c r="N161" s="11" t="s">
        <v>2042</v>
      </c>
      <c r="O161" s="11"/>
      <c r="P161" s="664">
        <f>P162*M63</f>
        <v>16000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4" customHeight="1" thickBot="1">
      <c r="A162" s="2"/>
      <c r="B162" s="2" t="s">
        <v>1768</v>
      </c>
      <c r="C162" s="2"/>
      <c r="D162" s="10"/>
      <c r="E162" s="2"/>
      <c r="F162" s="1331">
        <v>3500</v>
      </c>
      <c r="G162" s="1332"/>
      <c r="H162" s="2"/>
      <c r="I162" s="1334" t="s">
        <v>301</v>
      </c>
      <c r="J162" s="1335"/>
      <c r="K162" s="1342"/>
      <c r="L162" s="1343"/>
      <c r="M162" s="2"/>
      <c r="N162" s="30" t="s">
        <v>708</v>
      </c>
      <c r="O162" s="2"/>
      <c r="P162" s="1348">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4" customHeight="1" thickTop="1">
      <c r="A163" s="2"/>
      <c r="B163" s="2" t="s">
        <v>1852</v>
      </c>
      <c r="C163" s="2"/>
      <c r="D163" s="10"/>
      <c r="E163" s="2"/>
      <c r="F163" s="1331">
        <v>4000</v>
      </c>
      <c r="G163" s="1332"/>
      <c r="H163" s="2"/>
      <c r="I163" s="2"/>
      <c r="J163" s="13" t="s">
        <v>199</v>
      </c>
      <c r="K163" s="983">
        <f>SUM(K158:K162)</f>
        <v>24000</v>
      </c>
      <c r="L163" s="984"/>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4" customHeight="1">
      <c r="A164" s="2"/>
      <c r="B164" s="2" t="s">
        <v>1472</v>
      </c>
      <c r="C164" s="2"/>
      <c r="D164" s="10"/>
      <c r="E164" s="2"/>
      <c r="F164" s="1331">
        <v>2500</v>
      </c>
      <c r="G164" s="1332"/>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4" customHeight="1" thickBot="1">
      <c r="A165" s="2"/>
      <c r="B165" s="1337" t="s">
        <v>301</v>
      </c>
      <c r="C165" s="1338"/>
      <c r="D165" s="1338"/>
      <c r="E165" s="1339"/>
      <c r="F165" s="1340"/>
      <c r="G165" s="1341"/>
      <c r="H165" s="2"/>
      <c r="I165" s="2"/>
      <c r="J165" s="14"/>
      <c r="K165" s="2"/>
      <c r="L165" s="2"/>
      <c r="M165" s="2"/>
      <c r="N165" s="11" t="s">
        <v>3173</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4" customHeight="1" thickTop="1" thickBot="1">
      <c r="A166" s="2"/>
      <c r="B166" s="11"/>
      <c r="C166" s="13" t="s">
        <v>199</v>
      </c>
      <c r="D166" s="2"/>
      <c r="E166" s="2"/>
      <c r="F166" s="981">
        <f>SUM(F158:G165)</f>
        <v>35500</v>
      </c>
      <c r="G166" s="982"/>
      <c r="H166" s="2"/>
      <c r="I166" s="2"/>
      <c r="J166" s="14"/>
      <c r="K166" s="2"/>
      <c r="L166" s="2"/>
      <c r="M166" s="2"/>
      <c r="N166" s="2"/>
      <c r="O166" s="2"/>
      <c r="P166" s="663">
        <f>P158+P161</f>
        <v>209380</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2952</v>
      </c>
      <c r="B168" s="16" t="s">
        <v>953</v>
      </c>
      <c r="K168" s="16" t="s">
        <v>973</v>
      </c>
      <c r="L168" s="16" t="s">
        <v>3042</v>
      </c>
    </row>
    <row r="169" spans="1:219" ht="51.4" customHeight="1">
      <c r="A169" s="1290" t="s">
        <v>49</v>
      </c>
      <c r="B169" s="1349"/>
      <c r="C169" s="1349"/>
      <c r="D169" s="1349"/>
      <c r="E169" s="1349"/>
      <c r="F169" s="1349"/>
      <c r="G169" s="1349"/>
      <c r="H169" s="1349"/>
      <c r="I169" s="1349"/>
      <c r="J169" s="1350"/>
      <c r="K169" s="1293"/>
      <c r="L169" s="1351"/>
      <c r="M169" s="1351"/>
      <c r="N169" s="1351"/>
      <c r="O169" s="1351"/>
      <c r="P169" s="1352"/>
    </row>
    <row r="170" spans="1:219" s="122" customFormat="1" ht="51.4" customHeight="1">
      <c r="A170" s="1294" t="s">
        <v>33</v>
      </c>
      <c r="B170" s="1353"/>
      <c r="C170" s="1353"/>
      <c r="D170" s="1353"/>
      <c r="E170" s="1353"/>
      <c r="F170" s="1353"/>
      <c r="G170" s="1353"/>
      <c r="H170" s="1353"/>
      <c r="I170" s="1353"/>
      <c r="J170" s="1354"/>
      <c r="K170" s="1297"/>
      <c r="L170" s="1355"/>
      <c r="M170" s="1355"/>
      <c r="N170" s="1355"/>
      <c r="O170" s="1355"/>
      <c r="P170" s="135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4" customHeight="1">
      <c r="A171" s="1298" t="s">
        <v>17</v>
      </c>
      <c r="B171" s="1357"/>
      <c r="C171" s="1357"/>
      <c r="D171" s="1357"/>
      <c r="E171" s="1357"/>
      <c r="F171" s="1357"/>
      <c r="G171" s="1357"/>
      <c r="H171" s="1357"/>
      <c r="I171" s="1357"/>
      <c r="J171" s="1358"/>
      <c r="K171" s="1301"/>
      <c r="L171" s="1359"/>
      <c r="M171" s="1359"/>
      <c r="N171" s="1359"/>
      <c r="O171" s="1359"/>
      <c r="P171" s="1360"/>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mergeCells count="256">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ES4:ES9"/>
    <mergeCell ref="ET8:ET9"/>
    <mergeCell ref="EY8:EY9"/>
    <mergeCell ref="FI8:FI9"/>
    <mergeCell ref="FU8:FU9"/>
    <mergeCell ref="FV8:FV9"/>
    <mergeCell ref="FS8:FS9"/>
    <mergeCell ref="FA8:FA9"/>
    <mergeCell ref="EK4:EK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paperSize="0" scale="75" fitToHeight="0" orientation="landscape" horizontalDpi="4294967292" verticalDpi="4294967292"/>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sheetPr codeName="Sheet11" enableFormatConditionsCalculation="0">
    <pageSetUpPr fitToPage="1"/>
  </sheetPr>
  <dimension ref="A1:O193"/>
  <sheetViews>
    <sheetView showGridLines="0" showZeros="0" topLeftCell="A121" zoomScaleNormal="90" zoomScalePageLayoutView="90" workbookViewId="0">
      <selection activeCell="E14" sqref="E14"/>
    </sheetView>
  </sheetViews>
  <sheetFormatPr defaultColWidth="8.7109375" defaultRowHeight="12.75"/>
  <cols>
    <col min="1" max="1" width="22.28515625" style="9" customWidth="1"/>
    <col min="2" max="11" width="12" style="9" customWidth="1"/>
    <col min="12" max="16384" width="8.71093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2011-028 Endeavor Pointe, LaFayette, Walker County</v>
      </c>
      <c r="B1" s="987"/>
      <c r="C1" s="987"/>
      <c r="D1" s="987"/>
      <c r="E1" s="987"/>
      <c r="F1" s="987"/>
      <c r="G1" s="987"/>
      <c r="H1" s="987"/>
      <c r="I1" s="987"/>
      <c r="J1" s="987"/>
      <c r="K1" s="988"/>
      <c r="L1" s="11"/>
      <c r="M1" s="11"/>
      <c r="N1" s="11"/>
      <c r="O1" s="11"/>
    </row>
    <row r="2" spans="1:15" ht="4.1500000000000004" customHeight="1"/>
    <row r="3" spans="1:15" ht="13.5">
      <c r="A3" s="16" t="s">
        <v>334</v>
      </c>
      <c r="D3" s="16" t="s">
        <v>225</v>
      </c>
      <c r="E3" s="305"/>
      <c r="F3" s="401" t="s">
        <v>1583</v>
      </c>
    </row>
    <row r="4" spans="1:15" ht="2.65" customHeight="1">
      <c r="A4" s="19"/>
      <c r="B4" s="19"/>
      <c r="C4" s="19"/>
      <c r="H4" s="19"/>
      <c r="I4" s="19"/>
    </row>
    <row r="5" spans="1:15">
      <c r="A5" s="19" t="s">
        <v>3174</v>
      </c>
      <c r="B5" s="108">
        <v>0.02</v>
      </c>
      <c r="C5" s="19"/>
      <c r="D5" s="19" t="s">
        <v>1358</v>
      </c>
      <c r="F5" s="19"/>
      <c r="G5" s="1280"/>
      <c r="H5" s="132" t="s">
        <v>3156</v>
      </c>
      <c r="K5" s="138">
        <f>IF(($B$14+$B$15+$B$16+$B$17)=0,"",-B30/($B$14+$B$15+$B$16+$B$17))</f>
        <v>0</v>
      </c>
    </row>
    <row r="6" spans="1:15">
      <c r="A6" s="19" t="s">
        <v>3175</v>
      </c>
      <c r="B6" s="108">
        <v>0.03</v>
      </c>
      <c r="C6" s="19"/>
      <c r="D6" s="19" t="s">
        <v>1359</v>
      </c>
      <c r="F6" s="19"/>
      <c r="G6" s="1280"/>
      <c r="H6" s="132" t="s">
        <v>3687</v>
      </c>
      <c r="K6" s="138">
        <f>IF(($B$14+$B$15+$B$16+$B$17)=0,"",-B32/($B$14+$B$15+$B$16+$B$17))</f>
        <v>0</v>
      </c>
    </row>
    <row r="7" spans="1:15">
      <c r="A7" s="19" t="s">
        <v>3177</v>
      </c>
      <c r="B7" s="108">
        <v>0.03</v>
      </c>
      <c r="C7" s="19"/>
      <c r="D7" s="110" t="s">
        <v>391</v>
      </c>
      <c r="G7" s="112"/>
      <c r="H7" s="132" t="s">
        <v>3688</v>
      </c>
      <c r="K7" s="138">
        <f>IF(($B$14+$B$15+$B$16+$B$17)=0,"",-B20/($B$14+$B$15+$B$16+$B$17))</f>
        <v>0.10467086247295379</v>
      </c>
    </row>
    <row r="8" spans="1:15" ht="13.15" customHeight="1">
      <c r="A8" s="19" t="s">
        <v>3176</v>
      </c>
      <c r="B8" s="1281">
        <v>7.0000000000000007E-2</v>
      </c>
      <c r="C8" s="19"/>
      <c r="D8" s="109" t="s">
        <v>3893</v>
      </c>
      <c r="G8" s="1282" t="s">
        <v>3834</v>
      </c>
      <c r="H8" s="232" t="s">
        <v>2207</v>
      </c>
      <c r="K8" s="1283">
        <v>26880</v>
      </c>
    </row>
    <row r="9" spans="1:15">
      <c r="A9" s="19" t="s">
        <v>1993</v>
      </c>
      <c r="B9" s="108">
        <v>0.02</v>
      </c>
      <c r="D9" s="109" t="s">
        <v>2604</v>
      </c>
      <c r="G9" s="1282"/>
      <c r="H9" s="232" t="s">
        <v>3663</v>
      </c>
      <c r="K9" s="1284"/>
    </row>
    <row r="10" spans="1:15" ht="4.1500000000000004" customHeight="1"/>
    <row r="11" spans="1:15">
      <c r="A11" s="16" t="s">
        <v>149</v>
      </c>
    </row>
    <row r="12" spans="1:15" ht="2.65" customHeight="1"/>
    <row r="13" spans="1:15" ht="14.65" customHeight="1">
      <c r="A13" s="16" t="s">
        <v>3865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3760</v>
      </c>
      <c r="B14" s="22">
        <f>'Part VI-Revenues &amp; Expenses'!L49</f>
        <v>270720</v>
      </c>
      <c r="C14" s="22">
        <f t="shared" ref="C14:K14" si="1">$B$14*(1+$B$5)^(C13-1)</f>
        <v>276134.40000000002</v>
      </c>
      <c r="D14" s="22">
        <f t="shared" si="1"/>
        <v>281657.08799999999</v>
      </c>
      <c r="E14" s="22">
        <f t="shared" si="1"/>
        <v>287290.22975999996</v>
      </c>
      <c r="F14" s="22">
        <f t="shared" si="1"/>
        <v>293036.03435520001</v>
      </c>
      <c r="G14" s="22">
        <f t="shared" si="1"/>
        <v>298896.75504230399</v>
      </c>
      <c r="H14" s="22">
        <f t="shared" si="1"/>
        <v>304874.6901431501</v>
      </c>
      <c r="I14" s="22">
        <f t="shared" si="1"/>
        <v>310972.18394601304</v>
      </c>
      <c r="J14" s="22">
        <f t="shared" si="1"/>
        <v>317191.62762493332</v>
      </c>
      <c r="K14" s="23">
        <f t="shared" si="1"/>
        <v>323535.46017743199</v>
      </c>
    </row>
    <row r="15" spans="1:15" ht="13.15" customHeight="1">
      <c r="A15" s="24" t="s">
        <v>1965</v>
      </c>
      <c r="B15" s="25">
        <f>MIN(B14*B9,'Part VI-Revenues &amp; Expenses'!G102)</f>
        <v>5414.4000000000005</v>
      </c>
      <c r="C15" s="25">
        <f t="shared" ref="C15:K15" si="2">$B$15*(1+$B$5)^(C13-1)</f>
        <v>5522.688000000001</v>
      </c>
      <c r="D15" s="25">
        <f t="shared" si="2"/>
        <v>5633.1417600000004</v>
      </c>
      <c r="E15" s="25">
        <f t="shared" si="2"/>
        <v>5745.8045952000002</v>
      </c>
      <c r="F15" s="25">
        <f t="shared" si="2"/>
        <v>5860.7206871040007</v>
      </c>
      <c r="G15" s="25">
        <f t="shared" si="2"/>
        <v>5977.9351008460808</v>
      </c>
      <c r="H15" s="25">
        <f t="shared" si="2"/>
        <v>6097.4938028630022</v>
      </c>
      <c r="I15" s="25">
        <f t="shared" si="2"/>
        <v>6219.4436789202609</v>
      </c>
      <c r="J15" s="25">
        <f t="shared" si="2"/>
        <v>6343.8325524986667</v>
      </c>
      <c r="K15" s="26">
        <f t="shared" si="2"/>
        <v>6470.7092035486403</v>
      </c>
    </row>
    <row r="16" spans="1:15" ht="13.15" customHeight="1">
      <c r="A16" s="24" t="s">
        <v>3655</v>
      </c>
      <c r="B16" s="25">
        <f t="shared" ref="B16:K16" si="3">-(B14+B15)*$B$8</f>
        <v>-19329.408000000003</v>
      </c>
      <c r="C16" s="25">
        <f t="shared" si="3"/>
        <v>-19715.996160000006</v>
      </c>
      <c r="D16" s="25">
        <f t="shared" si="3"/>
        <v>-20110.316083200003</v>
      </c>
      <c r="E16" s="25">
        <f t="shared" si="3"/>
        <v>-20512.522404863998</v>
      </c>
      <c r="F16" s="25">
        <f t="shared" si="3"/>
        <v>-20922.772852961283</v>
      </c>
      <c r="G16" s="25">
        <f t="shared" si="3"/>
        <v>-21341.22831002051</v>
      </c>
      <c r="H16" s="25">
        <f t="shared" si="3"/>
        <v>-21768.052876220918</v>
      </c>
      <c r="I16" s="25">
        <f t="shared" si="3"/>
        <v>-22203.413933745334</v>
      </c>
      <c r="J16" s="25">
        <f t="shared" si="3"/>
        <v>-22647.48221242024</v>
      </c>
      <c r="K16" s="26">
        <f t="shared" si="3"/>
        <v>-23100.431856668645</v>
      </c>
    </row>
    <row r="17" spans="1:11" ht="13.15" customHeight="1">
      <c r="A17" s="24" t="s">
        <v>302</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303</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1124</v>
      </c>
      <c r="B19" s="25">
        <f>-('Part VI-Revenues &amp; Expenses'!P158-'Part VI-Revenues &amp; Expenses'!P148)</f>
        <v>-166500</v>
      </c>
      <c r="C19" s="25">
        <f t="shared" ref="C19:K19" si="4">$B$19*(1+$B$6)^(C13-1)</f>
        <v>-171495</v>
      </c>
      <c r="D19" s="25">
        <f t="shared" si="4"/>
        <v>-176639.85</v>
      </c>
      <c r="E19" s="25">
        <f t="shared" si="4"/>
        <v>-181939.04550000001</v>
      </c>
      <c r="F19" s="25">
        <f t="shared" si="4"/>
        <v>-187397.21686499999</v>
      </c>
      <c r="G19" s="25">
        <f t="shared" si="4"/>
        <v>-193019.13337094997</v>
      </c>
      <c r="H19" s="25">
        <f t="shared" si="4"/>
        <v>-198809.7073720785</v>
      </c>
      <c r="I19" s="25">
        <f t="shared" si="4"/>
        <v>-204773.99859324086</v>
      </c>
      <c r="J19" s="25">
        <f t="shared" si="4"/>
        <v>-210917.21855103807</v>
      </c>
      <c r="K19" s="26">
        <f t="shared" si="4"/>
        <v>-217244.7351075692</v>
      </c>
    </row>
    <row r="20" spans="1:11" ht="13.15" customHeight="1">
      <c r="A20" s="24" t="s">
        <v>1756</v>
      </c>
      <c r="B20" s="25">
        <f>IF(AND('Part VII-Pro Forma'!$G$8="Yes",'Part VII-Pro Forma'!$G$9="Yes"),"Choose One!",IF('Part VII-Pro Forma'!$G$8="Yes",ROUND((-$K$8*(1+'Part VII-Pro Forma'!$B$6)^('Part VII-Pro Forma'!B13-1)),),IF('Part VII-Pro Forma'!$G$9="Yes",ROUND((-(SUM(B14:B17)*'Part VII-Pro Forma'!$K$9)),),"Choose mgt fee")))</f>
        <v>-26880</v>
      </c>
      <c r="C20" s="25">
        <f>IF(AND('Part VII-Pro Forma'!$G$8="Yes",'Part VII-Pro Forma'!$G$9="Yes"),"Choose One!",IF('Part VII-Pro Forma'!$G$8="Yes",ROUND((-$K$8*(1+'Part VII-Pro Forma'!$B$6)^('Part VII-Pro Forma'!C13-1)),),IF('Part VII-Pro Forma'!$G$9="Yes",ROUND((-(SUM(C14:C17)*'Part VII-Pro Forma'!$K$9)),),"Choose mgt fee")))</f>
        <v>-27686</v>
      </c>
      <c r="D20" s="25">
        <f>IF(AND('Part VII-Pro Forma'!$G$8="Yes",'Part VII-Pro Forma'!$G$9="Yes"),"Choose One!",IF('Part VII-Pro Forma'!$G$8="Yes",ROUND((-$K$8*(1+'Part VII-Pro Forma'!$B$6)^('Part VII-Pro Forma'!D13-1)),),IF('Part VII-Pro Forma'!$G$9="Yes",ROUND((-(SUM(D14:D17)*'Part VII-Pro Forma'!$K$9)),),"Choose mgt fee")))</f>
        <v>-28517</v>
      </c>
      <c r="E20" s="25">
        <f>IF(AND('Part VII-Pro Forma'!$G$8="Yes",'Part VII-Pro Forma'!$G$9="Yes"),"Choose One!",IF('Part VII-Pro Forma'!$G$8="Yes",ROUND((-$K$8*(1+'Part VII-Pro Forma'!$B$6)^('Part VII-Pro Forma'!E13-1)),),IF('Part VII-Pro Forma'!$G$9="Yes",ROUND((-(SUM(E14:E17)*'Part VII-Pro Forma'!$K$9)),),"Choose mgt fee")))</f>
        <v>-29373</v>
      </c>
      <c r="F20" s="25">
        <f>IF(AND('Part VII-Pro Forma'!$G$8="Yes",'Part VII-Pro Forma'!$G$9="Yes"),"Choose One!",IF('Part VII-Pro Forma'!$G$8="Yes",ROUND((-$K$8*(1+'Part VII-Pro Forma'!$B$6)^('Part VII-Pro Forma'!F13-1)),),IF('Part VII-Pro Forma'!$G$9="Yes",ROUND((-(SUM(F14:F17)*'Part VII-Pro Forma'!$K$9)),),"Choose mgt fee")))</f>
        <v>-30254</v>
      </c>
      <c r="G20" s="25">
        <f>IF(AND('Part VII-Pro Forma'!$G$8="Yes",'Part VII-Pro Forma'!$G$9="Yes"),"Choose One!",IF('Part VII-Pro Forma'!$G$8="Yes",ROUND((-$K$8*(1+'Part VII-Pro Forma'!$B$6)^('Part VII-Pro Forma'!G13-1)),),IF('Part VII-Pro Forma'!$G$9="Yes",ROUND((-(SUM(G14:G17)*'Part VII-Pro Forma'!$K$9)),),"Choose mgt fee")))</f>
        <v>-31161</v>
      </c>
      <c r="H20" s="25">
        <f>IF(AND('Part VII-Pro Forma'!$G$8="Yes",'Part VII-Pro Forma'!$G$9="Yes"),"Choose One!",IF('Part VII-Pro Forma'!$G$8="Yes",ROUND((-$K$8*(1+'Part VII-Pro Forma'!$B$6)^('Part VII-Pro Forma'!H13-1)),),IF('Part VII-Pro Forma'!$G$9="Yes",ROUND((-(SUM(H14:H17)*'Part VII-Pro Forma'!$K$9)),),"Choose mgt fee")))</f>
        <v>-32096</v>
      </c>
      <c r="I20" s="25">
        <f>IF(AND('Part VII-Pro Forma'!$G$8="Yes",'Part VII-Pro Forma'!$G$9="Yes"),"Choose One!",IF('Part VII-Pro Forma'!$G$8="Yes",ROUND((-$K$8*(1+'Part VII-Pro Forma'!$B$6)^('Part VII-Pro Forma'!I13-1)),),IF('Part VII-Pro Forma'!$G$9="Yes",ROUND((-(SUM(I14:I17)*'Part VII-Pro Forma'!$K$9)),),"Choose mgt fee")))</f>
        <v>-33059</v>
      </c>
      <c r="J20" s="25">
        <f>IF(AND('Part VII-Pro Forma'!$G$8="Yes",'Part VII-Pro Forma'!$G$9="Yes"),"Choose One!",IF('Part VII-Pro Forma'!$G$8="Yes",ROUND((-$K$8*(1+'Part VII-Pro Forma'!$B$6)^('Part VII-Pro Forma'!J13-1)),),IF('Part VII-Pro Forma'!$G$9="Yes",ROUND((-(SUM(J14:J17)*'Part VII-Pro Forma'!$K$9)),),"Choose mgt fee")))</f>
        <v>-34051</v>
      </c>
      <c r="K20" s="25">
        <f>IF(AND('Part VII-Pro Forma'!$G$8="Yes",'Part VII-Pro Forma'!$G$9="Yes"),"Choose One!",IF('Part VII-Pro Forma'!$G$8="Yes",ROUND((-$K$8*(1+'Part VII-Pro Forma'!$B$6)^('Part VII-Pro Forma'!K13-1)),),IF('Part VII-Pro Forma'!$G$9="Yes",ROUND((-(SUM(K14:K17)*'Part VII-Pro Forma'!$K$9)),),"Choose mgt fee")))</f>
        <v>-35072</v>
      </c>
    </row>
    <row r="21" spans="1:11" ht="13.15" customHeight="1">
      <c r="A21" s="24" t="s">
        <v>2122</v>
      </c>
      <c r="B21" s="25">
        <f>-('Part VI-Revenues &amp; Expenses'!P161)</f>
        <v>-16000</v>
      </c>
      <c r="C21" s="25">
        <f t="shared" ref="C21:K21" si="5">$B$21*(1+$B$7)^(C13-1)</f>
        <v>-16480</v>
      </c>
      <c r="D21" s="25">
        <f t="shared" si="5"/>
        <v>-16974.399999999998</v>
      </c>
      <c r="E21" s="25">
        <f t="shared" si="5"/>
        <v>-17483.632000000001</v>
      </c>
      <c r="F21" s="25">
        <f t="shared" si="5"/>
        <v>-18008.140959999997</v>
      </c>
      <c r="G21" s="25">
        <f t="shared" si="5"/>
        <v>-18548.385188799999</v>
      </c>
      <c r="H21" s="25">
        <f t="shared" si="5"/>
        <v>-19104.836744463999</v>
      </c>
      <c r="I21" s="25">
        <f t="shared" si="5"/>
        <v>-19677.98184679792</v>
      </c>
      <c r="J21" s="25">
        <f t="shared" si="5"/>
        <v>-20268.321302201854</v>
      </c>
      <c r="K21" s="26">
        <f t="shared" si="5"/>
        <v>-20876.370941267913</v>
      </c>
    </row>
    <row r="22" spans="1:11" ht="13.15" customHeight="1">
      <c r="A22" s="24" t="s">
        <v>2123</v>
      </c>
      <c r="B22" s="25">
        <f t="shared" ref="B22:K22" si="6">SUM(B14:B21)</f>
        <v>47424.992000000027</v>
      </c>
      <c r="C22" s="25">
        <f t="shared" si="6"/>
        <v>46280.091840000037</v>
      </c>
      <c r="D22" s="25">
        <f t="shared" si="6"/>
        <v>45048.663676800032</v>
      </c>
      <c r="E22" s="25">
        <f t="shared" si="6"/>
        <v>43727.834450335926</v>
      </c>
      <c r="F22" s="25">
        <f t="shared" si="6"/>
        <v>42314.624364342737</v>
      </c>
      <c r="G22" s="25">
        <f t="shared" si="6"/>
        <v>40804.943273379606</v>
      </c>
      <c r="H22" s="25">
        <f t="shared" si="6"/>
        <v>39193.586953249702</v>
      </c>
      <c r="I22" s="25">
        <f t="shared" si="6"/>
        <v>37477.233251149184</v>
      </c>
      <c r="J22" s="25">
        <f t="shared" si="6"/>
        <v>35651.438111771808</v>
      </c>
      <c r="K22" s="26">
        <f t="shared" si="6"/>
        <v>33712.631475474816</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5">
        <v>-39000</v>
      </c>
      <c r="C25" s="1285">
        <v>-38500</v>
      </c>
      <c r="D25" s="1285">
        <v>-37500</v>
      </c>
      <c r="E25" s="1285">
        <v>-36250</v>
      </c>
      <c r="F25" s="1285">
        <v>-35250</v>
      </c>
      <c r="G25" s="1285">
        <v>-34000</v>
      </c>
      <c r="H25" s="1285">
        <v>-32500</v>
      </c>
      <c r="I25" s="1285">
        <v>-31000</v>
      </c>
      <c r="J25" s="1285">
        <v>-29500</v>
      </c>
      <c r="K25" s="1285">
        <v>-28000</v>
      </c>
    </row>
    <row r="26" spans="1:11" ht="13.15" customHeight="1">
      <c r="A26" s="24" t="str">
        <f>IF('Part III A-Sources of Funds'!$E$32 = "Neither", "D/S Mortgage B","D/S Mortgage C")</f>
        <v>D/S Mortgage B</v>
      </c>
      <c r="B26" s="1285">
        <f>IF('Part III A-Sources of Funds'!$M$34="", 0,-'Part III A-Sources of Funds'!$M$34)</f>
        <v>0</v>
      </c>
      <c r="C26" s="1285">
        <f>IF('Part III A-Sources of Funds'!$M$34="", 0,-'Part III A-Sources of Funds'!$M$34)</f>
        <v>0</v>
      </c>
      <c r="D26" s="1285">
        <f>IF('Part III A-Sources of Funds'!$M$34="", 0,-'Part III A-Sources of Funds'!$M$34)</f>
        <v>0</v>
      </c>
      <c r="E26" s="1285">
        <f>IF('Part III A-Sources of Funds'!$M$34="", 0,-'Part III A-Sources of Funds'!$M$34)</f>
        <v>0</v>
      </c>
      <c r="F26" s="1285">
        <f>IF('Part III A-Sources of Funds'!$M$34="", 0,-'Part III A-Sources of Funds'!$M$34)</f>
        <v>0</v>
      </c>
      <c r="G26" s="1285">
        <f>IF('Part III A-Sources of Funds'!$M$34="", 0,-'Part III A-Sources of Funds'!$M$34)</f>
        <v>0</v>
      </c>
      <c r="H26" s="1285">
        <f>IF('Part III A-Sources of Funds'!$M$34="", 0,-'Part III A-Sources of Funds'!$M$34)</f>
        <v>0</v>
      </c>
      <c r="I26" s="1285">
        <f>IF('Part III A-Sources of Funds'!$M$34="", 0,-'Part III A-Sources of Funds'!$M$34)</f>
        <v>0</v>
      </c>
      <c r="J26" s="1285">
        <f>IF('Part III A-Sources of Funds'!$M$34="", 0,-'Part III A-Sources of Funds'!$M$34)</f>
        <v>0</v>
      </c>
      <c r="K26" s="1285">
        <f>IF('Part III A-Sources of Funds'!$M$34="", 0,-'Part III A-Sources of Funds'!$M$34)</f>
        <v>0</v>
      </c>
    </row>
    <row r="27" spans="1:11" ht="13.15" customHeight="1">
      <c r="A27" s="24" t="s">
        <v>1355</v>
      </c>
      <c r="B27" s="1285">
        <f>IF('Part III A-Sources of Funds'!$M$35="", 0,-'Part III A-Sources of Funds'!$M$35)</f>
        <v>0</v>
      </c>
      <c r="C27" s="1285">
        <f>IF('Part III A-Sources of Funds'!$M$35="", 0,-'Part III A-Sources of Funds'!$M$35)</f>
        <v>0</v>
      </c>
      <c r="D27" s="1285">
        <f>IF('Part III A-Sources of Funds'!$M$35="", 0,-'Part III A-Sources of Funds'!$M$35)</f>
        <v>0</v>
      </c>
      <c r="E27" s="1285">
        <f>IF('Part III A-Sources of Funds'!$M$35="", 0,-'Part III A-Sources of Funds'!$M$35)</f>
        <v>0</v>
      </c>
      <c r="F27" s="1285">
        <f>IF('Part III A-Sources of Funds'!$M$35="", 0,-'Part III A-Sources of Funds'!$M$35)</f>
        <v>0</v>
      </c>
      <c r="G27" s="1285">
        <f>IF('Part III A-Sources of Funds'!$M$35="", 0,-'Part III A-Sources of Funds'!$M$35)</f>
        <v>0</v>
      </c>
      <c r="H27" s="1285">
        <f>IF('Part III A-Sources of Funds'!$M$35="", 0,-'Part III A-Sources of Funds'!$M$35)</f>
        <v>0</v>
      </c>
      <c r="I27" s="1285">
        <f>IF('Part III A-Sources of Funds'!$M$35="", 0,-'Part III A-Sources of Funds'!$M$35)</f>
        <v>0</v>
      </c>
      <c r="J27" s="1285">
        <f>IF('Part III A-Sources of Funds'!$M$35="", 0,-'Part III A-Sources of Funds'!$M$35)</f>
        <v>0</v>
      </c>
      <c r="K27" s="1285">
        <f>IF('Part III A-Sources of Funds'!$M$35="", 0,-'Part III A-Sources of Funds'!$M$35)</f>
        <v>0</v>
      </c>
    </row>
    <row r="28" spans="1:11" ht="13.15" customHeight="1">
      <c r="A28" s="24" t="s">
        <v>862</v>
      </c>
      <c r="B28" s="1285">
        <f>IF('Part III A-Sources of Funds'!$M$36="", 0,-'Part III A-Sources of Funds'!$M$36)</f>
        <v>0</v>
      </c>
      <c r="C28" s="1285">
        <f>IF('Part III A-Sources of Funds'!$M$36="", 0,-'Part III A-Sources of Funds'!$M$36)</f>
        <v>0</v>
      </c>
      <c r="D28" s="1285">
        <f>IF('Part III A-Sources of Funds'!$M$36="", 0,-'Part III A-Sources of Funds'!$M$36)</f>
        <v>0</v>
      </c>
      <c r="E28" s="1285">
        <f>IF('Part III A-Sources of Funds'!$M$36="", 0,-'Part III A-Sources of Funds'!$M$36)</f>
        <v>0</v>
      </c>
      <c r="F28" s="1285">
        <f>IF('Part III A-Sources of Funds'!$M$36="", 0,-'Part III A-Sources of Funds'!$M$36)</f>
        <v>0</v>
      </c>
      <c r="G28" s="1285">
        <f>IF('Part III A-Sources of Funds'!$M$36="", 0,-'Part III A-Sources of Funds'!$M$36)</f>
        <v>0</v>
      </c>
      <c r="H28" s="1285">
        <f>IF('Part III A-Sources of Funds'!$M$36="", 0,-'Part III A-Sources of Funds'!$M$36)</f>
        <v>0</v>
      </c>
      <c r="I28" s="1285">
        <f>IF('Part III A-Sources of Funds'!$M$36="", 0,-'Part III A-Sources of Funds'!$M$36)</f>
        <v>0</v>
      </c>
      <c r="J28" s="1285">
        <f>IF('Part III A-Sources of Funds'!$M$36="", 0,-'Part III A-Sources of Funds'!$M$36)</f>
        <v>0</v>
      </c>
      <c r="K28" s="1285">
        <f>IF('Part III A-Sources of Funds'!$M$36="", 0,-'Part III A-Sources of Funds'!$M$36)</f>
        <v>0</v>
      </c>
    </row>
    <row r="29" spans="1:11" ht="13.15" customHeight="1">
      <c r="A29" s="24" t="s">
        <v>1336</v>
      </c>
      <c r="B29" s="1286"/>
      <c r="C29" s="1286"/>
      <c r="D29" s="1286"/>
      <c r="E29" s="1286"/>
      <c r="F29" s="1286"/>
      <c r="G29" s="1286"/>
      <c r="H29" s="1286"/>
      <c r="I29" s="1286"/>
      <c r="J29" s="1286"/>
      <c r="K29" s="1286"/>
    </row>
    <row r="30" spans="1:11" ht="13.15" customHeight="1">
      <c r="A30" s="24" t="s">
        <v>2033</v>
      </c>
      <c r="B30" s="1285">
        <f>-$G$5</f>
        <v>0</v>
      </c>
      <c r="C30" s="1285">
        <f t="shared" ref="C30:K30" si="7">+B30</f>
        <v>0</v>
      </c>
      <c r="D30" s="1285">
        <f t="shared" si="7"/>
        <v>0</v>
      </c>
      <c r="E30" s="1285">
        <f t="shared" si="7"/>
        <v>0</v>
      </c>
      <c r="F30" s="1285">
        <f t="shared" si="7"/>
        <v>0</v>
      </c>
      <c r="G30" s="1285">
        <f t="shared" si="7"/>
        <v>0</v>
      </c>
      <c r="H30" s="1285">
        <f t="shared" si="7"/>
        <v>0</v>
      </c>
      <c r="I30" s="1285">
        <f t="shared" si="7"/>
        <v>0</v>
      </c>
      <c r="J30" s="1285">
        <f t="shared" si="7"/>
        <v>0</v>
      </c>
      <c r="K30" s="1285">
        <f t="shared" si="7"/>
        <v>0</v>
      </c>
    </row>
    <row r="31" spans="1:11" ht="13.15" customHeight="1">
      <c r="A31" s="24" t="s">
        <v>2124</v>
      </c>
      <c r="B31" s="1285">
        <v>-7750</v>
      </c>
      <c r="C31" s="1285">
        <v>-7000</v>
      </c>
      <c r="D31" s="1285">
        <v>-7000</v>
      </c>
      <c r="E31" s="1285">
        <v>-7000</v>
      </c>
      <c r="F31" s="1285">
        <v>-6500</v>
      </c>
      <c r="G31" s="1285">
        <v>-6250</v>
      </c>
      <c r="H31" s="1285">
        <v>-6100</v>
      </c>
      <c r="I31" s="1285">
        <v>-2886.5</v>
      </c>
      <c r="J31" s="1285">
        <v>0</v>
      </c>
      <c r="K31" s="1285">
        <v>0</v>
      </c>
    </row>
    <row r="32" spans="1:11" ht="13.15" customHeight="1">
      <c r="A32" s="24" t="s">
        <v>2034</v>
      </c>
      <c r="B32" s="1287">
        <f>-$G$6</f>
        <v>0</v>
      </c>
      <c r="C32" s="1287">
        <f t="shared" ref="C32:K32" si="8">+B32</f>
        <v>0</v>
      </c>
      <c r="D32" s="1287">
        <f t="shared" si="8"/>
        <v>0</v>
      </c>
      <c r="E32" s="1287">
        <f t="shared" si="8"/>
        <v>0</v>
      </c>
      <c r="F32" s="1287">
        <f t="shared" si="8"/>
        <v>0</v>
      </c>
      <c r="G32" s="1287">
        <f t="shared" si="8"/>
        <v>0</v>
      </c>
      <c r="H32" s="1287">
        <f t="shared" si="8"/>
        <v>0</v>
      </c>
      <c r="I32" s="1287">
        <f t="shared" si="8"/>
        <v>0</v>
      </c>
      <c r="J32" s="1287">
        <f t="shared" si="8"/>
        <v>0</v>
      </c>
      <c r="K32" s="1287">
        <f t="shared" si="8"/>
        <v>0</v>
      </c>
    </row>
    <row r="33" spans="1:11" ht="13.15" customHeight="1">
      <c r="A33" s="24" t="s">
        <v>2035</v>
      </c>
      <c r="B33" s="25">
        <f t="shared" ref="B33:K33" si="9">SUM(B22:B32)</f>
        <v>674.99200000002747</v>
      </c>
      <c r="C33" s="25">
        <f t="shared" si="9"/>
        <v>780.09184000003734</v>
      </c>
      <c r="D33" s="25">
        <f t="shared" si="9"/>
        <v>548.66367680003168</v>
      </c>
      <c r="E33" s="25">
        <f t="shared" si="9"/>
        <v>477.83445033592579</v>
      </c>
      <c r="F33" s="25">
        <f t="shared" si="9"/>
        <v>564.62436434273695</v>
      </c>
      <c r="G33" s="25">
        <f t="shared" si="9"/>
        <v>554.94327337960567</v>
      </c>
      <c r="H33" s="25">
        <f t="shared" si="9"/>
        <v>593.58695324970176</v>
      </c>
      <c r="I33" s="25">
        <f t="shared" si="9"/>
        <v>3590.7332511491841</v>
      </c>
      <c r="J33" s="25">
        <f t="shared" si="9"/>
        <v>6151.4381117718076</v>
      </c>
      <c r="K33" s="23">
        <f t="shared" si="9"/>
        <v>5712.6314754748164</v>
      </c>
    </row>
    <row r="34" spans="1:11" ht="13.15"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First Mortgage</v>
      </c>
      <c r="B36" s="27">
        <f>IF(OR(B25=0,AND(B25=0,B24=0,B23=0)),"",-B22/(B23+B24+B25))</f>
        <v>1.2160254358974365</v>
      </c>
      <c r="C36" s="27">
        <f t="shared" ref="C36:K36" si="12">IF(OR(C25=0,AND(C25=0,C24=0,C23=0)),"",-C22/(C23+C24+C25))</f>
        <v>1.2020803075324684</v>
      </c>
      <c r="D36" s="27">
        <f t="shared" si="12"/>
        <v>1.2012976980480008</v>
      </c>
      <c r="E36" s="27">
        <f t="shared" si="12"/>
        <v>1.206285088285129</v>
      </c>
      <c r="F36" s="27">
        <f t="shared" si="12"/>
        <v>1.200414875584191</v>
      </c>
      <c r="G36" s="27">
        <f t="shared" si="12"/>
        <v>1.2001453903935178</v>
      </c>
      <c r="H36" s="27">
        <f t="shared" si="12"/>
        <v>1.2059565216384525</v>
      </c>
      <c r="I36" s="27">
        <f t="shared" si="12"/>
        <v>1.2089430081015866</v>
      </c>
      <c r="J36" s="27">
        <f t="shared" si="12"/>
        <v>1.2085233258227732</v>
      </c>
      <c r="K36" s="28">
        <f t="shared" si="12"/>
        <v>1.204022552695529</v>
      </c>
    </row>
    <row r="37" spans="1:11" ht="13.15" customHeight="1">
      <c r="A37" s="24" t="str">
        <f>IF('Part III A-Sources of Funds'!$E$32 = "Neither", "DCR Second Mortgage", "DCR Third Mortgage")</f>
        <v>DCR Second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1356</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1356</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1544</v>
      </c>
      <c r="B40" s="379">
        <f>IF(OR(B20="Choose mgt fee",B20="Choose One!"),"",(B14+B15+B16+B17+B18) / -(B19+B20+B21))</f>
        <v>1.2265020154742574</v>
      </c>
      <c r="C40" s="379">
        <f t="shared" ref="C40:K40" si="16">IF(OR(C20="Choose mgt fee",C20="Choose One!"),"",(C14+C15+C16+C17+C18) / -(C19+C20+C21))</f>
        <v>1.2145964817004467</v>
      </c>
      <c r="D40" s="379">
        <f t="shared" si="16"/>
        <v>1.2028020086178781</v>
      </c>
      <c r="E40" s="379">
        <f t="shared" si="16"/>
        <v>1.19112176824379</v>
      </c>
      <c r="F40" s="379">
        <f t="shared" si="16"/>
        <v>1.1795584302481443</v>
      </c>
      <c r="G40" s="379">
        <f t="shared" si="16"/>
        <v>1.1681093903406949</v>
      </c>
      <c r="H40" s="379">
        <f t="shared" si="16"/>
        <v>1.1567677359038888</v>
      </c>
      <c r="I40" s="379">
        <f t="shared" si="16"/>
        <v>1.1455364473666618</v>
      </c>
      <c r="J40" s="379">
        <f t="shared" si="16"/>
        <v>1.1344137505771204</v>
      </c>
      <c r="K40" s="380">
        <f t="shared" si="16"/>
        <v>1.1234022042615095</v>
      </c>
    </row>
    <row r="41" spans="1:11" ht="13.15" customHeight="1">
      <c r="A41" s="24" t="str">
        <f>IF('Part III A-Sources of Funds'!$E$32 = "Neither", "", "Mortgage A Balance")</f>
        <v/>
      </c>
      <c r="B41" s="1288">
        <f>IF('Part III A-Sources of Funds'!$H$32="","",-FV('Part III A-Sources of Funds'!$J$32/12,12,B23/12,'Part III A-Sources of Funds'!H32))</f>
        <v>0</v>
      </c>
      <c r="C41" s="1288">
        <f>IF('Part III A-Sources of Funds'!$H$32="","",-FV('Part III A-Sources of Funds'!$J$32/12,12,C23/12,B41))</f>
        <v>0</v>
      </c>
      <c r="D41" s="1288">
        <f>IF('Part III A-Sources of Funds'!$H$32="","",-FV('Part III A-Sources of Funds'!$J$32/12,12,D23/12,C41))</f>
        <v>0</v>
      </c>
      <c r="E41" s="1288">
        <f>IF('Part III A-Sources of Funds'!$H$32="","",-FV('Part III A-Sources of Funds'!$J$32/12,12,E23/12,D41))</f>
        <v>0</v>
      </c>
      <c r="F41" s="1288">
        <f>IF('Part III A-Sources of Funds'!$H$32="","",-FV('Part III A-Sources of Funds'!$J$32/12,12,F23/12,E41))</f>
        <v>0</v>
      </c>
      <c r="G41" s="1288">
        <f>IF('Part III A-Sources of Funds'!$H$32="","",-FV('Part III A-Sources of Funds'!$J$32/12,12,G23/12,F41))</f>
        <v>0</v>
      </c>
      <c r="H41" s="1288">
        <f>IF('Part III A-Sources of Funds'!$H$32="","",-FV('Part III A-Sources of Funds'!$J$32/12,12,H23/12,G41))</f>
        <v>0</v>
      </c>
      <c r="I41" s="1288">
        <f>IF('Part III A-Sources of Funds'!$H$32="","",-FV('Part III A-Sources of Funds'!$J$32/12,12,I23/12,H41))</f>
        <v>0</v>
      </c>
      <c r="J41" s="1288">
        <f>IF('Part III A-Sources of Funds'!$H$32="","",-FV('Part III A-Sources of Funds'!$J$32/12,12,J23/12,I41))</f>
        <v>0</v>
      </c>
      <c r="K41" s="1288">
        <f>IF('Part III A-Sources of Funds'!$H$32="","",-FV('Part III A-Sources of Funds'!$J$32/12,12,K23/12,J41))</f>
        <v>0</v>
      </c>
    </row>
    <row r="42" spans="1:11" ht="13.15" customHeight="1">
      <c r="A42" s="24" t="str">
        <f>IF('Part III A-Sources of Funds'!$E$32 = "Neither", "Mortgage A Balance", "Mortgage B Balance")</f>
        <v>Mortgage A Balance</v>
      </c>
      <c r="B42" s="1285">
        <v>1577000</v>
      </c>
      <c r="C42" s="1285">
        <v>1554500</v>
      </c>
      <c r="D42" s="1285">
        <v>1533000</v>
      </c>
      <c r="E42" s="1285">
        <v>1512750</v>
      </c>
      <c r="F42" s="1285">
        <v>1493500</v>
      </c>
      <c r="G42" s="1285">
        <v>1475500</v>
      </c>
      <c r="H42" s="1285">
        <v>1459000</v>
      </c>
      <c r="I42" s="1285">
        <v>1436000</v>
      </c>
      <c r="J42" s="1285">
        <v>1414500</v>
      </c>
      <c r="K42" s="1285">
        <v>1394500</v>
      </c>
    </row>
    <row r="43" spans="1:11" ht="13.15" customHeight="1">
      <c r="A43" s="24" t="str">
        <f>IF('Part III A-Sources of Funds'!$E$32 = "Neither", "Mortgage B Balance", "Mortgage C Balance")</f>
        <v>Mortgage B Balance</v>
      </c>
      <c r="B43" s="1285" t="str">
        <f>IF('Part III A-Sources of Funds'!$H$34="","",-FV('Part III A-Sources of Funds'!$J$34/12,12,B26/12,'Part III A-Sources of Funds'!H34))</f>
        <v/>
      </c>
      <c r="C43" s="1285" t="str">
        <f>IF('Part III A-Sources of Funds'!$H$34="","",-FV('Part III A-Sources of Funds'!$J$34/12,12,C26/12,B43))</f>
        <v/>
      </c>
      <c r="D43" s="1285" t="str">
        <f>IF('Part III A-Sources of Funds'!$H$34="","",-FV('Part III A-Sources of Funds'!$J$34/12,12,D26/12,C43))</f>
        <v/>
      </c>
      <c r="E43" s="1285" t="str">
        <f>IF('Part III A-Sources of Funds'!$H$34="","",-FV('Part III A-Sources of Funds'!$J$34/12,12,E26/12,D43))</f>
        <v/>
      </c>
      <c r="F43" s="1285" t="str">
        <f>IF('Part III A-Sources of Funds'!$H$34="","",-FV('Part III A-Sources of Funds'!$J$34/12,12,F26/12,E43))</f>
        <v/>
      </c>
      <c r="G43" s="1285" t="str">
        <f>IF('Part III A-Sources of Funds'!$H$34="","",-FV('Part III A-Sources of Funds'!$J$34/12,12,G26/12,F43))</f>
        <v/>
      </c>
      <c r="H43" s="1285" t="str">
        <f>IF('Part III A-Sources of Funds'!$H$34="","",-FV('Part III A-Sources of Funds'!$J$34/12,12,H26/12,G43))</f>
        <v/>
      </c>
      <c r="I43" s="1285" t="str">
        <f>IF('Part III A-Sources of Funds'!$H$34="","",-FV('Part III A-Sources of Funds'!$J$34/12,12,I26/12,H43))</f>
        <v/>
      </c>
      <c r="J43" s="1285" t="str">
        <f>IF('Part III A-Sources of Funds'!$H$34="","",-FV('Part III A-Sources of Funds'!$J$34/12,12,J26/12,I43))</f>
        <v/>
      </c>
      <c r="K43" s="1285" t="str">
        <f>IF('Part III A-Sources of Funds'!$H$34="","",-FV('Part III A-Sources of Funds'!$J$34/12,12,K26/12,J43))</f>
        <v/>
      </c>
    </row>
    <row r="44" spans="1:11" ht="13.15" customHeight="1">
      <c r="A44" s="24" t="s">
        <v>1357</v>
      </c>
      <c r="B44" s="1285" t="str">
        <f>IF('Part III A-Sources of Funds'!$H$35="","",-FV('Part III A-Sources of Funds'!$J$35/12,12,B27/12,'Part III A-Sources of Funds'!H35))</f>
        <v/>
      </c>
      <c r="C44" s="1285" t="str">
        <f>IF('Part III A-Sources of Funds'!$H$35="","",-FV('Part III A-Sources of Funds'!$J$35/12,12,C27/12,B44))</f>
        <v/>
      </c>
      <c r="D44" s="1285" t="str">
        <f>IF('Part III A-Sources of Funds'!$H$35="","",-FV('Part III A-Sources of Funds'!$J$35/12,12,D27/12,C44))</f>
        <v/>
      </c>
      <c r="E44" s="1285" t="str">
        <f>IF('Part III A-Sources of Funds'!$H$35="","",-FV('Part III A-Sources of Funds'!$J$35/12,12,E27/12,D44))</f>
        <v/>
      </c>
      <c r="F44" s="1285" t="str">
        <f>IF('Part III A-Sources of Funds'!$H$35="","",-FV('Part III A-Sources of Funds'!$J$35/12,12,F27/12,E44))</f>
        <v/>
      </c>
      <c r="G44" s="1285" t="str">
        <f>IF('Part III A-Sources of Funds'!$H$35="","",-FV('Part III A-Sources of Funds'!$J$35/12,12,G27/12,F44))</f>
        <v/>
      </c>
      <c r="H44" s="1285" t="str">
        <f>IF('Part III A-Sources of Funds'!$H$35="","",-FV('Part III A-Sources of Funds'!$J$35/12,12,H27/12,G44))</f>
        <v/>
      </c>
      <c r="I44" s="1285" t="str">
        <f>IF('Part III A-Sources of Funds'!$H$35="","",-FV('Part III A-Sources of Funds'!$J$35/12,12,I27/12,H44))</f>
        <v/>
      </c>
      <c r="J44" s="1285" t="str">
        <f>IF('Part III A-Sources of Funds'!$H$35="","",-FV('Part III A-Sources of Funds'!$J$35/12,12,J27/12,I44))</f>
        <v/>
      </c>
      <c r="K44" s="1285" t="str">
        <f>IF('Part III A-Sources of Funds'!$H$35="","",-FV('Part III A-Sources of Funds'!$J$35/12,12,K27/12,J44))</f>
        <v/>
      </c>
    </row>
    <row r="45" spans="1:11" ht="13.15" customHeight="1">
      <c r="A45" s="24" t="s">
        <v>1357</v>
      </c>
      <c r="B45" s="1285" t="str">
        <f>IF('Part III A-Sources of Funds'!$H$36="","",-FV('Part III A-Sources of Funds'!$J$36/12,12,B28/12,'Part III A-Sources of Funds'!$H$36))</f>
        <v/>
      </c>
      <c r="C45" s="1285" t="str">
        <f>IF('Part III A-Sources of Funds'!$H$36="","",-FV('Part III A-Sources of Funds'!$J$36/12,12,C28/12,B45))</f>
        <v/>
      </c>
      <c r="D45" s="1285" t="str">
        <f>IF('Part III A-Sources of Funds'!$H$36="","",-FV('Part III A-Sources of Funds'!$J$36/12,12,D28/12,C45))</f>
        <v/>
      </c>
      <c r="E45" s="1285" t="str">
        <f>IF('Part III A-Sources of Funds'!$H$36="","",-FV('Part III A-Sources of Funds'!$J$36/12,12,E28/12,D45))</f>
        <v/>
      </c>
      <c r="F45" s="1285" t="str">
        <f>IF('Part III A-Sources of Funds'!$H$36="","",-FV('Part III A-Sources of Funds'!$J$36/12,12,F28/12,E45))</f>
        <v/>
      </c>
      <c r="G45" s="1285" t="str">
        <f>IF('Part III A-Sources of Funds'!$H$36="","",-FV('Part III A-Sources of Funds'!$J$36/12,12,G28/12,F45))</f>
        <v/>
      </c>
      <c r="H45" s="1285" t="str">
        <f>IF('Part III A-Sources of Funds'!$H$36="","",-FV('Part III A-Sources of Funds'!$J$36/12,12,H28/12,G45))</f>
        <v/>
      </c>
      <c r="I45" s="1285" t="str">
        <f>IF('Part III A-Sources of Funds'!$H$36="","",-FV('Part III A-Sources of Funds'!$J$36/12,12,I28/12,H45))</f>
        <v/>
      </c>
      <c r="J45" s="1285" t="str">
        <f>IF('Part III A-Sources of Funds'!$H$36="","",-FV('Part III A-Sources of Funds'!$J$36/12,12,J28/12,I45))</f>
        <v/>
      </c>
      <c r="K45" s="1285" t="str">
        <f>IF('Part III A-Sources of Funds'!$H$36="","",-FV('Part III A-Sources of Funds'!$J$36/12,12,K28/12,J45))</f>
        <v/>
      </c>
    </row>
    <row r="46" spans="1:11" ht="13.15" customHeight="1">
      <c r="A46" s="29" t="s">
        <v>1880</v>
      </c>
      <c r="B46" s="1287">
        <f>IF('Part III A-Sources of Funds'!$H$37="","",-FV('Part III A-Sources of Funds'!$J$37/12,12,B31/12,'Part III A-Sources of Funds'!H37))</f>
        <v>42736.5</v>
      </c>
      <c r="C46" s="1287">
        <f>IF('Part III A-Sources of Funds'!$H$37="","",-FV('Part III A-Sources of Funds'!$J$37/12,12,C31/12,B46))</f>
        <v>35736.5</v>
      </c>
      <c r="D46" s="1287">
        <f>IF('Part III A-Sources of Funds'!$H$37="","",-FV('Part III A-Sources of Funds'!$J$37/12,12,D31/12,C46))</f>
        <v>28736.5</v>
      </c>
      <c r="E46" s="1287">
        <f>IF('Part III A-Sources of Funds'!$H$37="","",-FV('Part III A-Sources of Funds'!$J$37/12,12,E31/12,D46))</f>
        <v>21736.5</v>
      </c>
      <c r="F46" s="1287">
        <f>IF('Part III A-Sources of Funds'!$H$37="","",-FV('Part III A-Sources of Funds'!$J$37/12,12,F31/12,E46))</f>
        <v>15236.5</v>
      </c>
      <c r="G46" s="1287">
        <f>IF('Part III A-Sources of Funds'!$H$37="","",-FV('Part III A-Sources of Funds'!$J$37/12,12,G31/12,F46))</f>
        <v>8986.5</v>
      </c>
      <c r="H46" s="1287">
        <f>IF('Part III A-Sources of Funds'!$H$37="","",-FV('Part III A-Sources of Funds'!$J$37/12,12,H31/12,G46))</f>
        <v>2886.5</v>
      </c>
      <c r="I46" s="1287">
        <f>IF('Part III A-Sources of Funds'!$H$37="","",-FV('Part III A-Sources of Funds'!$J$37/12,12,I31/12,H46))</f>
        <v>0</v>
      </c>
      <c r="J46" s="1287">
        <f>IF('Part III A-Sources of Funds'!$H$37="","",-FV('Part III A-Sources of Funds'!$J$37/12,12,J31/12,I46))</f>
        <v>0</v>
      </c>
      <c r="K46" s="1287">
        <f>IF('Part III A-Sources of Funds'!$H$37="","",-FV('Part III A-Sources of Funds'!$J$37/12,12,K31/12,J46))</f>
        <v>0</v>
      </c>
    </row>
    <row r="47" spans="1:11" ht="4.1500000000000004" customHeight="1">
      <c r="B47" s="20"/>
      <c r="C47" s="20"/>
      <c r="D47" s="20"/>
      <c r="E47" s="20"/>
      <c r="F47" s="20"/>
      <c r="G47" s="20"/>
      <c r="H47" s="20"/>
      <c r="I47" s="20"/>
      <c r="J47" s="20"/>
      <c r="K47" s="20"/>
    </row>
    <row r="48" spans="1:11" ht="14.65" customHeight="1">
      <c r="A48" s="16" t="s">
        <v>3865</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3760</v>
      </c>
      <c r="B49" s="22">
        <f t="shared" ref="B49:K49" si="18">$B$14*(1+$B$5)^(B48-1)</f>
        <v>330006.16938098066</v>
      </c>
      <c r="C49" s="22">
        <f t="shared" si="18"/>
        <v>336606.29276860022</v>
      </c>
      <c r="D49" s="22">
        <f t="shared" si="18"/>
        <v>343338.41862397228</v>
      </c>
      <c r="E49" s="22">
        <f t="shared" si="18"/>
        <v>350205.1869964517</v>
      </c>
      <c r="F49" s="22">
        <f t="shared" si="18"/>
        <v>357209.29073638073</v>
      </c>
      <c r="G49" s="22">
        <f t="shared" si="18"/>
        <v>364353.47655110824</v>
      </c>
      <c r="H49" s="22">
        <f t="shared" si="18"/>
        <v>371640.54608213052</v>
      </c>
      <c r="I49" s="22">
        <f t="shared" si="18"/>
        <v>379073.35700377316</v>
      </c>
      <c r="J49" s="22">
        <f t="shared" si="18"/>
        <v>386654.82414384856</v>
      </c>
      <c r="K49" s="23">
        <f t="shared" si="18"/>
        <v>394387.92062672554</v>
      </c>
    </row>
    <row r="50" spans="1:11" ht="13.15" customHeight="1">
      <c r="A50" s="24" t="s">
        <v>1965</v>
      </c>
      <c r="B50" s="25">
        <f t="shared" ref="B50:K50" si="19">$B$15*(1+$B$5)^(B48-1)</f>
        <v>6600.1233876196138</v>
      </c>
      <c r="C50" s="25">
        <f t="shared" si="19"/>
        <v>6732.1258553720045</v>
      </c>
      <c r="D50" s="25">
        <f t="shared" si="19"/>
        <v>6866.768372479446</v>
      </c>
      <c r="E50" s="25">
        <f t="shared" si="19"/>
        <v>7004.1037399290344</v>
      </c>
      <c r="F50" s="25">
        <f t="shared" si="19"/>
        <v>7144.1858147276153</v>
      </c>
      <c r="G50" s="25">
        <f t="shared" si="19"/>
        <v>7287.0695310221663</v>
      </c>
      <c r="H50" s="25">
        <f t="shared" si="19"/>
        <v>7432.810921642611</v>
      </c>
      <c r="I50" s="25">
        <f t="shared" si="19"/>
        <v>7581.4671400754632</v>
      </c>
      <c r="J50" s="25">
        <f t="shared" si="19"/>
        <v>7733.096482876972</v>
      </c>
      <c r="K50" s="26">
        <f t="shared" si="19"/>
        <v>7887.7584125345111</v>
      </c>
    </row>
    <row r="51" spans="1:11" ht="13.15" customHeight="1">
      <c r="A51" s="24" t="s">
        <v>3655</v>
      </c>
      <c r="B51" s="25">
        <f t="shared" ref="B51:K51" si="20">-(B49+B50)*$B$8</f>
        <v>-23562.440493802023</v>
      </c>
      <c r="C51" s="25">
        <f t="shared" si="20"/>
        <v>-24033.689303678057</v>
      </c>
      <c r="D51" s="25">
        <f t="shared" si="20"/>
        <v>-24514.36308975162</v>
      </c>
      <c r="E51" s="25">
        <f t="shared" si="20"/>
        <v>-25004.650351546654</v>
      </c>
      <c r="F51" s="25">
        <f t="shared" si="20"/>
        <v>-25504.743358577587</v>
      </c>
      <c r="G51" s="25">
        <f t="shared" si="20"/>
        <v>-26014.838225749132</v>
      </c>
      <c r="H51" s="25">
        <f t="shared" si="20"/>
        <v>-26535.134990264123</v>
      </c>
      <c r="I51" s="25">
        <f t="shared" si="20"/>
        <v>-27065.837690069406</v>
      </c>
      <c r="J51" s="25">
        <f t="shared" si="20"/>
        <v>-27607.15444387079</v>
      </c>
      <c r="K51" s="26">
        <f t="shared" si="20"/>
        <v>-28159.297532748205</v>
      </c>
    </row>
    <row r="52" spans="1:11" ht="13.15" customHeight="1">
      <c r="A52" s="24" t="s">
        <v>302</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303</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1124</v>
      </c>
      <c r="B54" s="25">
        <f t="shared" ref="B54:K54" si="21">$B$19*(1+$B$6)^(B48-1)</f>
        <v>-223762.07716079627</v>
      </c>
      <c r="C54" s="25">
        <f t="shared" si="21"/>
        <v>-230474.93947562017</v>
      </c>
      <c r="D54" s="25">
        <f t="shared" si="21"/>
        <v>-237389.18765988873</v>
      </c>
      <c r="E54" s="25">
        <f t="shared" si="21"/>
        <v>-244510.8632896854</v>
      </c>
      <c r="F54" s="25">
        <f t="shared" si="21"/>
        <v>-251846.18918837598</v>
      </c>
      <c r="G54" s="25">
        <f t="shared" si="21"/>
        <v>-259401.57486402726</v>
      </c>
      <c r="H54" s="25">
        <f t="shared" si="21"/>
        <v>-267183.62210994808</v>
      </c>
      <c r="I54" s="25">
        <f t="shared" si="21"/>
        <v>-275199.13077324646</v>
      </c>
      <c r="J54" s="25">
        <f t="shared" si="21"/>
        <v>-283455.10469644389</v>
      </c>
      <c r="K54" s="26">
        <f t="shared" si="21"/>
        <v>-291958.75783733721</v>
      </c>
    </row>
    <row r="55" spans="1:11" ht="13.15" customHeight="1">
      <c r="A55" s="24" t="s">
        <v>1756</v>
      </c>
      <c r="B55" s="25">
        <f>IF(AND('Part VII-Pro Forma'!$G$8="Yes",'Part VII-Pro Forma'!$G$9="Yes"),"Choose One!",IF('Part VII-Pro Forma'!$G$8="Yes",ROUND((-$K$8*(1+'Part VII-Pro Forma'!$B$6)^('Part VII-Pro Forma'!B48-1)),),IF('Part VII-Pro Forma'!$G$9="Yes",ROUND((-(SUM(B49:B52)*'Part VII-Pro Forma'!$K$9)),),"Choose mgt fee")))</f>
        <v>-36124</v>
      </c>
      <c r="C55" s="25">
        <f>IF(AND('Part VII-Pro Forma'!$G$8="Yes",'Part VII-Pro Forma'!$G$9="Yes"),"Choose One!",IF('Part VII-Pro Forma'!$G$8="Yes",ROUND((-$K$8*(1+'Part VII-Pro Forma'!$B$6)^('Part VII-Pro Forma'!C48-1)),),IF('Part VII-Pro Forma'!$G$9="Yes",ROUND((-(SUM(C49:C52)*'Part VII-Pro Forma'!$K$9)),),"Choose mgt fee")))</f>
        <v>-37208</v>
      </c>
      <c r="D55" s="25">
        <f>IF(AND('Part VII-Pro Forma'!$G$8="Yes",'Part VII-Pro Forma'!$G$9="Yes"),"Choose One!",IF('Part VII-Pro Forma'!$G$8="Yes",ROUND((-$K$8*(1+'Part VII-Pro Forma'!$B$6)^('Part VII-Pro Forma'!D48-1)),),IF('Part VII-Pro Forma'!$G$9="Yes",ROUND((-(SUM(D49:D52)*'Part VII-Pro Forma'!$K$9)),),"Choose mgt fee")))</f>
        <v>-38324</v>
      </c>
      <c r="E55" s="25">
        <f>IF(AND('Part VII-Pro Forma'!$G$8="Yes",'Part VII-Pro Forma'!$G$9="Yes"),"Choose One!",IF('Part VII-Pro Forma'!$G$8="Yes",ROUND((-$K$8*(1+'Part VII-Pro Forma'!$B$6)^('Part VII-Pro Forma'!E48-1)),),IF('Part VII-Pro Forma'!$G$9="Yes",ROUND((-(SUM(E49:E52)*'Part VII-Pro Forma'!$K$9)),),"Choose mgt fee")))</f>
        <v>-39474</v>
      </c>
      <c r="F55" s="25">
        <f>IF(AND('Part VII-Pro Forma'!$G$8="Yes",'Part VII-Pro Forma'!$G$9="Yes"),"Choose One!",IF('Part VII-Pro Forma'!$G$8="Yes",ROUND((-$K$8*(1+'Part VII-Pro Forma'!$B$6)^('Part VII-Pro Forma'!F48-1)),),IF('Part VII-Pro Forma'!$G$9="Yes",ROUND((-(SUM(F49:F52)*'Part VII-Pro Forma'!$K$9)),),"Choose mgt fee")))</f>
        <v>-40658</v>
      </c>
      <c r="G55" s="25">
        <f>IF(AND('Part VII-Pro Forma'!$G$8="Yes",'Part VII-Pro Forma'!$G$9="Yes"),"Choose One!",IF('Part VII-Pro Forma'!$G$8="Yes",ROUND((-$K$8*(1+'Part VII-Pro Forma'!$B$6)^('Part VII-Pro Forma'!G48-1)),),IF('Part VII-Pro Forma'!$G$9="Yes",ROUND((-(SUM(G49:G52)*'Part VII-Pro Forma'!$K$9)),),"Choose mgt fee")))</f>
        <v>-41878</v>
      </c>
      <c r="H55" s="25">
        <f>IF(AND('Part VII-Pro Forma'!$G$8="Yes",'Part VII-Pro Forma'!$G$9="Yes"),"Choose One!",IF('Part VII-Pro Forma'!$G$8="Yes",ROUND((-$K$8*(1+'Part VII-Pro Forma'!$B$6)^('Part VII-Pro Forma'!H48-1)),),IF('Part VII-Pro Forma'!$G$9="Yes",ROUND((-(SUM(H49:H52)*'Part VII-Pro Forma'!$K$9)),),"Choose mgt fee")))</f>
        <v>-43135</v>
      </c>
      <c r="I55" s="25">
        <f>IF(AND('Part VII-Pro Forma'!$G$8="Yes",'Part VII-Pro Forma'!$G$9="Yes"),"Choose One!",IF('Part VII-Pro Forma'!$G$8="Yes",ROUND((-$K$8*(1+'Part VII-Pro Forma'!$B$6)^('Part VII-Pro Forma'!I48-1)),),IF('Part VII-Pro Forma'!$G$9="Yes",ROUND((-(SUM(I49:I52)*'Part VII-Pro Forma'!$K$9)),),"Choose mgt fee")))</f>
        <v>-44429</v>
      </c>
      <c r="J55" s="25">
        <f>IF(AND('Part VII-Pro Forma'!$G$8="Yes",'Part VII-Pro Forma'!$G$9="Yes"),"Choose One!",IF('Part VII-Pro Forma'!$G$8="Yes",ROUND((-$K$8*(1+'Part VII-Pro Forma'!$B$6)^('Part VII-Pro Forma'!J48-1)),),IF('Part VII-Pro Forma'!$G$9="Yes",ROUND((-(SUM(J49:J52)*'Part VII-Pro Forma'!$K$9)),),"Choose mgt fee")))</f>
        <v>-45761</v>
      </c>
      <c r="K55" s="25">
        <f>IF(AND('Part VII-Pro Forma'!$G$8="Yes",'Part VII-Pro Forma'!$G$9="Yes"),"Choose One!",IF('Part VII-Pro Forma'!$G$8="Yes",ROUND((-$K$8*(1+'Part VII-Pro Forma'!$B$6)^('Part VII-Pro Forma'!K48-1)),),IF('Part VII-Pro Forma'!$G$9="Yes",ROUND((-(SUM(K49:K52)*'Part VII-Pro Forma'!$K$9)),),"Choose mgt fee")))</f>
        <v>-47134</v>
      </c>
    </row>
    <row r="56" spans="1:11" ht="13.15" customHeight="1">
      <c r="A56" s="24" t="s">
        <v>2122</v>
      </c>
      <c r="B56" s="25">
        <f t="shared" ref="B56:K56" si="22">$B$21*(1+$B$7)^(B48-1)</f>
        <v>-21502.66206950595</v>
      </c>
      <c r="C56" s="25">
        <f t="shared" si="22"/>
        <v>-22147.741931591128</v>
      </c>
      <c r="D56" s="25">
        <f t="shared" si="22"/>
        <v>-22812.174189538859</v>
      </c>
      <c r="E56" s="25">
        <f t="shared" si="22"/>
        <v>-23496.539415225023</v>
      </c>
      <c r="F56" s="25">
        <f t="shared" si="22"/>
        <v>-24201.435597681775</v>
      </c>
      <c r="G56" s="25">
        <f t="shared" si="22"/>
        <v>-24927.478665612231</v>
      </c>
      <c r="H56" s="25">
        <f t="shared" si="22"/>
        <v>-25675.303025580593</v>
      </c>
      <c r="I56" s="25">
        <f t="shared" si="22"/>
        <v>-26445.56211634801</v>
      </c>
      <c r="J56" s="25">
        <f t="shared" si="22"/>
        <v>-27238.928979838453</v>
      </c>
      <c r="K56" s="26">
        <f t="shared" si="22"/>
        <v>-28056.096849233603</v>
      </c>
    </row>
    <row r="57" spans="1:11" ht="13.15" customHeight="1">
      <c r="A57" s="24" t="s">
        <v>2123</v>
      </c>
      <c r="B57" s="25">
        <f t="shared" ref="B57:K57" si="23">SUM(B49:B56)</f>
        <v>31655.113044496047</v>
      </c>
      <c r="C57" s="25">
        <f t="shared" si="23"/>
        <v>29474.047913082872</v>
      </c>
      <c r="D57" s="25">
        <f t="shared" si="23"/>
        <v>27165.462057272478</v>
      </c>
      <c r="E57" s="25">
        <f t="shared" si="23"/>
        <v>24723.237679923666</v>
      </c>
      <c r="F57" s="25">
        <f t="shared" si="23"/>
        <v>22143.108406472995</v>
      </c>
      <c r="G57" s="25">
        <f t="shared" si="23"/>
        <v>19418.654326741758</v>
      </c>
      <c r="H57" s="25">
        <f t="shared" si="23"/>
        <v>16544.296877980349</v>
      </c>
      <c r="I57" s="25">
        <f t="shared" si="23"/>
        <v>13515.293564184743</v>
      </c>
      <c r="J57" s="25">
        <f t="shared" si="23"/>
        <v>10325.732506572433</v>
      </c>
      <c r="K57" s="26">
        <f t="shared" si="23"/>
        <v>6967.5268199410129</v>
      </c>
    </row>
    <row r="58" spans="1:11" ht="13.15"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A</v>
      </c>
      <c r="B60" s="1285">
        <v>-26250</v>
      </c>
      <c r="C60" s="1285">
        <v>-24500</v>
      </c>
      <c r="D60" s="1285">
        <v>-22500</v>
      </c>
      <c r="E60" s="1285">
        <v>-20500</v>
      </c>
      <c r="F60" s="1285">
        <v>-18250</v>
      </c>
      <c r="G60" s="1285">
        <v>-16000</v>
      </c>
      <c r="H60" s="1285">
        <v>-13700</v>
      </c>
      <c r="I60" s="1285">
        <v>-11200</v>
      </c>
      <c r="J60" s="1285">
        <v>-8500</v>
      </c>
      <c r="K60" s="1285">
        <v>-5800</v>
      </c>
    </row>
    <row r="61" spans="1:11" ht="13.15" customHeight="1">
      <c r="A61" s="24" t="str">
        <f t="shared" si="24"/>
        <v>D/S Mortgage B</v>
      </c>
      <c r="B61" s="1285">
        <f>IF('Part III A-Sources of Funds'!$M$34="", 0,-'Part III A-Sources of Funds'!$M$34)</f>
        <v>0</v>
      </c>
      <c r="C61" s="1285">
        <f>IF('Part III A-Sources of Funds'!$M$34="", 0,-'Part III A-Sources of Funds'!$M$34)</f>
        <v>0</v>
      </c>
      <c r="D61" s="1285">
        <f>IF('Part III A-Sources of Funds'!$M$34="", 0,-'Part III A-Sources of Funds'!$M$34)</f>
        <v>0</v>
      </c>
      <c r="E61" s="1285">
        <f>IF('Part III A-Sources of Funds'!$M$34="", 0,-'Part III A-Sources of Funds'!$M$34)</f>
        <v>0</v>
      </c>
      <c r="F61" s="1285">
        <f>IF('Part III A-Sources of Funds'!$M$34="", 0,-'Part III A-Sources of Funds'!$M$34)</f>
        <v>0</v>
      </c>
      <c r="G61" s="1285">
        <f>IF('Part III A-Sources of Funds'!$M$34="", 0,-'Part III A-Sources of Funds'!$M$34)</f>
        <v>0</v>
      </c>
      <c r="H61" s="1285">
        <f>IF('Part III A-Sources of Funds'!$M$34="", 0,-'Part III A-Sources of Funds'!$M$34)</f>
        <v>0</v>
      </c>
      <c r="I61" s="1285">
        <f>IF('Part III A-Sources of Funds'!$M$34="", 0,-'Part III A-Sources of Funds'!$M$34)</f>
        <v>0</v>
      </c>
      <c r="J61" s="1285">
        <f>IF('Part III A-Sources of Funds'!$M$34="", 0,-'Part III A-Sources of Funds'!$M$34)</f>
        <v>0</v>
      </c>
      <c r="K61" s="1285">
        <f>IF('Part III A-Sources of Funds'!$M$34="", 0,-'Part III A-Sources of Funds'!$M$34)</f>
        <v>0</v>
      </c>
    </row>
    <row r="62" spans="1:11" ht="13.15" customHeight="1">
      <c r="A62" s="24" t="str">
        <f t="shared" si="24"/>
        <v>D/S Other Source</v>
      </c>
      <c r="B62" s="1285">
        <f>IF('Part III A-Sources of Funds'!$M$35="", 0,-'Part III A-Sources of Funds'!$M$35)</f>
        <v>0</v>
      </c>
      <c r="C62" s="1285">
        <f>IF('Part III A-Sources of Funds'!$M$35="", 0,-'Part III A-Sources of Funds'!$M$35)</f>
        <v>0</v>
      </c>
      <c r="D62" s="1285">
        <f>IF('Part III A-Sources of Funds'!$M$35="", 0,-'Part III A-Sources of Funds'!$M$35)</f>
        <v>0</v>
      </c>
      <c r="E62" s="1285">
        <f>IF('Part III A-Sources of Funds'!$M$35="", 0,-'Part III A-Sources of Funds'!$M$35)</f>
        <v>0</v>
      </c>
      <c r="F62" s="1285">
        <f>IF('Part III A-Sources of Funds'!$M$35="", 0,-'Part III A-Sources of Funds'!$M$35)</f>
        <v>0</v>
      </c>
      <c r="G62" s="1285">
        <f>IF('Part III A-Sources of Funds'!$M$35="", 0,-'Part III A-Sources of Funds'!$M$35)</f>
        <v>0</v>
      </c>
      <c r="H62" s="1285">
        <f>IF('Part III A-Sources of Funds'!$M$35="", 0,-'Part III A-Sources of Funds'!$M$35)</f>
        <v>0</v>
      </c>
      <c r="I62" s="1285">
        <f>IF('Part III A-Sources of Funds'!$M$35="", 0,-'Part III A-Sources of Funds'!$M$35)</f>
        <v>0</v>
      </c>
      <c r="J62" s="1285">
        <f>IF('Part III A-Sources of Funds'!$M$35="", 0,-'Part III A-Sources of Funds'!$M$35)</f>
        <v>0</v>
      </c>
      <c r="K62" s="1285">
        <f>IF('Part III A-Sources of Funds'!$M$35="", 0,-'Part III A-Sources of Funds'!$M$35)</f>
        <v>0</v>
      </c>
    </row>
    <row r="63" spans="1:11" ht="13.15" customHeight="1">
      <c r="A63" s="24" t="str">
        <f t="shared" si="24"/>
        <v>D/S Grant from fdn / charity</v>
      </c>
      <c r="B63" s="1285">
        <f>IF('Part III A-Sources of Funds'!$M$36="", 0,-'Part III A-Sources of Funds'!$M$36)</f>
        <v>0</v>
      </c>
      <c r="C63" s="1285">
        <f>IF('Part III A-Sources of Funds'!$M$36="", 0,-'Part III A-Sources of Funds'!$M$36)</f>
        <v>0</v>
      </c>
      <c r="D63" s="1285">
        <f>IF('Part III A-Sources of Funds'!$M$36="", 0,-'Part III A-Sources of Funds'!$M$36)</f>
        <v>0</v>
      </c>
      <c r="E63" s="1285">
        <f>IF('Part III A-Sources of Funds'!$M$36="", 0,-'Part III A-Sources of Funds'!$M$36)</f>
        <v>0</v>
      </c>
      <c r="F63" s="1285">
        <f>IF('Part III A-Sources of Funds'!$M$36="", 0,-'Part III A-Sources of Funds'!$M$36)</f>
        <v>0</v>
      </c>
      <c r="G63" s="1285">
        <f>IF('Part III A-Sources of Funds'!$M$36="", 0,-'Part III A-Sources of Funds'!$M$36)</f>
        <v>0</v>
      </c>
      <c r="H63" s="1285">
        <f>IF('Part III A-Sources of Funds'!$M$36="", 0,-'Part III A-Sources of Funds'!$M$36)</f>
        <v>0</v>
      </c>
      <c r="I63" s="1285">
        <f>IF('Part III A-Sources of Funds'!$M$36="", 0,-'Part III A-Sources of Funds'!$M$36)</f>
        <v>0</v>
      </c>
      <c r="J63" s="1285">
        <f>IF('Part III A-Sources of Funds'!$M$36="", 0,-'Part III A-Sources of Funds'!$M$36)</f>
        <v>0</v>
      </c>
      <c r="K63" s="1285">
        <f>IF('Part III A-Sources of Funds'!$M$36="", 0,-'Part III A-Sources of Funds'!$M$36)</f>
        <v>0</v>
      </c>
    </row>
    <row r="64" spans="1:11" ht="13.15" customHeight="1">
      <c r="A64" s="24" t="s">
        <v>1336</v>
      </c>
      <c r="B64" s="1286"/>
      <c r="C64" s="1286"/>
      <c r="D64" s="1286"/>
      <c r="E64" s="1286"/>
      <c r="F64" s="1286"/>
      <c r="G64" s="1286"/>
      <c r="H64" s="1286"/>
      <c r="I64" s="1286"/>
      <c r="J64" s="1286"/>
      <c r="K64" s="1286"/>
    </row>
    <row r="65" spans="1:11" ht="13.15" customHeight="1">
      <c r="A65" s="24" t="s">
        <v>2033</v>
      </c>
      <c r="B65" s="1285">
        <f>+K30</f>
        <v>0</v>
      </c>
      <c r="C65" s="1285">
        <f t="shared" ref="C65:K65" si="25">+B65</f>
        <v>0</v>
      </c>
      <c r="D65" s="1285">
        <f t="shared" si="25"/>
        <v>0</v>
      </c>
      <c r="E65" s="1285">
        <f t="shared" si="25"/>
        <v>0</v>
      </c>
      <c r="F65" s="1285">
        <f t="shared" si="25"/>
        <v>0</v>
      </c>
      <c r="G65" s="1285">
        <f t="shared" si="25"/>
        <v>0</v>
      </c>
      <c r="H65" s="1285">
        <f t="shared" si="25"/>
        <v>0</v>
      </c>
      <c r="I65" s="1285">
        <f t="shared" si="25"/>
        <v>0</v>
      </c>
      <c r="J65" s="1285">
        <f t="shared" si="25"/>
        <v>0</v>
      </c>
      <c r="K65" s="1285">
        <f t="shared" si="25"/>
        <v>0</v>
      </c>
    </row>
    <row r="66" spans="1:11" ht="13.15" customHeight="1">
      <c r="A66" s="24" t="s">
        <v>2124</v>
      </c>
      <c r="B66" s="1285"/>
      <c r="C66" s="1285"/>
      <c r="D66" s="1285"/>
      <c r="E66" s="1285"/>
      <c r="F66" s="1285"/>
      <c r="G66" s="1285"/>
      <c r="H66" s="1285"/>
      <c r="I66" s="1285"/>
      <c r="J66" s="1285"/>
      <c r="K66" s="1285"/>
    </row>
    <row r="67" spans="1:11" ht="13.15" customHeight="1">
      <c r="A67" s="24" t="s">
        <v>2034</v>
      </c>
      <c r="B67" s="1287">
        <f>+K32</f>
        <v>0</v>
      </c>
      <c r="C67" s="1287">
        <f t="shared" ref="C67:K67" si="26">+B67</f>
        <v>0</v>
      </c>
      <c r="D67" s="1287">
        <f t="shared" si="26"/>
        <v>0</v>
      </c>
      <c r="E67" s="1287">
        <f t="shared" si="26"/>
        <v>0</v>
      </c>
      <c r="F67" s="1287">
        <f t="shared" si="26"/>
        <v>0</v>
      </c>
      <c r="G67" s="1287">
        <f t="shared" si="26"/>
        <v>0</v>
      </c>
      <c r="H67" s="1287">
        <f t="shared" si="26"/>
        <v>0</v>
      </c>
      <c r="I67" s="1287">
        <f t="shared" si="26"/>
        <v>0</v>
      </c>
      <c r="J67" s="1287">
        <f t="shared" si="26"/>
        <v>0</v>
      </c>
      <c r="K67" s="1287">
        <f t="shared" si="26"/>
        <v>0</v>
      </c>
    </row>
    <row r="68" spans="1:11" ht="13.15" customHeight="1">
      <c r="A68" s="24" t="s">
        <v>2035</v>
      </c>
      <c r="B68" s="25">
        <f t="shared" ref="B68:K68" si="27">SUM(B57:B67)</f>
        <v>5405.1130444960472</v>
      </c>
      <c r="C68" s="25">
        <f t="shared" si="27"/>
        <v>4974.0479130828717</v>
      </c>
      <c r="D68" s="25">
        <f t="shared" si="27"/>
        <v>4665.462057272478</v>
      </c>
      <c r="E68" s="25">
        <f t="shared" si="27"/>
        <v>4223.2376799236663</v>
      </c>
      <c r="F68" s="25">
        <f t="shared" si="27"/>
        <v>3893.1084064729948</v>
      </c>
      <c r="G68" s="25">
        <f t="shared" si="27"/>
        <v>3418.6543267417583</v>
      </c>
      <c r="H68" s="25">
        <f t="shared" si="27"/>
        <v>2844.2968779803487</v>
      </c>
      <c r="I68" s="25">
        <f t="shared" si="27"/>
        <v>2315.2935641847434</v>
      </c>
      <c r="J68" s="25">
        <f t="shared" si="27"/>
        <v>1825.7325065724326</v>
      </c>
      <c r="K68" s="23">
        <f t="shared" si="27"/>
        <v>1167.5268199410129</v>
      </c>
    </row>
    <row r="69" spans="1:11" ht="13.15"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First Mortgage</v>
      </c>
      <c r="B71" s="27">
        <f>IF(OR(B60=0,AND(B60=0,B59=0,B58=0)),"",-B57/(B58+B59+B60))</f>
        <v>1.2059090683617542</v>
      </c>
      <c r="C71" s="27">
        <f t="shared" ref="C71:K71" si="31">IF(OR(C60=0,AND(C60=0,C59=0,C58=0)),"",-C57/(C58+C59+C60))</f>
        <v>1.2030223637993009</v>
      </c>
      <c r="D71" s="27">
        <f t="shared" si="31"/>
        <v>1.2073538692121102</v>
      </c>
      <c r="E71" s="27">
        <f t="shared" si="31"/>
        <v>1.2060115941426179</v>
      </c>
      <c r="F71" s="27">
        <f t="shared" si="31"/>
        <v>1.2133210085738628</v>
      </c>
      <c r="G71" s="27">
        <f t="shared" si="31"/>
        <v>1.2136658954213599</v>
      </c>
      <c r="H71" s="27">
        <f t="shared" si="31"/>
        <v>1.2076129108014853</v>
      </c>
      <c r="I71" s="27">
        <f t="shared" si="31"/>
        <v>1.206722639659352</v>
      </c>
      <c r="J71" s="27">
        <f t="shared" si="31"/>
        <v>1.2147920595967567</v>
      </c>
      <c r="K71" s="28">
        <f t="shared" si="31"/>
        <v>1.2012977275760368</v>
      </c>
    </row>
    <row r="72" spans="1:11" ht="13.15" customHeight="1">
      <c r="A72" s="24" t="str">
        <f t="shared" si="28"/>
        <v>DCR Second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1544</v>
      </c>
      <c r="B75" s="379">
        <f>IF(OR(B55="Choose mgt fee",B55="Choose One!"),"",(B49+B50+B51+B52+B53) / -(B54+B55+B56))</f>
        <v>1.1124960193186266</v>
      </c>
      <c r="C75" s="379">
        <f t="shared" ref="C75:K75" si="35">IF(OR(C55="Choose mgt fee",C55="Choose One!"),"",(C49+C50+C51+C52+C53) / -(C54+C55+C56))</f>
        <v>1.1016940227652154</v>
      </c>
      <c r="D75" s="379">
        <f t="shared" si="35"/>
        <v>1.0909988414015368</v>
      </c>
      <c r="E75" s="379">
        <f t="shared" si="35"/>
        <v>1.0804056357959655</v>
      </c>
      <c r="F75" s="379">
        <f t="shared" si="35"/>
        <v>1.0699170039099597</v>
      </c>
      <c r="G75" s="379">
        <f t="shared" si="35"/>
        <v>1.0595286156955444</v>
      </c>
      <c r="H75" s="379">
        <f t="shared" si="35"/>
        <v>1.0492398690580698</v>
      </c>
      <c r="I75" s="379">
        <f t="shared" si="35"/>
        <v>1.039053224333051</v>
      </c>
      <c r="J75" s="379">
        <f t="shared" si="35"/>
        <v>1.0289678403474303</v>
      </c>
      <c r="K75" s="380">
        <f t="shared" si="35"/>
        <v>1.0189773895002043</v>
      </c>
    </row>
    <row r="76" spans="1:11" ht="13.15" customHeight="1">
      <c r="A76" s="24" t="str">
        <f>IF('Part III A-Sources of Funds'!$E$32 = "Neither", "", "First Mortgage Balance")</f>
        <v/>
      </c>
      <c r="B76" s="1288">
        <f>IF('Part III A-Sources of Funds'!$H$32="","",-FV('Part III A-Sources of Funds'!$J$32/12,12,B58/12,K41))</f>
        <v>0</v>
      </c>
      <c r="C76" s="1288">
        <f>IF('Part III A-Sources of Funds'!$H$32="","",-FV('Part III A-Sources of Funds'!$J$32/12,12,C58/12,B76))</f>
        <v>0</v>
      </c>
      <c r="D76" s="1288">
        <f>IF('Part III A-Sources of Funds'!$H$32="","",-FV('Part III A-Sources of Funds'!$J$32/12,12,D58/12,C76))</f>
        <v>0</v>
      </c>
      <c r="E76" s="1288">
        <f>IF('Part III A-Sources of Funds'!$H$32="","",-FV('Part III A-Sources of Funds'!$J$32/12,12,E58/12,D76))</f>
        <v>0</v>
      </c>
      <c r="F76" s="1288">
        <f>IF('Part III A-Sources of Funds'!$H$32="","",-FV('Part III A-Sources of Funds'!$J$32/12,12,F58/12,E76))</f>
        <v>0</v>
      </c>
      <c r="G76" s="1288">
        <f>IF('Part III A-Sources of Funds'!$H$32="","",-FV('Part III A-Sources of Funds'!$J$32/12,12,G58/12,F76))</f>
        <v>0</v>
      </c>
      <c r="H76" s="1288">
        <f>IF('Part III A-Sources of Funds'!$H$32="","",-FV('Part III A-Sources of Funds'!$J$32/12,12,H58/12,G76))</f>
        <v>0</v>
      </c>
      <c r="I76" s="1288">
        <f>IF('Part III A-Sources of Funds'!$H$32="","",-FV('Part III A-Sources of Funds'!$J$32/12,12,I58/12,H76))</f>
        <v>0</v>
      </c>
      <c r="J76" s="1288">
        <f>IF('Part III A-Sources of Funds'!$H$32="","",-FV('Part III A-Sources of Funds'!$J$32/12,12,J58/12,I76))</f>
        <v>0</v>
      </c>
      <c r="K76" s="1288">
        <f>IF('Part III A-Sources of Funds'!$H$32="","",-FV('Part III A-Sources of Funds'!$J$32/12,12,K58/12,J76))</f>
        <v>0</v>
      </c>
    </row>
    <row r="77" spans="1:11" ht="13.15" customHeight="1">
      <c r="A77" s="24" t="str">
        <f>IF('Part III A-Sources of Funds'!$E$32 = "Neither", "First Mortgage Balance", "Second Mortgage Balance")</f>
        <v>First Mortgage Balance</v>
      </c>
      <c r="B77" s="1285">
        <v>1376250</v>
      </c>
      <c r="C77" s="1285">
        <v>1359750</v>
      </c>
      <c r="D77" s="1285">
        <v>1345250</v>
      </c>
      <c r="E77" s="1285">
        <v>1332750</v>
      </c>
      <c r="F77" s="1285">
        <v>1322500</v>
      </c>
      <c r="G77" s="1285">
        <v>1310500</v>
      </c>
      <c r="H77" s="1285">
        <v>1300800</v>
      </c>
      <c r="I77" s="1285">
        <v>1293600</v>
      </c>
      <c r="J77" s="1285">
        <v>1289100</v>
      </c>
      <c r="K77" s="1285">
        <v>1287300</v>
      </c>
    </row>
    <row r="78" spans="1:11" ht="13.15" customHeight="1">
      <c r="A78" s="24" t="str">
        <f>IF('Part III A-Sources of Funds'!$E$32 = "Neither", "Second Mortgage Balance", "Third Mortgage Balance")</f>
        <v>Second Mortgage Balance</v>
      </c>
      <c r="B78" s="1285" t="str">
        <f>IF('Part III A-Sources of Funds'!$H$34="","",-FV('Part III A-Sources of Funds'!$J$34/12,12,B61/12,K43))</f>
        <v/>
      </c>
      <c r="C78" s="1285" t="str">
        <f>IF('Part III A-Sources of Funds'!$H$34="","",-FV('Part III A-Sources of Funds'!$J$34/12,12,C61/12,B78))</f>
        <v/>
      </c>
      <c r="D78" s="1285" t="str">
        <f>IF('Part III A-Sources of Funds'!$H$34="","",-FV('Part III A-Sources of Funds'!$J$34/12,12,D61/12,C78))</f>
        <v/>
      </c>
      <c r="E78" s="1285" t="str">
        <f>IF('Part III A-Sources of Funds'!$H$34="","",-FV('Part III A-Sources of Funds'!$J$34/12,12,E61/12,D78))</f>
        <v/>
      </c>
      <c r="F78" s="1285" t="str">
        <f>IF('Part III A-Sources of Funds'!$H$34="","",-FV('Part III A-Sources of Funds'!$J$34/12,12,F61/12,E78))</f>
        <v/>
      </c>
      <c r="G78" s="1285" t="str">
        <f>IF('Part III A-Sources of Funds'!$H$34="","",-FV('Part III A-Sources of Funds'!$J$34/12,12,G61/12,F78))</f>
        <v/>
      </c>
      <c r="H78" s="1285" t="str">
        <f>IF('Part III A-Sources of Funds'!$H$34="","",-FV('Part III A-Sources of Funds'!$J$34/12,12,H61/12,G78))</f>
        <v/>
      </c>
      <c r="I78" s="1285" t="str">
        <f>IF('Part III A-Sources of Funds'!$H$34="","",-FV('Part III A-Sources of Funds'!$J$34/12,12,I61/12,H78))</f>
        <v/>
      </c>
      <c r="J78" s="1285" t="str">
        <f>IF('Part III A-Sources of Funds'!$H$34="","",-FV('Part III A-Sources of Funds'!$J$34/12,12,J61/12,I78))</f>
        <v/>
      </c>
      <c r="K78" s="1285" t="str">
        <f>IF('Part III A-Sources of Funds'!$H$34="","",-FV('Part III A-Sources of Funds'!$J$34/12,12,K61/12,J78))</f>
        <v/>
      </c>
    </row>
    <row r="79" spans="1:11" ht="13.15" customHeight="1">
      <c r="A79" s="24" t="s">
        <v>1357</v>
      </c>
      <c r="B79" s="1285" t="str">
        <f>IF('Part III A-Sources of Funds'!$H$35="","",-FV('Part III A-Sources of Funds'!$J$35/12,12,B62/12,K44))</f>
        <v/>
      </c>
      <c r="C79" s="1285" t="str">
        <f>IF('Part III A-Sources of Funds'!$H$35="","",-FV('Part III A-Sources of Funds'!$J$35/12,12,C62/12,B79))</f>
        <v/>
      </c>
      <c r="D79" s="1285" t="str">
        <f>IF('Part III A-Sources of Funds'!$H$35="","",-FV('Part III A-Sources of Funds'!$J$35/12,12,D62/12,C79))</f>
        <v/>
      </c>
      <c r="E79" s="1285" t="str">
        <f>IF('Part III A-Sources of Funds'!$H$35="","",-FV('Part III A-Sources of Funds'!$J$35/12,12,E62/12,D79))</f>
        <v/>
      </c>
      <c r="F79" s="1285" t="str">
        <f>IF('Part III A-Sources of Funds'!$H$35="","",-FV('Part III A-Sources of Funds'!$J$35/12,12,F62/12,E79))</f>
        <v/>
      </c>
      <c r="G79" s="1285" t="str">
        <f>IF('Part III A-Sources of Funds'!$H$35="","",-FV('Part III A-Sources of Funds'!$J$35/12,12,G62/12,F79))</f>
        <v/>
      </c>
      <c r="H79" s="1285" t="str">
        <f>IF('Part III A-Sources of Funds'!$H$35="","",-FV('Part III A-Sources of Funds'!$J$35/12,12,H62/12,G79))</f>
        <v/>
      </c>
      <c r="I79" s="1285" t="str">
        <f>IF('Part III A-Sources of Funds'!$H$35="","",-FV('Part III A-Sources of Funds'!$J$35/12,12,I62/12,H79))</f>
        <v/>
      </c>
      <c r="J79" s="1285" t="str">
        <f>IF('Part III A-Sources of Funds'!$H$35="","",-FV('Part III A-Sources of Funds'!$J$35/12,12,J62/12,I79))</f>
        <v/>
      </c>
      <c r="K79" s="1285" t="str">
        <f>IF('Part III A-Sources of Funds'!$H$35="","",-FV('Part III A-Sources of Funds'!$J$35/12,12,K62/12,J79))</f>
        <v/>
      </c>
    </row>
    <row r="80" spans="1:11" ht="13.15" customHeight="1">
      <c r="A80" s="24" t="s">
        <v>1357</v>
      </c>
      <c r="B80" s="1285" t="str">
        <f>IF('Part III A-Sources of Funds'!$H$36="","",-FV('Part III A-Sources of Funds'!$J$36/12,12,B63/12,K45))</f>
        <v/>
      </c>
      <c r="C80" s="1285" t="str">
        <f>IF('Part III A-Sources of Funds'!$H$36="","",-FV('Part III A-Sources of Funds'!$J$36/12,12,C63/12,B80))</f>
        <v/>
      </c>
      <c r="D80" s="1285" t="str">
        <f>IF('Part III A-Sources of Funds'!$H$36="","",-FV('Part III A-Sources of Funds'!$J$36/12,12,D63/12,C80))</f>
        <v/>
      </c>
      <c r="E80" s="1285" t="str">
        <f>IF('Part III A-Sources of Funds'!$H$36="","",-FV('Part III A-Sources of Funds'!$J$36/12,12,E63/12,D80))</f>
        <v/>
      </c>
      <c r="F80" s="1285" t="str">
        <f>IF('Part III A-Sources of Funds'!$H$36="","",-FV('Part III A-Sources of Funds'!$J$36/12,12,F63/12,E80))</f>
        <v/>
      </c>
      <c r="G80" s="1285" t="str">
        <f>IF('Part III A-Sources of Funds'!$H$36="","",-FV('Part III A-Sources of Funds'!$J$36/12,12,G63/12,F80))</f>
        <v/>
      </c>
      <c r="H80" s="1285" t="str">
        <f>IF('Part III A-Sources of Funds'!$H$36="","",-FV('Part III A-Sources of Funds'!$J$36/12,12,H63/12,G80))</f>
        <v/>
      </c>
      <c r="I80" s="1285" t="str">
        <f>IF('Part III A-Sources of Funds'!$H$36="","",-FV('Part III A-Sources of Funds'!$J$36/12,12,I63/12,H80))</f>
        <v/>
      </c>
      <c r="J80" s="1285" t="str">
        <f>IF('Part III A-Sources of Funds'!$H$36="","",-FV('Part III A-Sources of Funds'!$J$36/12,12,J63/12,I80))</f>
        <v/>
      </c>
      <c r="K80" s="1285" t="str">
        <f>IF('Part III A-Sources of Funds'!$H$36="","",-FV('Part III A-Sources of Funds'!$J$36/12,12,K63/12,J80))</f>
        <v/>
      </c>
    </row>
    <row r="81" spans="1:11" ht="13.15" customHeight="1">
      <c r="A81" s="29" t="s">
        <v>1880</v>
      </c>
      <c r="B81" s="1287">
        <f>IF('Part III A-Sources of Funds'!$H$37="","",-FV('Part III A-Sources of Funds'!$J$37/12,12,B66/12,K46))</f>
        <v>0</v>
      </c>
      <c r="C81" s="1287">
        <f>IF('Part III A-Sources of Funds'!$H$37="","",-FV('Part III A-Sources of Funds'!$J$37/12,12,C66/12,B81))</f>
        <v>0</v>
      </c>
      <c r="D81" s="1287">
        <f>IF('Part III A-Sources of Funds'!$H$37="","",-FV('Part III A-Sources of Funds'!$J$37/12,12,D66/12,C81))</f>
        <v>0</v>
      </c>
      <c r="E81" s="1287">
        <f>IF('Part III A-Sources of Funds'!$H$37="","",-FV('Part III A-Sources of Funds'!$J$37/12,12,E66/12,D81))</f>
        <v>0</v>
      </c>
      <c r="F81" s="1287">
        <f>IF('Part III A-Sources of Funds'!$H$37="","",-FV('Part III A-Sources of Funds'!$J$37/12,12,F66/12,E81))</f>
        <v>0</v>
      </c>
      <c r="G81" s="1287">
        <f>IF('Part III A-Sources of Funds'!$H$37="","",-FV('Part III A-Sources of Funds'!$J$37/12,12,G66/12,F81))</f>
        <v>0</v>
      </c>
      <c r="H81" s="1287">
        <f>IF('Part III A-Sources of Funds'!$H$37="","",-FV('Part III A-Sources of Funds'!$J$37/12,12,H66/12,G81))</f>
        <v>0</v>
      </c>
      <c r="I81" s="1287">
        <f>IF('Part III A-Sources of Funds'!$H$37="","",-FV('Part III A-Sources of Funds'!$J$37/12,12,I66/12,H81))</f>
        <v>0</v>
      </c>
      <c r="J81" s="1287">
        <f>IF('Part III A-Sources of Funds'!$H$37="","",-FV('Part III A-Sources of Funds'!$J$37/12,12,J66/12,I81))</f>
        <v>0</v>
      </c>
      <c r="K81" s="1287">
        <f>IF('Part III A-Sources of Funds'!$H$37="","",-FV('Part III A-Sources of Funds'!$J$37/12,12,K66/12,J81))</f>
        <v>0</v>
      </c>
    </row>
    <row r="82" spans="1:11" ht="4.1500000000000004" customHeight="1">
      <c r="B82" s="20"/>
      <c r="C82" s="20"/>
      <c r="D82" s="20"/>
      <c r="E82" s="20"/>
      <c r="F82" s="20"/>
      <c r="G82" s="20"/>
      <c r="H82" s="20"/>
      <c r="I82" s="20"/>
      <c r="J82" s="20"/>
      <c r="K82" s="20"/>
    </row>
    <row r="83" spans="1:11" ht="14.65" customHeight="1">
      <c r="A83" s="16" t="s">
        <v>3865</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3760</v>
      </c>
      <c r="B84" s="22">
        <f t="shared" ref="B84:K84" si="37">$B$14*(1+$B$5)^(B83-1)</f>
        <v>402275.67903926008</v>
      </c>
      <c r="C84" s="22">
        <f t="shared" si="37"/>
        <v>410321.19262004521</v>
      </c>
      <c r="D84" s="22">
        <f t="shared" si="37"/>
        <v>418527.61647244619</v>
      </c>
      <c r="E84" s="22">
        <f t="shared" si="37"/>
        <v>426898.16880189499</v>
      </c>
      <c r="F84" s="22">
        <f t="shared" si="37"/>
        <v>435436.13217793294</v>
      </c>
      <c r="G84" s="22">
        <f t="shared" si="37"/>
        <v>444144.85482149158</v>
      </c>
      <c r="H84" s="22">
        <f t="shared" si="37"/>
        <v>453027.75191792147</v>
      </c>
      <c r="I84" s="22">
        <f t="shared" si="37"/>
        <v>462088.30695627979</v>
      </c>
      <c r="J84" s="22">
        <f t="shared" si="37"/>
        <v>471330.07309540547</v>
      </c>
      <c r="K84" s="23">
        <f t="shared" si="37"/>
        <v>480756.67455731356</v>
      </c>
    </row>
    <row r="85" spans="1:11" ht="13.15" customHeight="1">
      <c r="A85" s="24" t="s">
        <v>1965</v>
      </c>
      <c r="B85" s="25">
        <f t="shared" ref="B85:K85" si="38">$B$15*(1+$B$5)^(B83-1)</f>
        <v>8045.5135807852021</v>
      </c>
      <c r="C85" s="25">
        <f t="shared" si="38"/>
        <v>8206.4238524009052</v>
      </c>
      <c r="D85" s="25">
        <f t="shared" si="38"/>
        <v>8370.5523294489249</v>
      </c>
      <c r="E85" s="25">
        <f t="shared" si="38"/>
        <v>8537.9633760379002</v>
      </c>
      <c r="F85" s="25">
        <f t="shared" si="38"/>
        <v>8708.7226435586599</v>
      </c>
      <c r="G85" s="25">
        <f t="shared" si="38"/>
        <v>8882.8970964298333</v>
      </c>
      <c r="H85" s="25">
        <f t="shared" si="38"/>
        <v>9060.5550383584305</v>
      </c>
      <c r="I85" s="25">
        <f t="shared" si="38"/>
        <v>9241.766139125597</v>
      </c>
      <c r="J85" s="25">
        <f t="shared" si="38"/>
        <v>9426.6014619081107</v>
      </c>
      <c r="K85" s="26">
        <f t="shared" si="38"/>
        <v>9615.1334911462709</v>
      </c>
    </row>
    <row r="86" spans="1:11" ht="13.15" customHeight="1">
      <c r="A86" s="24" t="s">
        <v>3655</v>
      </c>
      <c r="B86" s="25">
        <f t="shared" ref="B86:K86" si="39">-(B84+B85)*$B$8</f>
        <v>-28722.483483403172</v>
      </c>
      <c r="C86" s="25">
        <f t="shared" si="39"/>
        <v>-29296.933153071233</v>
      </c>
      <c r="D86" s="25">
        <f t="shared" si="39"/>
        <v>-29882.871816132661</v>
      </c>
      <c r="E86" s="25">
        <f t="shared" si="39"/>
        <v>-30480.529252455304</v>
      </c>
      <c r="F86" s="25">
        <f t="shared" si="39"/>
        <v>-31090.139837504412</v>
      </c>
      <c r="G86" s="25">
        <f t="shared" si="39"/>
        <v>-31711.942634254501</v>
      </c>
      <c r="H86" s="25">
        <f t="shared" si="39"/>
        <v>-32346.181486939597</v>
      </c>
      <c r="I86" s="25">
        <f t="shared" si="39"/>
        <v>-32993.10511667838</v>
      </c>
      <c r="J86" s="25">
        <f t="shared" si="39"/>
        <v>-33652.967219011953</v>
      </c>
      <c r="K86" s="26">
        <f t="shared" si="39"/>
        <v>-34326.026563392188</v>
      </c>
    </row>
    <row r="87" spans="1:11" ht="13.15" customHeight="1">
      <c r="A87" s="24" t="s">
        <v>302</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303</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1124</v>
      </c>
      <c r="B89" s="25">
        <f t="shared" ref="B89:K89" si="40">$B$19*(1+$B$6)^(B83-1)</f>
        <v>-300717.52057245729</v>
      </c>
      <c r="C89" s="25">
        <f t="shared" si="40"/>
        <v>-309739.04618963099</v>
      </c>
      <c r="D89" s="25">
        <f t="shared" si="40"/>
        <v>-319031.21757531993</v>
      </c>
      <c r="E89" s="25">
        <f t="shared" si="40"/>
        <v>-328602.15410257957</v>
      </c>
      <c r="F89" s="25">
        <f t="shared" si="40"/>
        <v>-338460.21872565692</v>
      </c>
      <c r="G89" s="25">
        <f t="shared" si="40"/>
        <v>-348614.0252874266</v>
      </c>
      <c r="H89" s="25">
        <f t="shared" si="40"/>
        <v>-359072.44604604947</v>
      </c>
      <c r="I89" s="25">
        <f t="shared" si="40"/>
        <v>-369844.61942743091</v>
      </c>
      <c r="J89" s="25">
        <f t="shared" si="40"/>
        <v>-380939.95801025385</v>
      </c>
      <c r="K89" s="26">
        <f t="shared" si="40"/>
        <v>-392368.15675056138</v>
      </c>
    </row>
    <row r="90" spans="1:11" ht="13.15" customHeight="1">
      <c r="A90" s="24" t="s">
        <v>1756</v>
      </c>
      <c r="B90" s="25">
        <f>IF(AND('Part VII-Pro Forma'!$G$8="Yes",'Part VII-Pro Forma'!$G$9="Yes"),"Choose One!",IF('Part VII-Pro Forma'!$G$8="Yes",ROUND((-$K$8*(1+'Part VII-Pro Forma'!$B$6)^('Part VII-Pro Forma'!B83-1)),),IF('Part VII-Pro Forma'!$G$9="Yes",ROUND((-(SUM(B84:B87)*'Part VII-Pro Forma'!$K$9)),),"Choose mgt fee")))</f>
        <v>-48548</v>
      </c>
      <c r="C90" s="25">
        <f>IF(AND('Part VII-Pro Forma'!$G$8="Yes",'Part VII-Pro Forma'!$G$9="Yes"),"Choose One!",IF('Part VII-Pro Forma'!$G$8="Yes",ROUND((-$K$8*(1+'Part VII-Pro Forma'!$B$6)^('Part VII-Pro Forma'!C83-1)),),IF('Part VII-Pro Forma'!$G$9="Yes",ROUND((-(SUM(C84:C87)*'Part VII-Pro Forma'!$K$9)),),"Choose mgt fee")))</f>
        <v>-50005</v>
      </c>
      <c r="D90" s="25">
        <f>IF(AND('Part VII-Pro Forma'!$G$8="Yes",'Part VII-Pro Forma'!$G$9="Yes"),"Choose One!",IF('Part VII-Pro Forma'!$G$8="Yes",ROUND((-$K$8*(1+'Part VII-Pro Forma'!$B$6)^('Part VII-Pro Forma'!D83-1)),),IF('Part VII-Pro Forma'!$G$9="Yes",ROUND((-(SUM(D84:D87)*'Part VII-Pro Forma'!$K$9)),),"Choose mgt fee")))</f>
        <v>-51505</v>
      </c>
      <c r="E90" s="25">
        <f>IF(AND('Part VII-Pro Forma'!$G$8="Yes",'Part VII-Pro Forma'!$G$9="Yes"),"Choose One!",IF('Part VII-Pro Forma'!$G$8="Yes",ROUND((-$K$8*(1+'Part VII-Pro Forma'!$B$6)^('Part VII-Pro Forma'!E83-1)),),IF('Part VII-Pro Forma'!$G$9="Yes",ROUND((-(SUM(E84:E87)*'Part VII-Pro Forma'!$K$9)),),"Choose mgt fee")))</f>
        <v>-53050</v>
      </c>
      <c r="F90" s="25">
        <f>IF(AND('Part VII-Pro Forma'!$G$8="Yes",'Part VII-Pro Forma'!$G$9="Yes"),"Choose One!",IF('Part VII-Pro Forma'!$G$8="Yes",ROUND((-$K$8*(1+'Part VII-Pro Forma'!$B$6)^('Part VII-Pro Forma'!F83-1)),),IF('Part VII-Pro Forma'!$G$9="Yes",ROUND((-(SUM(F84:F87)*'Part VII-Pro Forma'!$K$9)),),"Choose mgt fee")))</f>
        <v>-54642</v>
      </c>
      <c r="G90" s="25">
        <f>IF(AND('Part VII-Pro Forma'!$G$8="Yes",'Part VII-Pro Forma'!$G$9="Yes"),"Choose One!",IF('Part VII-Pro Forma'!$G$8="Yes",ROUND((-$K$8*(1+'Part VII-Pro Forma'!$B$6)^('Part VII-Pro Forma'!G83-1)),),IF('Part VII-Pro Forma'!$G$9="Yes",ROUND((-(SUM(G84:G87)*'Part VII-Pro Forma'!$K$9)),),"Choose mgt fee")))</f>
        <v>-56281</v>
      </c>
      <c r="H90" s="25">
        <f>IF(AND('Part VII-Pro Forma'!$G$8="Yes",'Part VII-Pro Forma'!$G$9="Yes"),"Choose One!",IF('Part VII-Pro Forma'!$G$8="Yes",ROUND((-$K$8*(1+'Part VII-Pro Forma'!$B$6)^('Part VII-Pro Forma'!H83-1)),),IF('Part VII-Pro Forma'!$G$9="Yes",ROUND((-(SUM(H84:H87)*'Part VII-Pro Forma'!$K$9)),),"Choose mgt fee")))</f>
        <v>-57969</v>
      </c>
      <c r="I90" s="25">
        <f>IF(AND('Part VII-Pro Forma'!$G$8="Yes",'Part VII-Pro Forma'!$G$9="Yes"),"Choose One!",IF('Part VII-Pro Forma'!$G$8="Yes",ROUND((-$K$8*(1+'Part VII-Pro Forma'!$B$6)^('Part VII-Pro Forma'!I83-1)),),IF('Part VII-Pro Forma'!$G$9="Yes",ROUND((-(SUM(I84:I87)*'Part VII-Pro Forma'!$K$9)),),"Choose mgt fee")))</f>
        <v>-59708</v>
      </c>
      <c r="J90" s="25">
        <f>IF(AND('Part VII-Pro Forma'!$G$8="Yes",'Part VII-Pro Forma'!$G$9="Yes"),"Choose One!",IF('Part VII-Pro Forma'!$G$8="Yes",ROUND((-$K$8*(1+'Part VII-Pro Forma'!$B$6)^('Part VII-Pro Forma'!J83-1)),),IF('Part VII-Pro Forma'!$G$9="Yes",ROUND((-(SUM(J84:J87)*'Part VII-Pro Forma'!$K$9)),),"Choose mgt fee")))</f>
        <v>-61499</v>
      </c>
      <c r="K90" s="25">
        <f>IF(AND('Part VII-Pro Forma'!$G$8="Yes",'Part VII-Pro Forma'!$G$9="Yes"),"Choose One!",IF('Part VII-Pro Forma'!$G$8="Yes",ROUND((-$K$8*(1+'Part VII-Pro Forma'!$B$6)^('Part VII-Pro Forma'!K83-1)),),IF('Part VII-Pro Forma'!$G$9="Yes",ROUND((-(SUM(K84:K87)*'Part VII-Pro Forma'!$K$9)),),"Choose mgt fee")))</f>
        <v>-63344</v>
      </c>
    </row>
    <row r="91" spans="1:11" ht="13.15" customHeight="1">
      <c r="A91" s="24" t="s">
        <v>2122</v>
      </c>
      <c r="B91" s="25">
        <f t="shared" ref="B91:K91" si="41">$B$21*(1+$B$7)^(B83-1)</f>
        <v>-28897.779754710613</v>
      </c>
      <c r="C91" s="25">
        <f t="shared" si="41"/>
        <v>-29764.713147351926</v>
      </c>
      <c r="D91" s="25">
        <f t="shared" si="41"/>
        <v>-30657.654541772488</v>
      </c>
      <c r="E91" s="25">
        <f t="shared" si="41"/>
        <v>-31577.384178025663</v>
      </c>
      <c r="F91" s="25">
        <f t="shared" si="41"/>
        <v>-32524.705703366428</v>
      </c>
      <c r="G91" s="25">
        <f t="shared" si="41"/>
        <v>-33500.446874467423</v>
      </c>
      <c r="H91" s="25">
        <f t="shared" si="41"/>
        <v>-34505.460280701453</v>
      </c>
      <c r="I91" s="25">
        <f t="shared" si="41"/>
        <v>-35540.624089122488</v>
      </c>
      <c r="J91" s="25">
        <f t="shared" si="41"/>
        <v>-36606.842811796167</v>
      </c>
      <c r="K91" s="26">
        <f t="shared" si="41"/>
        <v>-37705.048096150043</v>
      </c>
    </row>
    <row r="92" spans="1:11" ht="13.15" customHeight="1">
      <c r="A92" s="24" t="s">
        <v>2123</v>
      </c>
      <c r="B92" s="25">
        <f t="shared" ref="B92:K92" si="42">SUM(B84:B91)</f>
        <v>3435.4088094742074</v>
      </c>
      <c r="C92" s="25">
        <f t="shared" si="42"/>
        <v>-278.07601760799298</v>
      </c>
      <c r="D92" s="25">
        <f t="shared" si="42"/>
        <v>-4178.5751313299879</v>
      </c>
      <c r="E92" s="25">
        <f t="shared" si="42"/>
        <v>-8273.935355127629</v>
      </c>
      <c r="F92" s="25">
        <f t="shared" si="42"/>
        <v>-12572.209445036187</v>
      </c>
      <c r="G92" s="25">
        <f t="shared" si="42"/>
        <v>-17079.662878227129</v>
      </c>
      <c r="H92" s="25">
        <f t="shared" si="42"/>
        <v>-21804.780857410624</v>
      </c>
      <c r="I92" s="25">
        <f t="shared" si="42"/>
        <v>-26756.275537826441</v>
      </c>
      <c r="J92" s="25">
        <f t="shared" si="42"/>
        <v>-31942.093483748431</v>
      </c>
      <c r="K92" s="26">
        <f t="shared" si="42"/>
        <v>-37371.4233616438</v>
      </c>
    </row>
    <row r="93" spans="1:11" ht="13.15"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A</v>
      </c>
      <c r="B95" s="1285">
        <v>0</v>
      </c>
      <c r="C95" s="1285">
        <v>0</v>
      </c>
      <c r="D95" s="1285">
        <v>0</v>
      </c>
      <c r="E95" s="1285">
        <v>0</v>
      </c>
      <c r="F95" s="1285">
        <v>0</v>
      </c>
      <c r="G95" s="1285">
        <v>0</v>
      </c>
      <c r="H95" s="1285">
        <v>0</v>
      </c>
      <c r="I95" s="1285">
        <v>0</v>
      </c>
      <c r="J95" s="1285">
        <v>0</v>
      </c>
      <c r="K95" s="1285">
        <v>0</v>
      </c>
    </row>
    <row r="96" spans="1:11" ht="13.15" customHeight="1">
      <c r="A96" s="24" t="str">
        <f t="shared" si="43"/>
        <v>D/S Mortgage B</v>
      </c>
      <c r="B96" s="1285">
        <f>IF('Part III A-Sources of Funds'!$M$34="", 0,-'Part III A-Sources of Funds'!$M$34)</f>
        <v>0</v>
      </c>
      <c r="C96" s="1285">
        <f>IF('Part III A-Sources of Funds'!$M$34="", 0,-'Part III A-Sources of Funds'!$M$34)</f>
        <v>0</v>
      </c>
      <c r="D96" s="1285">
        <f>IF('Part III A-Sources of Funds'!$M$34="", 0,-'Part III A-Sources of Funds'!$M$34)</f>
        <v>0</v>
      </c>
      <c r="E96" s="1285">
        <f>IF('Part III A-Sources of Funds'!$M$34="", 0,-'Part III A-Sources of Funds'!$M$34)</f>
        <v>0</v>
      </c>
      <c r="F96" s="1285">
        <f>IF('Part III A-Sources of Funds'!$M$34="", 0,-'Part III A-Sources of Funds'!$M$34)</f>
        <v>0</v>
      </c>
      <c r="G96" s="1285">
        <f>IF('Part III A-Sources of Funds'!$M$34="", 0,-'Part III A-Sources of Funds'!$M$34)</f>
        <v>0</v>
      </c>
      <c r="H96" s="1285">
        <f>IF('Part III A-Sources of Funds'!$M$34="", 0,-'Part III A-Sources of Funds'!$M$34)</f>
        <v>0</v>
      </c>
      <c r="I96" s="1285">
        <f>IF('Part III A-Sources of Funds'!$M$34="", 0,-'Part III A-Sources of Funds'!$M$34)</f>
        <v>0</v>
      </c>
      <c r="J96" s="1285">
        <f>IF('Part III A-Sources of Funds'!$M$34="", 0,-'Part III A-Sources of Funds'!$M$34)</f>
        <v>0</v>
      </c>
      <c r="K96" s="1285">
        <f>IF('Part III A-Sources of Funds'!$M$34="", 0,-'Part III A-Sources of Funds'!$M$34)</f>
        <v>0</v>
      </c>
    </row>
    <row r="97" spans="1:11" ht="13.15" customHeight="1">
      <c r="A97" s="24" t="str">
        <f t="shared" si="43"/>
        <v>D/S Other Source</v>
      </c>
      <c r="B97" s="1285">
        <f>IF('Part III A-Sources of Funds'!$M$35="", 0,-'Part III A-Sources of Funds'!$M$35)</f>
        <v>0</v>
      </c>
      <c r="C97" s="1285">
        <f>IF('Part III A-Sources of Funds'!$M$35="", 0,-'Part III A-Sources of Funds'!$M$35)</f>
        <v>0</v>
      </c>
      <c r="D97" s="1285">
        <f>IF('Part III A-Sources of Funds'!$M$35="", 0,-'Part III A-Sources of Funds'!$M$35)</f>
        <v>0</v>
      </c>
      <c r="E97" s="1285">
        <f>IF('Part III A-Sources of Funds'!$M$35="", 0,-'Part III A-Sources of Funds'!$M$35)</f>
        <v>0</v>
      </c>
      <c r="F97" s="1285">
        <f>IF('Part III A-Sources of Funds'!$M$35="", 0,-'Part III A-Sources of Funds'!$M$35)</f>
        <v>0</v>
      </c>
      <c r="G97" s="1285">
        <f>IF('Part III A-Sources of Funds'!$M$35="", 0,-'Part III A-Sources of Funds'!$M$35)</f>
        <v>0</v>
      </c>
      <c r="H97" s="1285">
        <f>IF('Part III A-Sources of Funds'!$M$35="", 0,-'Part III A-Sources of Funds'!$M$35)</f>
        <v>0</v>
      </c>
      <c r="I97" s="1285">
        <f>IF('Part III A-Sources of Funds'!$M$35="", 0,-'Part III A-Sources of Funds'!$M$35)</f>
        <v>0</v>
      </c>
      <c r="J97" s="1285">
        <f>IF('Part III A-Sources of Funds'!$M$35="", 0,-'Part III A-Sources of Funds'!$M$35)</f>
        <v>0</v>
      </c>
      <c r="K97" s="1285">
        <f>IF('Part III A-Sources of Funds'!$M$35="", 0,-'Part III A-Sources of Funds'!$M$35)</f>
        <v>0</v>
      </c>
    </row>
    <row r="98" spans="1:11" ht="13.15" customHeight="1">
      <c r="A98" s="24" t="str">
        <f t="shared" si="43"/>
        <v>D/S Grant from fdn / charity</v>
      </c>
      <c r="B98" s="1285">
        <f>IF('Part III A-Sources of Funds'!$M$36="", 0,-'Part III A-Sources of Funds'!$M$36)</f>
        <v>0</v>
      </c>
      <c r="C98" s="1285">
        <f>IF('Part III A-Sources of Funds'!$M$36="", 0,-'Part III A-Sources of Funds'!$M$36)</f>
        <v>0</v>
      </c>
      <c r="D98" s="1285">
        <f>IF('Part III A-Sources of Funds'!$M$36="", 0,-'Part III A-Sources of Funds'!$M$36)</f>
        <v>0</v>
      </c>
      <c r="E98" s="1285">
        <f>IF('Part III A-Sources of Funds'!$M$36="", 0,-'Part III A-Sources of Funds'!$M$36)</f>
        <v>0</v>
      </c>
      <c r="F98" s="1285">
        <f>IF('Part III A-Sources of Funds'!$M$36="", 0,-'Part III A-Sources of Funds'!$M$36)</f>
        <v>0</v>
      </c>
      <c r="G98" s="1285">
        <f>IF('Part III A-Sources of Funds'!$M$36="", 0,-'Part III A-Sources of Funds'!$M$36)</f>
        <v>0</v>
      </c>
      <c r="H98" s="1285">
        <f>IF('Part III A-Sources of Funds'!$M$36="", 0,-'Part III A-Sources of Funds'!$M$36)</f>
        <v>0</v>
      </c>
      <c r="I98" s="1285">
        <f>IF('Part III A-Sources of Funds'!$M$36="", 0,-'Part III A-Sources of Funds'!$M$36)</f>
        <v>0</v>
      </c>
      <c r="J98" s="1285">
        <f>IF('Part III A-Sources of Funds'!$M$36="", 0,-'Part III A-Sources of Funds'!$M$36)</f>
        <v>0</v>
      </c>
      <c r="K98" s="1285">
        <f>IF('Part III A-Sources of Funds'!$M$36="", 0,-'Part III A-Sources of Funds'!$M$36)</f>
        <v>0</v>
      </c>
    </row>
    <row r="99" spans="1:11" ht="13.15" customHeight="1">
      <c r="A99" s="24" t="s">
        <v>1336</v>
      </c>
      <c r="B99" s="1286"/>
      <c r="C99" s="1286"/>
      <c r="D99" s="1286"/>
      <c r="E99" s="1286"/>
      <c r="F99" s="1286"/>
      <c r="G99" s="1286"/>
      <c r="H99" s="1286"/>
      <c r="I99" s="1286"/>
      <c r="J99" s="1286"/>
      <c r="K99" s="1286"/>
    </row>
    <row r="100" spans="1:11" ht="13.15" customHeight="1">
      <c r="A100" s="24" t="s">
        <v>2033</v>
      </c>
      <c r="B100" s="1285">
        <f>+K65</f>
        <v>0</v>
      </c>
      <c r="C100" s="1285">
        <f t="shared" ref="C100:K100" si="44">+B100</f>
        <v>0</v>
      </c>
      <c r="D100" s="1285">
        <f t="shared" si="44"/>
        <v>0</v>
      </c>
      <c r="E100" s="1285">
        <f t="shared" si="44"/>
        <v>0</v>
      </c>
      <c r="F100" s="1285">
        <f t="shared" si="44"/>
        <v>0</v>
      </c>
      <c r="G100" s="1285">
        <f t="shared" si="44"/>
        <v>0</v>
      </c>
      <c r="H100" s="1285">
        <f t="shared" si="44"/>
        <v>0</v>
      </c>
      <c r="I100" s="1285">
        <f t="shared" si="44"/>
        <v>0</v>
      </c>
      <c r="J100" s="1285">
        <f t="shared" si="44"/>
        <v>0</v>
      </c>
      <c r="K100" s="1285">
        <f t="shared" si="44"/>
        <v>0</v>
      </c>
    </row>
    <row r="101" spans="1:11" ht="13.15" customHeight="1">
      <c r="A101" s="24" t="s">
        <v>2124</v>
      </c>
      <c r="B101" s="1285">
        <v>0</v>
      </c>
      <c r="C101" s="1285">
        <v>0</v>
      </c>
      <c r="D101" s="1285">
        <v>0</v>
      </c>
      <c r="E101" s="1285">
        <v>0</v>
      </c>
      <c r="F101" s="1285">
        <v>0</v>
      </c>
      <c r="G101" s="1285">
        <v>0</v>
      </c>
      <c r="H101" s="1285">
        <v>0</v>
      </c>
      <c r="I101" s="1285">
        <v>0</v>
      </c>
      <c r="J101" s="1285">
        <v>0</v>
      </c>
      <c r="K101" s="1285">
        <v>0</v>
      </c>
    </row>
    <row r="102" spans="1:11" ht="13.15" customHeight="1">
      <c r="A102" s="24" t="s">
        <v>2034</v>
      </c>
      <c r="B102" s="1287">
        <f>+K67</f>
        <v>0</v>
      </c>
      <c r="C102" s="1287">
        <f t="shared" ref="C102:K102" si="45">+B102</f>
        <v>0</v>
      </c>
      <c r="D102" s="1287">
        <f t="shared" si="45"/>
        <v>0</v>
      </c>
      <c r="E102" s="1287">
        <f t="shared" si="45"/>
        <v>0</v>
      </c>
      <c r="F102" s="1287">
        <f t="shared" si="45"/>
        <v>0</v>
      </c>
      <c r="G102" s="1287">
        <f t="shared" si="45"/>
        <v>0</v>
      </c>
      <c r="H102" s="1287">
        <f t="shared" si="45"/>
        <v>0</v>
      </c>
      <c r="I102" s="1287">
        <f t="shared" si="45"/>
        <v>0</v>
      </c>
      <c r="J102" s="1287">
        <f t="shared" si="45"/>
        <v>0</v>
      </c>
      <c r="K102" s="1287">
        <f t="shared" si="45"/>
        <v>0</v>
      </c>
    </row>
    <row r="103" spans="1:11" ht="13.15" customHeight="1">
      <c r="A103" s="24" t="s">
        <v>2035</v>
      </c>
      <c r="B103" s="25">
        <f t="shared" ref="B103:K103" si="46">SUM(B92:B102)</f>
        <v>3435.4088094742074</v>
      </c>
      <c r="C103" s="25">
        <f t="shared" si="46"/>
        <v>-278.07601760799298</v>
      </c>
      <c r="D103" s="25">
        <f t="shared" si="46"/>
        <v>-4178.5751313299879</v>
      </c>
      <c r="E103" s="25">
        <f t="shared" si="46"/>
        <v>-8273.935355127629</v>
      </c>
      <c r="F103" s="25">
        <f t="shared" si="46"/>
        <v>-12572.209445036187</v>
      </c>
      <c r="G103" s="25">
        <f t="shared" si="46"/>
        <v>-17079.662878227129</v>
      </c>
      <c r="H103" s="25">
        <f t="shared" si="46"/>
        <v>-21804.780857410624</v>
      </c>
      <c r="I103" s="25">
        <f t="shared" si="46"/>
        <v>-26756.275537826441</v>
      </c>
      <c r="J103" s="25">
        <f t="shared" si="46"/>
        <v>-31942.093483748431</v>
      </c>
      <c r="K103" s="23">
        <f t="shared" si="46"/>
        <v>-37371.4233616438</v>
      </c>
    </row>
    <row r="104" spans="1:11" ht="13.15"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First Mortgage</v>
      </c>
      <c r="B106" s="27" t="str">
        <f>IF(OR(B95=0,AND(B95=0,B94=0,B93=0)),"",-B92/(B93+B94+B95))</f>
        <v/>
      </c>
      <c r="C106" s="27" t="str">
        <f t="shared" ref="C106:K106" si="50">IF(OR(C95=0,AND(C95=0,C94=0,C93=0)),"",-C92/(C93+C94+C95))</f>
        <v/>
      </c>
      <c r="D106" s="27" t="str">
        <f t="shared" si="50"/>
        <v/>
      </c>
      <c r="E106" s="27" t="str">
        <f t="shared" si="50"/>
        <v/>
      </c>
      <c r="F106" s="27" t="str">
        <f t="shared" si="50"/>
        <v/>
      </c>
      <c r="G106" s="27" t="str">
        <f t="shared" si="50"/>
        <v/>
      </c>
      <c r="H106" s="27" t="str">
        <f t="shared" si="50"/>
        <v/>
      </c>
      <c r="I106" s="27" t="str">
        <f t="shared" si="50"/>
        <v/>
      </c>
      <c r="J106" s="27" t="str">
        <f t="shared" si="50"/>
        <v/>
      </c>
      <c r="K106" s="28" t="str">
        <f t="shared" si="50"/>
        <v/>
      </c>
    </row>
    <row r="107" spans="1:11" ht="13.15" customHeight="1">
      <c r="A107" s="24" t="str">
        <f t="shared" si="47"/>
        <v>DCR Second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1544</v>
      </c>
      <c r="B110" s="379">
        <f>IF(OR(B90="Choose mgt fee",B90="Choose One!"),"",(B84+B85+B86+B87+B88) / -(B89+B90+B91))</f>
        <v>1.0090844585037788</v>
      </c>
      <c r="C110" s="379">
        <f t="shared" ref="C110:K110" si="54">IF(OR(C90="Choose mgt fee",C90="Choose One!"),"",(C84+C85+C86+C87+C88) / -(C89+C90+C91))</f>
        <v>0.99928608532942542</v>
      </c>
      <c r="D110" s="379">
        <f t="shared" si="54"/>
        <v>0.98958464866554485</v>
      </c>
      <c r="E110" s="379">
        <f t="shared" si="54"/>
        <v>0.97997738644348997</v>
      </c>
      <c r="F110" s="379">
        <f t="shared" si="54"/>
        <v>0.97046190284625022</v>
      </c>
      <c r="G110" s="379">
        <f t="shared" si="54"/>
        <v>0.96104051259014867</v>
      </c>
      <c r="H110" s="379">
        <f t="shared" si="54"/>
        <v>0.95171092847299432</v>
      </c>
      <c r="I110" s="379">
        <f t="shared" si="54"/>
        <v>0.94247115839498496</v>
      </c>
      <c r="J110" s="379">
        <f t="shared" si="54"/>
        <v>0.93332142056368028</v>
      </c>
      <c r="K110" s="380">
        <f t="shared" si="54"/>
        <v>0.92425999135305004</v>
      </c>
    </row>
    <row r="111" spans="1:11" ht="13.15" customHeight="1">
      <c r="A111" s="24" t="str">
        <f>IF('Part III A-Sources of Funds'!$E$32 = "Neither", "", "First Mortgage Balance")</f>
        <v/>
      </c>
      <c r="B111" s="1288">
        <f>IF('Part III A-Sources of Funds'!$H$32="","",-FV('Part III A-Sources of Funds'!$J$32/12,12,B93/12,K76))</f>
        <v>0</v>
      </c>
      <c r="C111" s="1288">
        <f>IF('Part III A-Sources of Funds'!$H$32="","",-FV('Part III A-Sources of Funds'!$J$32/12,12,C93/12,B111))</f>
        <v>0</v>
      </c>
      <c r="D111" s="1288">
        <f>IF('Part III A-Sources of Funds'!$H$32="","",-FV('Part III A-Sources of Funds'!$J$32/12,12,D93/12,C111))</f>
        <v>0</v>
      </c>
      <c r="E111" s="1288">
        <f>IF('Part III A-Sources of Funds'!$H$32="","",-FV('Part III A-Sources of Funds'!$J$32/12,12,E93/12,D111))</f>
        <v>0</v>
      </c>
      <c r="F111" s="1288">
        <f>IF('Part III A-Sources of Funds'!$H$32="","",-FV('Part III A-Sources of Funds'!$J$32/12,12,F93/12,E111))</f>
        <v>0</v>
      </c>
      <c r="G111" s="1288">
        <f>IF('Part III A-Sources of Funds'!$H$32="","",-FV('Part III A-Sources of Funds'!$J$32/12,12,G93/12,F111))</f>
        <v>0</v>
      </c>
      <c r="H111" s="1288">
        <f>IF('Part III A-Sources of Funds'!$H$32="","",-FV('Part III A-Sources of Funds'!$J$32/12,12,H93/12,G111))</f>
        <v>0</v>
      </c>
      <c r="I111" s="1288">
        <f>IF('Part III A-Sources of Funds'!$H$32="","",-FV('Part III A-Sources of Funds'!$J$32/12,12,I93/12,H111))</f>
        <v>0</v>
      </c>
      <c r="J111" s="1288">
        <f>IF('Part III A-Sources of Funds'!$H$32="","",-FV('Part III A-Sources of Funds'!$J$32/12,12,J93/12,I111))</f>
        <v>0</v>
      </c>
      <c r="K111" s="1288">
        <f>IF('Part III A-Sources of Funds'!$H$32="","",-FV('Part III A-Sources of Funds'!$J$32/12,12,K93/12,J111))</f>
        <v>0</v>
      </c>
    </row>
    <row r="112" spans="1:11" ht="13.15" customHeight="1">
      <c r="A112" s="24" t="str">
        <f>IF('Part III A-Sources of Funds'!$E$32 = "Neither", "First Mortgage Balance", "Second Mortgage Balance")</f>
        <v>First Mortgage Balance</v>
      </c>
      <c r="B112" s="1285">
        <v>0</v>
      </c>
      <c r="C112" s="1285">
        <v>0</v>
      </c>
      <c r="D112" s="1285">
        <v>0</v>
      </c>
      <c r="E112" s="1285">
        <v>0</v>
      </c>
      <c r="F112" s="1285">
        <f>IF('Part III A-Sources of Funds'!$H$33="","",-FV('Part III A-Sources of Funds'!$J$33/12,12,F95/12,E112))</f>
        <v>0</v>
      </c>
      <c r="G112" s="1285">
        <f>IF('Part III A-Sources of Funds'!$H$33="","",-FV('Part III A-Sources of Funds'!$J$33/12,12,G95/12,F112))</f>
        <v>0</v>
      </c>
      <c r="H112" s="1285">
        <f>IF('Part III A-Sources of Funds'!$H$33="","",-FV('Part III A-Sources of Funds'!$J$33/12,12,H95/12,G112))</f>
        <v>0</v>
      </c>
      <c r="I112" s="1285">
        <f>IF('Part III A-Sources of Funds'!$H$33="","",-FV('Part III A-Sources of Funds'!$J$33/12,12,I95/12,H112))</f>
        <v>0</v>
      </c>
      <c r="J112" s="1285">
        <f>IF('Part III A-Sources of Funds'!$H$33="","",-FV('Part III A-Sources of Funds'!$J$33/12,12,J95/12,I112))</f>
        <v>0</v>
      </c>
      <c r="K112" s="1285">
        <f>IF('Part III A-Sources of Funds'!$H$33="","",-FV('Part III A-Sources of Funds'!$J$33/12,12,K95/12,J112))</f>
        <v>0</v>
      </c>
    </row>
    <row r="113" spans="1:11" ht="13.15" customHeight="1">
      <c r="A113" s="24" t="str">
        <f>IF('Part III A-Sources of Funds'!$E$32 = "Neither", "Second Mortgage Balance", "Third Mortgage Balance")</f>
        <v>Second Mortgage Balance</v>
      </c>
      <c r="B113" s="1285" t="str">
        <f>IF('Part III A-Sources of Funds'!$H$34="","",-FV('Part III A-Sources of Funds'!$J$34/12,12,B96/12,K78))</f>
        <v/>
      </c>
      <c r="C113" s="1285" t="str">
        <f>IF('Part III A-Sources of Funds'!$H$34="","",-FV('Part III A-Sources of Funds'!$J$34/12,12,C96/12,B113))</f>
        <v/>
      </c>
      <c r="D113" s="1285" t="str">
        <f>IF('Part III A-Sources of Funds'!$H$34="","",-FV('Part III A-Sources of Funds'!$J$34/12,12,D96/12,C113))</f>
        <v/>
      </c>
      <c r="E113" s="1285" t="str">
        <f>IF('Part III A-Sources of Funds'!$H$34="","",-FV('Part III A-Sources of Funds'!$J$34/12,12,E96/12,D113))</f>
        <v/>
      </c>
      <c r="F113" s="1285" t="str">
        <f>IF('Part III A-Sources of Funds'!$H$34="","",-FV('Part III A-Sources of Funds'!$J$34/12,12,F96/12,E113))</f>
        <v/>
      </c>
      <c r="G113" s="1285" t="str">
        <f>IF('Part III A-Sources of Funds'!$H$34="","",-FV('Part III A-Sources of Funds'!$J$34/12,12,G96/12,F113))</f>
        <v/>
      </c>
      <c r="H113" s="1285" t="str">
        <f>IF('Part III A-Sources of Funds'!$H$34="","",-FV('Part III A-Sources of Funds'!$J$34/12,12,H96/12,G113))</f>
        <v/>
      </c>
      <c r="I113" s="1285" t="str">
        <f>IF('Part III A-Sources of Funds'!$H$34="","",-FV('Part III A-Sources of Funds'!$J$34/12,12,I96/12,H113))</f>
        <v/>
      </c>
      <c r="J113" s="1285" t="str">
        <f>IF('Part III A-Sources of Funds'!$H$34="","",-FV('Part III A-Sources of Funds'!$J$34/12,12,J96/12,I113))</f>
        <v/>
      </c>
      <c r="K113" s="1285" t="str">
        <f>IF('Part III A-Sources of Funds'!$H$34="","",-FV('Part III A-Sources of Funds'!$J$34/12,12,K96/12,J113))</f>
        <v/>
      </c>
    </row>
    <row r="114" spans="1:11" ht="13.15" customHeight="1">
      <c r="A114" s="24" t="s">
        <v>1357</v>
      </c>
      <c r="B114" s="1285" t="str">
        <f>IF('Part III A-Sources of Funds'!$H$35="","",-FV('Part III A-Sources of Funds'!$J$35/12,12,B97/12,K79))</f>
        <v/>
      </c>
      <c r="C114" s="1285" t="str">
        <f>IF('Part III A-Sources of Funds'!$H$35="","",-FV('Part III A-Sources of Funds'!$J$35/12,12,C97/12,B114))</f>
        <v/>
      </c>
      <c r="D114" s="1285" t="str">
        <f>IF('Part III A-Sources of Funds'!$H$35="","",-FV('Part III A-Sources of Funds'!$J$35/12,12,D97/12,C114))</f>
        <v/>
      </c>
      <c r="E114" s="1285" t="str">
        <f>IF('Part III A-Sources of Funds'!$H$35="","",-FV('Part III A-Sources of Funds'!$J$35/12,12,E97/12,D114))</f>
        <v/>
      </c>
      <c r="F114" s="1285" t="str">
        <f>IF('Part III A-Sources of Funds'!$H$35="","",-FV('Part III A-Sources of Funds'!$J$35/12,12,F97/12,E114))</f>
        <v/>
      </c>
      <c r="G114" s="1285" t="str">
        <f>IF('Part III A-Sources of Funds'!$H$35="","",-FV('Part III A-Sources of Funds'!$J$35/12,12,G97/12,F114))</f>
        <v/>
      </c>
      <c r="H114" s="1285" t="str">
        <f>IF('Part III A-Sources of Funds'!$H$35="","",-FV('Part III A-Sources of Funds'!$J$35/12,12,H97/12,G114))</f>
        <v/>
      </c>
      <c r="I114" s="1285" t="str">
        <f>IF('Part III A-Sources of Funds'!$H$35="","",-FV('Part III A-Sources of Funds'!$J$35/12,12,I97/12,H114))</f>
        <v/>
      </c>
      <c r="J114" s="1285" t="str">
        <f>IF('Part III A-Sources of Funds'!$H$35="","",-FV('Part III A-Sources of Funds'!$J$35/12,12,J97/12,I114))</f>
        <v/>
      </c>
      <c r="K114" s="1285" t="str">
        <f>IF('Part III A-Sources of Funds'!$H$35="","",-FV('Part III A-Sources of Funds'!$J$35/12,12,K97/12,J114))</f>
        <v/>
      </c>
    </row>
    <row r="115" spans="1:11" ht="13.15" customHeight="1">
      <c r="A115" s="24" t="s">
        <v>1357</v>
      </c>
      <c r="B115" s="1285" t="str">
        <f>IF('Part III A-Sources of Funds'!$H$36="","",-FV('Part III A-Sources of Funds'!$J$36/12,12,B98/12,K80))</f>
        <v/>
      </c>
      <c r="C115" s="1285" t="str">
        <f>IF('Part III A-Sources of Funds'!$H$36="","",-FV('Part III A-Sources of Funds'!$J$36/12,12,C98/12,B115))</f>
        <v/>
      </c>
      <c r="D115" s="1285" t="str">
        <f>IF('Part III A-Sources of Funds'!$H$36="","",-FV('Part III A-Sources of Funds'!$J$36/12,12,D98/12,C115))</f>
        <v/>
      </c>
      <c r="E115" s="1285" t="str">
        <f>IF('Part III A-Sources of Funds'!$H$36="","",-FV('Part III A-Sources of Funds'!$J$36/12,12,E98/12,D115))</f>
        <v/>
      </c>
      <c r="F115" s="1285" t="str">
        <f>IF('Part III A-Sources of Funds'!$H$36="","",-FV('Part III A-Sources of Funds'!$J$36/12,12,F98/12,E115))</f>
        <v/>
      </c>
      <c r="G115" s="1285" t="str">
        <f>IF('Part III A-Sources of Funds'!$H$36="","",-FV('Part III A-Sources of Funds'!$J$36/12,12,G98/12,F115))</f>
        <v/>
      </c>
      <c r="H115" s="1285" t="str">
        <f>IF('Part III A-Sources of Funds'!$H$36="","",-FV('Part III A-Sources of Funds'!$J$36/12,12,H98/12,G115))</f>
        <v/>
      </c>
      <c r="I115" s="1285" t="str">
        <f>IF('Part III A-Sources of Funds'!$H$36="","",-FV('Part III A-Sources of Funds'!$J$36/12,12,I98/12,H115))</f>
        <v/>
      </c>
      <c r="J115" s="1285" t="str">
        <f>IF('Part III A-Sources of Funds'!$H$36="","",-FV('Part III A-Sources of Funds'!$J$36/12,12,J98/12,I115))</f>
        <v/>
      </c>
      <c r="K115" s="1285" t="str">
        <f>IF('Part III A-Sources of Funds'!$H$36="","",-FV('Part III A-Sources of Funds'!$J$36/12,12,K98/12,J115))</f>
        <v/>
      </c>
    </row>
    <row r="116" spans="1:11" ht="13.15" customHeight="1">
      <c r="A116" s="29" t="s">
        <v>1880</v>
      </c>
      <c r="B116" s="1287">
        <f>IF('Part III A-Sources of Funds'!$H$37="","",-FV('Part III A-Sources of Funds'!$J$37/12,12,B101/12,K81))</f>
        <v>0</v>
      </c>
      <c r="C116" s="1287">
        <f>IF('Part III A-Sources of Funds'!$H$37="","",-FV('Part III A-Sources of Funds'!$J$37/12,12,C101/12,B116))</f>
        <v>0</v>
      </c>
      <c r="D116" s="1287">
        <f>IF('Part III A-Sources of Funds'!$H$37="","",-FV('Part III A-Sources of Funds'!$J$37/12,12,D101/12,C116))</f>
        <v>0</v>
      </c>
      <c r="E116" s="1287">
        <f>IF('Part III A-Sources of Funds'!$H$37="","",-FV('Part III A-Sources of Funds'!$J$37/12,12,E101/12,D116))</f>
        <v>0</v>
      </c>
      <c r="F116" s="1287">
        <f>IF('Part III A-Sources of Funds'!$H$37="","",-FV('Part III A-Sources of Funds'!$J$37/12,12,F101/12,E116))</f>
        <v>0</v>
      </c>
      <c r="G116" s="1287">
        <f>IF('Part III A-Sources of Funds'!$H$37="","",-FV('Part III A-Sources of Funds'!$J$37/12,12,G101/12,F116))</f>
        <v>0</v>
      </c>
      <c r="H116" s="1287">
        <f>IF('Part III A-Sources of Funds'!$H$37="","",-FV('Part III A-Sources of Funds'!$J$37/12,12,H101/12,G116))</f>
        <v>0</v>
      </c>
      <c r="I116" s="1287">
        <f>IF('Part III A-Sources of Funds'!$H$37="","",-FV('Part III A-Sources of Funds'!$J$37/12,12,I101/12,H116))</f>
        <v>0</v>
      </c>
      <c r="J116" s="1287">
        <f>IF('Part III A-Sources of Funds'!$H$37="","",-FV('Part III A-Sources of Funds'!$J$37/12,12,J101/12,I116))</f>
        <v>0</v>
      </c>
      <c r="K116" s="1287">
        <f>IF('Part III A-Sources of Funds'!$H$37="","",-FV('Part III A-Sources of Funds'!$J$37/12,12,K101/12,J116))</f>
        <v>0</v>
      </c>
    </row>
    <row r="117" spans="1:11" ht="4.1500000000000004" customHeight="1">
      <c r="B117" s="20"/>
      <c r="C117" s="20"/>
      <c r="D117" s="20"/>
      <c r="E117" s="20"/>
      <c r="F117" s="20"/>
      <c r="G117" s="20"/>
      <c r="H117" s="20"/>
      <c r="I117" s="20"/>
      <c r="J117" s="20"/>
      <c r="K117" s="20"/>
    </row>
    <row r="118" spans="1:11" ht="14.65" customHeight="1">
      <c r="A118" s="16" t="s">
        <v>3865</v>
      </c>
      <c r="B118" s="18">
        <f>K83+1</f>
        <v>31</v>
      </c>
      <c r="C118" s="18">
        <f>B118+1</f>
        <v>32</v>
      </c>
      <c r="D118" s="18">
        <f>C118+1</f>
        <v>33</v>
      </c>
      <c r="E118" s="18">
        <f>D118+1</f>
        <v>34</v>
      </c>
      <c r="F118" s="18">
        <f>E118+1</f>
        <v>35</v>
      </c>
      <c r="G118" s="31"/>
      <c r="H118" s="31"/>
      <c r="I118" s="31"/>
      <c r="J118" s="31"/>
      <c r="K118" s="31"/>
    </row>
    <row r="119" spans="1:11" ht="13.15" customHeight="1">
      <c r="A119" s="21" t="s">
        <v>3760</v>
      </c>
      <c r="B119" s="22">
        <f>$B$14*(1+$B$5)^(B118-1)</f>
        <v>490371.80804845988</v>
      </c>
      <c r="C119" s="22">
        <f>$B$14*(1+$B$5)^(C118-1)</f>
        <v>500179.24420942896</v>
      </c>
      <c r="D119" s="22">
        <f>$B$14*(1+$B$5)^(D118-1)</f>
        <v>510182.82909361762</v>
      </c>
      <c r="E119" s="22">
        <f>$B$14*(1+$B$5)^(E118-1)</f>
        <v>520386.48567549</v>
      </c>
      <c r="F119" s="23">
        <f>$B$14*(1+$B$5)^(F118-1)</f>
        <v>530794.21538899979</v>
      </c>
      <c r="G119" s="31"/>
      <c r="H119" s="31"/>
      <c r="I119" s="31"/>
      <c r="J119" s="31"/>
      <c r="K119" s="31"/>
    </row>
    <row r="120" spans="1:11" ht="13.15" customHeight="1">
      <c r="A120" s="24" t="s">
        <v>1965</v>
      </c>
      <c r="B120" s="25">
        <f>$B$15*(1+$B$5)^(B118-1)</f>
        <v>9807.4361609691987</v>
      </c>
      <c r="C120" s="25">
        <f>$B$15*(1+$B$5)^(C118-1)</f>
        <v>10003.58488418858</v>
      </c>
      <c r="D120" s="25">
        <f>$B$15*(1+$B$5)^(D118-1)</f>
        <v>10203.656581872354</v>
      </c>
      <c r="E120" s="25">
        <f>$B$15*(1+$B$5)^(E118-1)</f>
        <v>10407.729713509802</v>
      </c>
      <c r="F120" s="26">
        <f>$B$15*(1+$B$5)^(F118-1)</f>
        <v>10615.884307779996</v>
      </c>
      <c r="G120" s="31"/>
      <c r="H120" s="31"/>
      <c r="I120" s="31"/>
      <c r="J120" s="31"/>
      <c r="K120" s="31"/>
    </row>
    <row r="121" spans="1:11" ht="13.15" customHeight="1">
      <c r="A121" s="24" t="s">
        <v>3655</v>
      </c>
      <c r="B121" s="25">
        <f>-(B119+B120)*$B$8</f>
        <v>-35012.54709466004</v>
      </c>
      <c r="C121" s="25">
        <f>-(C119+C120)*$B$8</f>
        <v>-35712.798036553235</v>
      </c>
      <c r="D121" s="25">
        <f>-(D119+D120)*$B$8</f>
        <v>-36427.053997284303</v>
      </c>
      <c r="E121" s="25">
        <f>-(E119+E120)*$B$8</f>
        <v>-37155.595077229991</v>
      </c>
      <c r="F121" s="26">
        <f>-(F119+F120)*$B$8</f>
        <v>-37898.706978774586</v>
      </c>
      <c r="G121" s="31"/>
      <c r="H121" s="31"/>
      <c r="I121" s="31"/>
      <c r="J121" s="31"/>
      <c r="K121" s="31"/>
    </row>
    <row r="122" spans="1:11" ht="13.15" customHeight="1">
      <c r="A122" s="24" t="s">
        <v>302</v>
      </c>
      <c r="B122" s="1289"/>
      <c r="C122" s="1289"/>
      <c r="D122" s="1289"/>
      <c r="E122" s="1289"/>
      <c r="F122" s="1289"/>
      <c r="G122" s="31"/>
      <c r="H122" s="31"/>
      <c r="I122" s="31"/>
      <c r="J122" s="31"/>
      <c r="K122" s="31"/>
    </row>
    <row r="123" spans="1:11" ht="13.15" customHeight="1">
      <c r="A123" s="24" t="s">
        <v>303</v>
      </c>
      <c r="B123" s="1289"/>
      <c r="C123" s="1289"/>
      <c r="D123" s="1289"/>
      <c r="E123" s="1289"/>
      <c r="F123" s="1289"/>
      <c r="G123" s="31"/>
      <c r="H123" s="31"/>
      <c r="I123" s="31"/>
      <c r="J123" s="31"/>
      <c r="K123" s="31"/>
    </row>
    <row r="124" spans="1:11" ht="13.15" customHeight="1">
      <c r="A124" s="24" t="s">
        <v>1124</v>
      </c>
      <c r="B124" s="25">
        <f>$B$19*(1+$B$6)^(B118-1)</f>
        <v>-404139.20145307825</v>
      </c>
      <c r="C124" s="25">
        <f>$B$19*(1+$B$6)^(C118-1)</f>
        <v>-416263.37749667064</v>
      </c>
      <c r="D124" s="25">
        <f>$B$19*(1+$B$6)^(D118-1)</f>
        <v>-428751.27882157068</v>
      </c>
      <c r="E124" s="25">
        <f>$B$19*(1+$B$6)^(E118-1)</f>
        <v>-441613.81718621781</v>
      </c>
      <c r="F124" s="26">
        <f>$B$19*(1+$B$6)^(F118-1)</f>
        <v>-454862.23170180427</v>
      </c>
      <c r="G124" s="31"/>
      <c r="H124" s="31"/>
      <c r="I124" s="31"/>
      <c r="J124" s="31"/>
      <c r="K124" s="31"/>
    </row>
    <row r="125" spans="1:11" ht="13.15" customHeight="1">
      <c r="A125" s="24" t="s">
        <v>1756</v>
      </c>
      <c r="B125" s="25">
        <f>IF(AND('Part VII-Pro Forma'!$G$8="Yes",'Part VII-Pro Forma'!$G$9="Yes"),"Choose One!",IF('Part VII-Pro Forma'!$G$8="Yes",ROUND((-$K$8*(1+'Part VII-Pro Forma'!$B$6)^('Part VII-Pro Forma'!B118-1)),),IF('Part VII-Pro Forma'!$G$9="Yes",ROUND((-(SUM(B119:B122)*'Part VII-Pro Forma'!$K$9)),),"Choose mgt fee")))</f>
        <v>-65245</v>
      </c>
      <c r="C125" s="25">
        <f>IF(AND('Part VII-Pro Forma'!$G$8="Yes",'Part VII-Pro Forma'!$G$9="Yes"),"Choose One!",IF('Part VII-Pro Forma'!$G$8="Yes",ROUND((-$K$8*(1+'Part VII-Pro Forma'!$B$6)^('Part VII-Pro Forma'!C118-1)),),IF('Part VII-Pro Forma'!$G$9="Yes",ROUND((-(SUM(C119:C122)*'Part VII-Pro Forma'!$K$9)),),"Choose mgt fee")))</f>
        <v>-67202</v>
      </c>
      <c r="D125" s="25">
        <f>IF(AND('Part VII-Pro Forma'!$G$8="Yes",'Part VII-Pro Forma'!$G$9="Yes"),"Choose One!",IF('Part VII-Pro Forma'!$G$8="Yes",ROUND((-$K$8*(1+'Part VII-Pro Forma'!$B$6)^('Part VII-Pro Forma'!D118-1)),),IF('Part VII-Pro Forma'!$G$9="Yes",ROUND((-(SUM(D119:D122)*'Part VII-Pro Forma'!$K$9)),),"Choose mgt fee")))</f>
        <v>-69218</v>
      </c>
      <c r="E125" s="25">
        <f>IF(AND('Part VII-Pro Forma'!$G$8="Yes",'Part VII-Pro Forma'!$G$9="Yes"),"Choose One!",IF('Part VII-Pro Forma'!$G$8="Yes",ROUND((-$K$8*(1+'Part VII-Pro Forma'!$B$6)^('Part VII-Pro Forma'!E118-1)),),IF('Part VII-Pro Forma'!$G$9="Yes",ROUND((-(SUM(E119:E122)*'Part VII-Pro Forma'!$K$9)),),"Choose mgt fee")))</f>
        <v>-71295</v>
      </c>
      <c r="F125" s="25">
        <f>IF(AND('Part VII-Pro Forma'!$G$8="Yes",'Part VII-Pro Forma'!$G$9="Yes"),"Choose One!",IF('Part VII-Pro Forma'!$G$8="Yes",ROUND((-$K$8*(1+'Part VII-Pro Forma'!$B$6)^('Part VII-Pro Forma'!F118-1)),),IF('Part VII-Pro Forma'!$G$9="Yes",ROUND((-(SUM(F119:F122)*'Part VII-Pro Forma'!$K$9)),),"Choose mgt fee")))</f>
        <v>-73434</v>
      </c>
      <c r="G125" s="31"/>
      <c r="H125" s="31"/>
      <c r="I125" s="31"/>
      <c r="J125" s="31"/>
      <c r="K125" s="31"/>
    </row>
    <row r="126" spans="1:11" ht="13.15" customHeight="1">
      <c r="A126" s="24" t="s">
        <v>2122</v>
      </c>
      <c r="B126" s="25">
        <f>$B$21*(1+$B$7)^(B118-1)</f>
        <v>-38836.199539034547</v>
      </c>
      <c r="C126" s="25">
        <f>$B$21*(1+$B$7)^(C118-1)</f>
        <v>-40001.285525205589</v>
      </c>
      <c r="D126" s="25">
        <f>$B$21*(1+$B$7)^(D118-1)</f>
        <v>-41201.324090961745</v>
      </c>
      <c r="E126" s="25">
        <f>$B$21*(1+$B$7)^(E118-1)</f>
        <v>-42437.363813690601</v>
      </c>
      <c r="F126" s="26">
        <f>$B$21*(1+$B$7)^(F118-1)</f>
        <v>-43710.484728101314</v>
      </c>
      <c r="G126" s="31"/>
      <c r="H126" s="31"/>
      <c r="I126" s="31"/>
      <c r="J126" s="31"/>
      <c r="K126" s="31"/>
    </row>
    <row r="127" spans="1:11" ht="13.15" customHeight="1">
      <c r="A127" s="24" t="s">
        <v>2123</v>
      </c>
      <c r="B127" s="25">
        <f>SUM(B119:B126)</f>
        <v>-43053.703877343774</v>
      </c>
      <c r="C127" s="25">
        <f>SUM(C119:C126)</f>
        <v>-48996.631964811924</v>
      </c>
      <c r="D127" s="25">
        <f>SUM(D119:D126)</f>
        <v>-55211.171234326757</v>
      </c>
      <c r="E127" s="25">
        <f>SUM(E119:E126)</f>
        <v>-61707.560688138641</v>
      </c>
      <c r="F127" s="26">
        <f>SUM(F119:F126)</f>
        <v>-68495.323711900419</v>
      </c>
      <c r="G127" s="31"/>
      <c r="H127" s="31"/>
      <c r="I127" s="31"/>
      <c r="J127" s="31"/>
      <c r="K127" s="31"/>
    </row>
    <row r="128" spans="1:11" ht="13.15"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A</v>
      </c>
      <c r="B130" s="1285">
        <v>0</v>
      </c>
      <c r="C130" s="1285">
        <v>0</v>
      </c>
      <c r="D130" s="1285">
        <v>0</v>
      </c>
      <c r="E130" s="1285">
        <v>0</v>
      </c>
      <c r="F130" s="1285">
        <v>0</v>
      </c>
      <c r="G130" s="31"/>
      <c r="H130" s="31"/>
      <c r="I130" s="31"/>
      <c r="J130" s="31"/>
      <c r="K130" s="31"/>
    </row>
    <row r="131" spans="1:12" ht="13.15" customHeight="1">
      <c r="A131" s="24" t="str">
        <f t="shared" si="55"/>
        <v>D/S Mortgage B</v>
      </c>
      <c r="B131" s="1285">
        <f>IF('Part III A-Sources of Funds'!$M$34="", 0,-'Part III A-Sources of Funds'!$M$34)</f>
        <v>0</v>
      </c>
      <c r="C131" s="1285">
        <f>IF('Part III A-Sources of Funds'!$M$34="", 0,-'Part III A-Sources of Funds'!$M$34)</f>
        <v>0</v>
      </c>
      <c r="D131" s="1285">
        <f>IF('Part III A-Sources of Funds'!$M$34="", 0,-'Part III A-Sources of Funds'!$M$34)</f>
        <v>0</v>
      </c>
      <c r="E131" s="1285">
        <f>IF('Part III A-Sources of Funds'!$M$34="", 0,-'Part III A-Sources of Funds'!$M$34)</f>
        <v>0</v>
      </c>
      <c r="F131" s="1285">
        <f>IF('Part III A-Sources of Funds'!$M$34="", 0,-'Part III A-Sources of Funds'!$M$34)</f>
        <v>0</v>
      </c>
      <c r="G131" s="31"/>
      <c r="H131" s="31"/>
      <c r="I131" s="31"/>
      <c r="J131" s="31"/>
      <c r="K131" s="31"/>
    </row>
    <row r="132" spans="1:12" ht="13.15" customHeight="1">
      <c r="A132" s="24" t="str">
        <f t="shared" si="55"/>
        <v>D/S Other Source</v>
      </c>
      <c r="B132" s="1285">
        <f>IF('Part III A-Sources of Funds'!$M$35="", 0,-'Part III A-Sources of Funds'!$M$35)</f>
        <v>0</v>
      </c>
      <c r="C132" s="1285">
        <f>IF('Part III A-Sources of Funds'!$M$35="", 0,-'Part III A-Sources of Funds'!$M$35)</f>
        <v>0</v>
      </c>
      <c r="D132" s="1285">
        <f>IF('Part III A-Sources of Funds'!$M$35="", 0,-'Part III A-Sources of Funds'!$M$35)</f>
        <v>0</v>
      </c>
      <c r="E132" s="1285">
        <f>IF('Part III A-Sources of Funds'!$M$35="", 0,-'Part III A-Sources of Funds'!$M$35)</f>
        <v>0</v>
      </c>
      <c r="F132" s="1285">
        <f>IF('Part III A-Sources of Funds'!$M$35="", 0,-'Part III A-Sources of Funds'!$M$35)</f>
        <v>0</v>
      </c>
      <c r="G132" s="31"/>
      <c r="H132" s="31"/>
      <c r="I132" s="31"/>
      <c r="J132" s="31"/>
      <c r="K132" s="31"/>
    </row>
    <row r="133" spans="1:12" ht="13.15" customHeight="1">
      <c r="A133" s="24" t="str">
        <f t="shared" si="55"/>
        <v>D/S Grant from fdn / charity</v>
      </c>
      <c r="B133" s="1285">
        <f>IF('Part III A-Sources of Funds'!$M$36="", 0,-'Part III A-Sources of Funds'!$M$36)</f>
        <v>0</v>
      </c>
      <c r="C133" s="1285">
        <f>IF('Part III A-Sources of Funds'!$M$36="", 0,-'Part III A-Sources of Funds'!$M$36)</f>
        <v>0</v>
      </c>
      <c r="D133" s="1285">
        <f>IF('Part III A-Sources of Funds'!$M$36="", 0,-'Part III A-Sources of Funds'!$M$36)</f>
        <v>0</v>
      </c>
      <c r="E133" s="1285">
        <f>IF('Part III A-Sources of Funds'!$M$36="", 0,-'Part III A-Sources of Funds'!$M$36)</f>
        <v>0</v>
      </c>
      <c r="F133" s="1285">
        <f>IF('Part III A-Sources of Funds'!$M$36="", 0,-'Part III A-Sources of Funds'!$M$36)</f>
        <v>0</v>
      </c>
      <c r="G133" s="31"/>
      <c r="H133" s="31"/>
      <c r="I133" s="31"/>
      <c r="J133" s="31"/>
      <c r="K133" s="31"/>
    </row>
    <row r="134" spans="1:12" ht="13.15" customHeight="1">
      <c r="A134" s="24" t="s">
        <v>1336</v>
      </c>
      <c r="B134" s="1286"/>
      <c r="C134" s="1286"/>
      <c r="D134" s="1286"/>
      <c r="E134" s="1286"/>
      <c r="F134" s="1286"/>
      <c r="G134" s="31"/>
      <c r="H134" s="31"/>
      <c r="I134" s="31"/>
      <c r="J134" s="31"/>
      <c r="K134" s="31"/>
    </row>
    <row r="135" spans="1:12" ht="13.15" customHeight="1">
      <c r="A135" s="24" t="s">
        <v>2033</v>
      </c>
      <c r="B135" s="1285">
        <f>+K100</f>
        <v>0</v>
      </c>
      <c r="C135" s="1285">
        <f>+B135</f>
        <v>0</v>
      </c>
      <c r="D135" s="1285">
        <f>+C135</f>
        <v>0</v>
      </c>
      <c r="E135" s="1285">
        <f>+D135</f>
        <v>0</v>
      </c>
      <c r="F135" s="1285">
        <f>+E135</f>
        <v>0</v>
      </c>
      <c r="G135" s="31"/>
      <c r="H135" s="31"/>
      <c r="I135" s="31"/>
      <c r="J135" s="31"/>
      <c r="K135" s="31"/>
    </row>
    <row r="136" spans="1:12" ht="13.15" customHeight="1">
      <c r="A136" s="24" t="s">
        <v>2124</v>
      </c>
      <c r="B136" s="1285">
        <v>0</v>
      </c>
      <c r="C136" s="1285">
        <v>0</v>
      </c>
      <c r="D136" s="1285">
        <v>0</v>
      </c>
      <c r="E136" s="1285">
        <v>0</v>
      </c>
      <c r="F136" s="1285">
        <v>0</v>
      </c>
      <c r="G136" s="31"/>
      <c r="H136" s="31"/>
      <c r="I136" s="31"/>
      <c r="J136" s="31"/>
      <c r="K136" s="31"/>
    </row>
    <row r="137" spans="1:12" ht="13.15" customHeight="1">
      <c r="A137" s="24" t="s">
        <v>2034</v>
      </c>
      <c r="B137" s="1287">
        <f>+K102</f>
        <v>0</v>
      </c>
      <c r="C137" s="1287">
        <f>+B137</f>
        <v>0</v>
      </c>
      <c r="D137" s="1287">
        <f>+C137</f>
        <v>0</v>
      </c>
      <c r="E137" s="1287">
        <f>+D137</f>
        <v>0</v>
      </c>
      <c r="F137" s="1287">
        <f>+E137</f>
        <v>0</v>
      </c>
      <c r="G137" s="31"/>
      <c r="H137" s="31"/>
      <c r="I137" s="31"/>
      <c r="J137" s="31"/>
      <c r="K137" s="31"/>
    </row>
    <row r="138" spans="1:12" ht="13.15" customHeight="1">
      <c r="A138" s="24" t="s">
        <v>2035</v>
      </c>
      <c r="B138" s="25">
        <f>SUM(B127:B137)</f>
        <v>-43053.703877343774</v>
      </c>
      <c r="C138" s="25">
        <f>SUM(C127:C137)</f>
        <v>-48996.631964811924</v>
      </c>
      <c r="D138" s="25">
        <f>SUM(D127:D137)</f>
        <v>-55211.171234326757</v>
      </c>
      <c r="E138" s="25">
        <f>SUM(E127:E137)</f>
        <v>-61707.560688138641</v>
      </c>
      <c r="F138" s="26">
        <f>SUM(F127:F137)</f>
        <v>-68495.323711900419</v>
      </c>
      <c r="G138" s="31"/>
      <c r="H138" s="31"/>
      <c r="I138" s="31"/>
      <c r="J138" s="31"/>
      <c r="K138" s="31"/>
    </row>
    <row r="139" spans="1:12" ht="13.15" customHeight="1">
      <c r="A139" s="24" t="str">
        <f t="shared" ref="A139:A144" si="56">$A104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First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6"/>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1544</v>
      </c>
      <c r="B145" s="379">
        <f>IF(OR(B125="Choose mgt fee",B125="Choose One!"),"",(B119+B120+B121+B122+B123) / -(B124+B125+B126))</f>
        <v>0.91528536872329935</v>
      </c>
      <c r="C145" s="379">
        <f>IF(OR(C125="Choose mgt fee",C125="Choose One!"),"",(C119+C120+C121+C122+C123) / -(C124+C125+C126))</f>
        <v>0.90639970904362188</v>
      </c>
      <c r="D145" s="379">
        <f>IF(OR(D125="Choose mgt fee",D125="Choose One!"),"",(D119+D120+D121+D122+D123) / -(D124+D125+D126))</f>
        <v>0.8975998117551609</v>
      </c>
      <c r="E145" s="379">
        <f>IF(OR(E125="Choose mgt fee",E125="Choose One!"),"",(E119+E120+E121+E122+E123) / -(E124+E125+E126))</f>
        <v>0.88888451420151426</v>
      </c>
      <c r="F145" s="380">
        <f>IF(OR(F125="Choose mgt fee",F125="Choose One!"),"",(F119+F120+F121+F122+F123) / -(F124+F125+F126))</f>
        <v>0.88025433662841623</v>
      </c>
      <c r="G145" s="31"/>
      <c r="H145" s="31"/>
      <c r="I145" s="31"/>
      <c r="J145" s="31"/>
      <c r="K145" s="31"/>
    </row>
    <row r="146" spans="1:14" ht="13.15" customHeight="1">
      <c r="A146" s="24" t="str">
        <f>IF('Part III A-Sources of Funds'!$E$32 = "Neither", "", "First Mortgage Balance")</f>
        <v/>
      </c>
      <c r="B146" s="1288">
        <f>IF('Part III A-Sources of Funds'!$H$32="","",-FV('Part III A-Sources of Funds'!$J$32/12,12,B128/12,K111))</f>
        <v>0</v>
      </c>
      <c r="C146" s="1288">
        <f>IF('Part III A-Sources of Funds'!$H$32="","",-FV('Part III A-Sources of Funds'!$J$32/12,12,C128/12,B146))</f>
        <v>0</v>
      </c>
      <c r="D146" s="1288">
        <f>IF('Part III A-Sources of Funds'!$H$32="","",-FV('Part III A-Sources of Funds'!$J$32/12,12,D128/12,C146))</f>
        <v>0</v>
      </c>
      <c r="E146" s="1288">
        <f>IF('Part III A-Sources of Funds'!$H$32="","",-FV('Part III A-Sources of Funds'!$J$32/12,12,E128/12,D146))</f>
        <v>0</v>
      </c>
      <c r="F146" s="1288">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5">
        <f>IF('Part III A-Sources of Funds'!$H$33="","",-FV('Part III A-Sources of Funds'!$J$33/12,12,B130/12,K112))</f>
        <v>0</v>
      </c>
      <c r="C147" s="1285">
        <f>IF('Part III A-Sources of Funds'!$H$33="","",-FV('Part III A-Sources of Funds'!$J$33/12,12,C130/12,B147))</f>
        <v>0</v>
      </c>
      <c r="D147" s="1285">
        <f>IF('Part III A-Sources of Funds'!$H$33="","",-FV('Part III A-Sources of Funds'!$J$33/12,12,D130/12,C147))</f>
        <v>0</v>
      </c>
      <c r="E147" s="1285">
        <f>IF('Part III A-Sources of Funds'!$H$33="","",-FV('Part III A-Sources of Funds'!$J$33/12,12,E130/12,D147))</f>
        <v>0</v>
      </c>
      <c r="F147" s="1285">
        <f>IF('Part III A-Sources of Funds'!$H$33="","",-FV('Part III A-Sources of Funds'!$J$33/12,12,F130/12,E147))</f>
        <v>0</v>
      </c>
      <c r="G147" s="31"/>
      <c r="H147" s="31"/>
      <c r="I147" s="31"/>
      <c r="J147" s="31"/>
      <c r="K147" s="31"/>
    </row>
    <row r="148" spans="1:14" ht="13.15" customHeight="1">
      <c r="A148" s="24" t="str">
        <f>IF('Part III A-Sources of Funds'!$E$32 = "Neither", "Second Mortgage Balance", "Third Mortgage Balance")</f>
        <v>Second Mortgage Balance</v>
      </c>
      <c r="B148" s="1285" t="str">
        <f>IF('Part III A-Sources of Funds'!$H$34="","",-FV('Part III A-Sources of Funds'!$J$34/12,12,B131/12,K113))</f>
        <v/>
      </c>
      <c r="C148" s="1285" t="str">
        <f>IF('Part III A-Sources of Funds'!$H$34="","",-FV('Part III A-Sources of Funds'!$J$34/12,12,C131/12,B148))</f>
        <v/>
      </c>
      <c r="D148" s="1285" t="str">
        <f>IF('Part III A-Sources of Funds'!$H$34="","",-FV('Part III A-Sources of Funds'!$J$34/12,12,D131/12,C148))</f>
        <v/>
      </c>
      <c r="E148" s="1285" t="str">
        <f>IF('Part III A-Sources of Funds'!$H$34="","",-FV('Part III A-Sources of Funds'!$J$34/12,12,E131/12,D148))</f>
        <v/>
      </c>
      <c r="F148" s="1285" t="str">
        <f>IF('Part III A-Sources of Funds'!$H$34="","",-FV('Part III A-Sources of Funds'!$J$34/12,12,F131/12,E148))</f>
        <v/>
      </c>
      <c r="G148" s="31"/>
      <c r="H148" s="31"/>
      <c r="I148" s="31"/>
      <c r="J148" s="31"/>
      <c r="K148" s="31"/>
    </row>
    <row r="149" spans="1:14" ht="13.15" customHeight="1">
      <c r="A149" s="24" t="s">
        <v>1357</v>
      </c>
      <c r="B149" s="1285" t="str">
        <f>IF('Part III A-Sources of Funds'!$H$35="","",-FV('Part III A-Sources of Funds'!$J$35/12,12,B132/12,K114))</f>
        <v/>
      </c>
      <c r="C149" s="1285" t="str">
        <f>IF('Part III A-Sources of Funds'!$H$35="","",-FV('Part III A-Sources of Funds'!$J$35/12,12,C132/12,B149))</f>
        <v/>
      </c>
      <c r="D149" s="1285" t="str">
        <f>IF('Part III A-Sources of Funds'!$H$35="","",-FV('Part III A-Sources of Funds'!$J$35/12,12,D132/12,C149))</f>
        <v/>
      </c>
      <c r="E149" s="1285" t="str">
        <f>IF('Part III A-Sources of Funds'!$H$35="","",-FV('Part III A-Sources of Funds'!$J$35/12,12,E132/12,D149))</f>
        <v/>
      </c>
      <c r="F149" s="1285" t="str">
        <f>IF('Part III A-Sources of Funds'!$H$35="","",-FV('Part III A-Sources of Funds'!$J$35/12,12,F132/12,E149))</f>
        <v/>
      </c>
      <c r="G149" s="31"/>
      <c r="H149" s="31"/>
      <c r="I149" s="31"/>
      <c r="J149" s="31"/>
      <c r="K149" s="31"/>
    </row>
    <row r="150" spans="1:14" ht="13.15" customHeight="1">
      <c r="A150" s="24" t="s">
        <v>1357</v>
      </c>
      <c r="B150" s="1285" t="str">
        <f>IF('Part III A-Sources of Funds'!$H$36="","",-FV('Part III A-Sources of Funds'!$J$36/12,12,B133/12,K115))</f>
        <v/>
      </c>
      <c r="C150" s="1285" t="str">
        <f>IF('Part III A-Sources of Funds'!$H$36="","",-FV('Part III A-Sources of Funds'!$J$36/12,12,C133/12,B150))</f>
        <v/>
      </c>
      <c r="D150" s="1285" t="str">
        <f>IF('Part III A-Sources of Funds'!$H$36="","",-FV('Part III A-Sources of Funds'!$J$36/12,12,D133/12,C150))</f>
        <v/>
      </c>
      <c r="E150" s="1285" t="str">
        <f>IF('Part III A-Sources of Funds'!$H$36="","",-FV('Part III A-Sources of Funds'!$J$36/12,12,E133/12,D150))</f>
        <v/>
      </c>
      <c r="F150" s="1285" t="str">
        <f>IF('Part III A-Sources of Funds'!$H$36="","",-FV('Part III A-Sources of Funds'!$J$36/12,12,F133/12,E150))</f>
        <v/>
      </c>
      <c r="G150" s="31"/>
      <c r="H150" s="31"/>
      <c r="I150" s="31"/>
      <c r="J150" s="31"/>
      <c r="K150" s="31"/>
    </row>
    <row r="151" spans="1:14" ht="13.15" customHeight="1">
      <c r="A151" s="29" t="s">
        <v>1880</v>
      </c>
      <c r="B151" s="1287">
        <f>IF('Part III A-Sources of Funds'!$H$37="","",-FV('Part III A-Sources of Funds'!$J$37/12,12,B136/12,K116))</f>
        <v>0</v>
      </c>
      <c r="C151" s="1287">
        <f>IF('Part III A-Sources of Funds'!$H$37="","",-FV('Part III A-Sources of Funds'!$J$37/12,12,C136/12,B151))</f>
        <v>0</v>
      </c>
      <c r="D151" s="1287">
        <f>IF('Part III A-Sources of Funds'!$H$37="","",-FV('Part III A-Sources of Funds'!$J$37/12,12,D136/12,C151))</f>
        <v>0</v>
      </c>
      <c r="E151" s="1287">
        <f>IF('Part III A-Sources of Funds'!$H$37="","",-FV('Part III A-Sources of Funds'!$J$37/12,12,E136/12,D151))</f>
        <v>0</v>
      </c>
      <c r="F151" s="1287">
        <f>IF('Part III A-Sources of Funds'!$H$37="","",-FV('Part III A-Sources of Funds'!$J$37/12,12,F136/12,E151))</f>
        <v>0</v>
      </c>
      <c r="G151" s="31"/>
      <c r="H151" s="31"/>
      <c r="I151" s="31"/>
      <c r="J151" s="31"/>
      <c r="K151" s="31"/>
    </row>
    <row r="152" spans="1:14" ht="4.1500000000000004" customHeight="1"/>
    <row r="153" spans="1:14" ht="12" customHeight="1">
      <c r="A153" s="16" t="s">
        <v>940</v>
      </c>
      <c r="B153" s="16"/>
      <c r="G153" s="16" t="s">
        <v>1673</v>
      </c>
    </row>
    <row r="154" spans="1:14" ht="12" customHeight="1">
      <c r="B154" s="37"/>
    </row>
    <row r="155" spans="1:14" ht="73.900000000000006" customHeight="1">
      <c r="A155" s="1290" t="s">
        <v>18</v>
      </c>
      <c r="B155" s="1291"/>
      <c r="C155" s="1291"/>
      <c r="D155" s="1291"/>
      <c r="E155" s="1291"/>
      <c r="F155" s="1292"/>
      <c r="G155" s="1293"/>
      <c r="H155" s="1291"/>
      <c r="I155" s="1291"/>
      <c r="J155" s="1291"/>
      <c r="K155" s="1292"/>
    </row>
    <row r="156" spans="1:14" s="2" customFormat="1" ht="73.900000000000006" customHeight="1">
      <c r="A156" s="1294"/>
      <c r="B156" s="1295"/>
      <c r="C156" s="1295"/>
      <c r="D156" s="1295"/>
      <c r="E156" s="1295"/>
      <c r="F156" s="1296"/>
      <c r="G156" s="1297"/>
      <c r="H156" s="1295"/>
      <c r="I156" s="1295"/>
      <c r="J156" s="1295"/>
      <c r="K156" s="1296"/>
      <c r="L156" s="9"/>
      <c r="M156" s="9"/>
      <c r="N156" s="9"/>
    </row>
    <row r="157" spans="1:14" s="2" customFormat="1" ht="73.900000000000006" customHeight="1">
      <c r="A157" s="1294"/>
      <c r="B157" s="1295"/>
      <c r="C157" s="1295"/>
      <c r="D157" s="1295"/>
      <c r="E157" s="1295"/>
      <c r="F157" s="1296"/>
      <c r="G157" s="1297"/>
      <c r="H157" s="1295"/>
      <c r="I157" s="1295"/>
      <c r="J157" s="1295"/>
      <c r="K157" s="1296"/>
      <c r="L157" s="9"/>
      <c r="M157" s="9"/>
      <c r="N157" s="9"/>
    </row>
    <row r="158" spans="1:14" s="2" customFormat="1" ht="73.900000000000006" customHeight="1">
      <c r="A158" s="1298"/>
      <c r="B158" s="1299"/>
      <c r="C158" s="1299"/>
      <c r="D158" s="1299"/>
      <c r="E158" s="1299"/>
      <c r="F158" s="1300"/>
      <c r="G158" s="1301"/>
      <c r="H158" s="1299"/>
      <c r="I158" s="1299"/>
      <c r="J158" s="1299"/>
      <c r="K158" s="130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mergeCells count="9">
    <mergeCell ref="A158:F158"/>
    <mergeCell ref="G158:K158"/>
    <mergeCell ref="A157:F157"/>
    <mergeCell ref="G157:K157"/>
    <mergeCell ref="A1:K1"/>
    <mergeCell ref="A155:F155"/>
    <mergeCell ref="G155:K155"/>
    <mergeCell ref="A156:F156"/>
    <mergeCell ref="G156:K156"/>
  </mergeCells>
  <phoneticPr fontId="5" type="noConversion"/>
  <dataValidations disablePrompts="1" xWindow="180" yWindow="250"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paperSize="0" scale="82" fitToHeight="0" orientation="landscape" horizontalDpi="4294967292" verticalDpi="4294967292"/>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sheetPr codeName="Sheet12" enableFormatConditionsCalculation="0">
    <pageSetUpPr fitToPage="1"/>
  </sheetPr>
  <dimension ref="A1:IV730"/>
  <sheetViews>
    <sheetView showGridLines="0" showZeros="0" zoomScaleNormal="90" zoomScaleSheetLayoutView="40" zoomScalePageLayoutView="90" workbookViewId="0">
      <pane ySplit="1350" topLeftCell="A178" activePane="bottomLeft"/>
      <selection activeCell="E14" sqref="E14"/>
      <selection pane="bottomLeft" activeCell="A14" sqref="A14:Q14"/>
    </sheetView>
  </sheetViews>
  <sheetFormatPr defaultColWidth="9.140625" defaultRowHeight="12.75"/>
  <cols>
    <col min="1" max="1" width="3" style="45" customWidth="1"/>
    <col min="2" max="2" width="2.42578125" style="45" customWidth="1"/>
    <col min="3" max="3" width="2.28515625" style="45" customWidth="1"/>
    <col min="4" max="10" width="8.7109375" style="45" customWidth="1"/>
    <col min="11" max="11" width="7.42578125" style="45" customWidth="1"/>
    <col min="12" max="15" width="9.140625" style="45" customWidth="1"/>
    <col min="16" max="16" width="8.7109375" style="45" customWidth="1"/>
    <col min="17" max="17" width="9" style="45" customWidth="1"/>
    <col min="18" max="16384" width="9.140625" style="45"/>
  </cols>
  <sheetData>
    <row r="1" spans="1:20" ht="13.9" customHeight="1">
      <c r="A1" s="887" t="str">
        <f>CONCATENATE("PART EIGHT - THRESHOLD CRITERIA","  -  ",'Part I-Project Information'!$O$4," ",'Part I-Project Information'!$F$22,", ",'Part I-Project Information'!F24,", ",'Part I-Project Information'!J25," County")</f>
        <v>PART EIGHT - THRESHOLD CRITERIA  -  2011-028 Endeavor Pointe, LaFayette, Walker County</v>
      </c>
      <c r="B1" s="888"/>
      <c r="C1" s="888"/>
      <c r="D1" s="888"/>
      <c r="E1" s="888"/>
      <c r="F1" s="888"/>
      <c r="G1" s="888"/>
      <c r="H1" s="888"/>
      <c r="I1" s="888"/>
      <c r="J1" s="888"/>
      <c r="K1" s="888"/>
      <c r="L1" s="888"/>
      <c r="M1" s="888"/>
      <c r="N1" s="888"/>
      <c r="O1" s="888"/>
      <c r="P1" s="888"/>
      <c r="Q1" s="888"/>
    </row>
    <row r="2" spans="1:20" s="31" customFormat="1" ht="3" customHeight="1">
      <c r="S2" s="45"/>
      <c r="T2" s="45"/>
    </row>
    <row r="3" spans="1:20" ht="16.899999999999999" customHeight="1">
      <c r="A3" s="1025"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25"/>
      <c r="C3" s="1025"/>
      <c r="D3" s="1025"/>
      <c r="E3" s="1025"/>
      <c r="F3" s="1025"/>
      <c r="G3" s="1025"/>
      <c r="H3" s="1025"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25"/>
      <c r="J3" s="1025"/>
      <c r="K3" s="1025"/>
      <c r="L3" s="1025"/>
      <c r="M3" s="1025"/>
      <c r="N3" s="1026"/>
      <c r="O3" s="1027" t="s">
        <v>1609</v>
      </c>
      <c r="P3" s="1028"/>
      <c r="Q3" s="302" t="s">
        <v>3029</v>
      </c>
    </row>
    <row r="4" spans="1:20" ht="3" customHeight="1">
      <c r="A4" s="738"/>
      <c r="B4" s="1016"/>
      <c r="C4" s="1016"/>
      <c r="D4" s="1016"/>
      <c r="E4" s="738"/>
      <c r="F4" s="738"/>
      <c r="G4" s="738"/>
      <c r="H4" s="738"/>
      <c r="I4" s="738"/>
      <c r="J4" s="738"/>
      <c r="K4" s="738"/>
      <c r="L4" s="738"/>
      <c r="M4" s="738"/>
      <c r="N4" s="738"/>
      <c r="P4" s="738"/>
      <c r="Q4" s="738"/>
    </row>
    <row r="5" spans="1:20" ht="10.9" hidden="1" customHeight="1">
      <c r="A5" s="738"/>
      <c r="B5" s="738"/>
      <c r="C5" s="738"/>
      <c r="D5" s="738"/>
      <c r="E5" s="738"/>
      <c r="F5" s="738"/>
      <c r="G5" s="738"/>
      <c r="H5" s="738"/>
      <c r="I5" s="738"/>
      <c r="J5" s="738"/>
      <c r="K5" s="738"/>
      <c r="L5" s="738"/>
      <c r="M5" s="738"/>
      <c r="N5" s="738"/>
      <c r="P5" s="738"/>
      <c r="Q5" s="738"/>
    </row>
    <row r="6" spans="1:20" ht="15" customHeight="1">
      <c r="A6" s="173" t="s">
        <v>1000</v>
      </c>
      <c r="P6" s="1020"/>
      <c r="Q6" s="1021"/>
    </row>
    <row r="7" spans="1:20" ht="12.4" customHeight="1">
      <c r="A7" s="174" t="s">
        <v>402</v>
      </c>
      <c r="C7" s="175"/>
      <c r="D7" s="175"/>
    </row>
    <row r="8" spans="1:20" ht="24.4" customHeight="1">
      <c r="A8" s="1022" t="s">
        <v>2149</v>
      </c>
      <c r="B8" s="1023"/>
      <c r="C8" s="1023"/>
      <c r="D8" s="1023"/>
      <c r="E8" s="1023"/>
      <c r="F8" s="1023"/>
      <c r="G8" s="1023"/>
      <c r="H8" s="1023"/>
      <c r="I8" s="1023"/>
      <c r="J8" s="1023"/>
      <c r="K8" s="1023"/>
      <c r="L8" s="1023"/>
      <c r="M8" s="1023"/>
      <c r="N8" s="1023"/>
      <c r="O8" s="1023"/>
      <c r="P8" s="1023"/>
      <c r="Q8" s="1024"/>
      <c r="R8" s="1029" t="s">
        <v>3069</v>
      </c>
      <c r="S8" s="1029"/>
    </row>
    <row r="9" spans="1:20" ht="24.4" customHeight="1">
      <c r="A9" s="1017" t="s">
        <v>430</v>
      </c>
      <c r="B9" s="1018"/>
      <c r="C9" s="1018"/>
      <c r="D9" s="1018"/>
      <c r="E9" s="1018"/>
      <c r="F9" s="1018"/>
      <c r="G9" s="1018"/>
      <c r="H9" s="1018"/>
      <c r="I9" s="1018"/>
      <c r="J9" s="1018"/>
      <c r="K9" s="1018"/>
      <c r="L9" s="1018"/>
      <c r="M9" s="1018"/>
      <c r="N9" s="1018"/>
      <c r="O9" s="1018"/>
      <c r="P9" s="1018"/>
      <c r="Q9" s="1019"/>
      <c r="R9" s="1029"/>
      <c r="S9" s="1029"/>
    </row>
    <row r="10" spans="1:20" ht="24.4" customHeight="1">
      <c r="A10" s="1017" t="s">
        <v>2145</v>
      </c>
      <c r="B10" s="1018"/>
      <c r="C10" s="1018"/>
      <c r="D10" s="1018"/>
      <c r="E10" s="1018"/>
      <c r="F10" s="1018"/>
      <c r="G10" s="1018"/>
      <c r="H10" s="1018"/>
      <c r="I10" s="1018"/>
      <c r="J10" s="1018"/>
      <c r="K10" s="1018"/>
      <c r="L10" s="1018"/>
      <c r="M10" s="1018"/>
      <c r="N10" s="1018"/>
      <c r="O10" s="1018"/>
      <c r="P10" s="1018"/>
      <c r="Q10" s="1019"/>
      <c r="R10" s="1029"/>
      <c r="S10" s="1029"/>
    </row>
    <row r="11" spans="1:20" ht="24.4" customHeight="1">
      <c r="A11" s="1017" t="s">
        <v>2146</v>
      </c>
      <c r="B11" s="1018"/>
      <c r="C11" s="1018"/>
      <c r="D11" s="1018"/>
      <c r="E11" s="1018"/>
      <c r="F11" s="1018"/>
      <c r="G11" s="1018"/>
      <c r="H11" s="1018"/>
      <c r="I11" s="1018"/>
      <c r="J11" s="1018"/>
      <c r="K11" s="1018"/>
      <c r="L11" s="1018"/>
      <c r="M11" s="1018"/>
      <c r="N11" s="1018"/>
      <c r="O11" s="1018"/>
      <c r="P11" s="1018"/>
      <c r="Q11" s="1019"/>
      <c r="R11" s="1029"/>
      <c r="S11" s="1029"/>
    </row>
    <row r="12" spans="1:20" ht="24.4" customHeight="1">
      <c r="A12" s="1017" t="s">
        <v>2147</v>
      </c>
      <c r="B12" s="1018"/>
      <c r="C12" s="1018"/>
      <c r="D12" s="1018"/>
      <c r="E12" s="1018"/>
      <c r="F12" s="1018"/>
      <c r="G12" s="1018"/>
      <c r="H12" s="1018"/>
      <c r="I12" s="1018"/>
      <c r="J12" s="1018"/>
      <c r="K12" s="1018"/>
      <c r="L12" s="1018"/>
      <c r="M12" s="1018"/>
      <c r="N12" s="1018"/>
      <c r="O12" s="1018"/>
      <c r="P12" s="1018"/>
      <c r="Q12" s="1019"/>
      <c r="R12" s="741"/>
      <c r="S12" s="741"/>
    </row>
    <row r="13" spans="1:20" ht="24.4" customHeight="1">
      <c r="A13" s="1017" t="s">
        <v>2148</v>
      </c>
      <c r="B13" s="1018"/>
      <c r="C13" s="1018"/>
      <c r="D13" s="1018"/>
      <c r="E13" s="1018"/>
      <c r="F13" s="1018"/>
      <c r="G13" s="1018"/>
      <c r="H13" s="1018"/>
      <c r="I13" s="1018"/>
      <c r="J13" s="1018"/>
      <c r="K13" s="1018"/>
      <c r="L13" s="1018"/>
      <c r="M13" s="1018"/>
      <c r="N13" s="1018"/>
      <c r="O13" s="1018"/>
      <c r="P13" s="1018"/>
      <c r="Q13" s="1019"/>
      <c r="R13" s="741"/>
      <c r="S13" s="741"/>
    </row>
    <row r="14" spans="1:20" ht="24.4" customHeight="1">
      <c r="A14" s="1017" t="s">
        <v>2150</v>
      </c>
      <c r="B14" s="1018"/>
      <c r="C14" s="1018"/>
      <c r="D14" s="1018"/>
      <c r="E14" s="1018"/>
      <c r="F14" s="1018"/>
      <c r="G14" s="1018"/>
      <c r="H14" s="1018"/>
      <c r="I14" s="1018"/>
      <c r="J14" s="1018"/>
      <c r="K14" s="1018"/>
      <c r="L14" s="1018"/>
      <c r="M14" s="1018"/>
      <c r="N14" s="1018"/>
      <c r="O14" s="1018"/>
      <c r="P14" s="1018"/>
      <c r="Q14" s="1019"/>
    </row>
    <row r="15" spans="1:20" ht="24.4" customHeight="1">
      <c r="A15" s="1017" t="s">
        <v>3212</v>
      </c>
      <c r="B15" s="1018"/>
      <c r="C15" s="1018"/>
      <c r="D15" s="1018"/>
      <c r="E15" s="1018"/>
      <c r="F15" s="1018"/>
      <c r="G15" s="1018"/>
      <c r="H15" s="1018"/>
      <c r="I15" s="1018"/>
      <c r="J15" s="1018"/>
      <c r="K15" s="1018"/>
      <c r="L15" s="1018"/>
      <c r="M15" s="1018"/>
      <c r="N15" s="1018"/>
      <c r="O15" s="1018"/>
      <c r="P15" s="1018"/>
      <c r="Q15" s="1019"/>
      <c r="R15" s="1029" t="s">
        <v>3069</v>
      </c>
      <c r="S15" s="1029"/>
    </row>
    <row r="16" spans="1:20" ht="24.4" customHeight="1">
      <c r="A16" s="1017" t="s">
        <v>3213</v>
      </c>
      <c r="B16" s="1018"/>
      <c r="C16" s="1018"/>
      <c r="D16" s="1018"/>
      <c r="E16" s="1018"/>
      <c r="F16" s="1018"/>
      <c r="G16" s="1018"/>
      <c r="H16" s="1018"/>
      <c r="I16" s="1018"/>
      <c r="J16" s="1018"/>
      <c r="K16" s="1018"/>
      <c r="L16" s="1018"/>
      <c r="M16" s="1018"/>
      <c r="N16" s="1018"/>
      <c r="O16" s="1018"/>
      <c r="P16" s="1018"/>
      <c r="Q16" s="1019"/>
      <c r="R16" s="1029"/>
      <c r="S16" s="1029"/>
    </row>
    <row r="17" spans="1:19" ht="24.4" customHeight="1">
      <c r="A17" s="1017" t="s">
        <v>3034</v>
      </c>
      <c r="B17" s="1018"/>
      <c r="C17" s="1018"/>
      <c r="D17" s="1018"/>
      <c r="E17" s="1018"/>
      <c r="F17" s="1018"/>
      <c r="G17" s="1018"/>
      <c r="H17" s="1018"/>
      <c r="I17" s="1018"/>
      <c r="J17" s="1018"/>
      <c r="K17" s="1018"/>
      <c r="L17" s="1018"/>
      <c r="M17" s="1018"/>
      <c r="N17" s="1018"/>
      <c r="O17" s="1018"/>
      <c r="P17" s="1018"/>
      <c r="Q17" s="1019"/>
      <c r="R17" s="1029"/>
      <c r="S17" s="1029"/>
    </row>
    <row r="18" spans="1:19" ht="24.4" customHeight="1">
      <c r="A18" s="1017" t="s">
        <v>3035</v>
      </c>
      <c r="B18" s="1018"/>
      <c r="C18" s="1018"/>
      <c r="D18" s="1018"/>
      <c r="E18" s="1018"/>
      <c r="F18" s="1018"/>
      <c r="G18" s="1018"/>
      <c r="H18" s="1018"/>
      <c r="I18" s="1018"/>
      <c r="J18" s="1018"/>
      <c r="K18" s="1018"/>
      <c r="L18" s="1018"/>
      <c r="M18" s="1018"/>
      <c r="N18" s="1018"/>
      <c r="O18" s="1018"/>
      <c r="P18" s="1018"/>
      <c r="Q18" s="1019"/>
      <c r="R18" s="1029"/>
      <c r="S18" s="1029"/>
    </row>
    <row r="19" spans="1:19" ht="24.4" customHeight="1">
      <c r="A19" s="1017" t="s">
        <v>3036</v>
      </c>
      <c r="B19" s="1018"/>
      <c r="C19" s="1018"/>
      <c r="D19" s="1018"/>
      <c r="E19" s="1018"/>
      <c r="F19" s="1018"/>
      <c r="G19" s="1018"/>
      <c r="H19" s="1018"/>
      <c r="I19" s="1018"/>
      <c r="J19" s="1018"/>
      <c r="K19" s="1018"/>
      <c r="L19" s="1018"/>
      <c r="M19" s="1018"/>
      <c r="N19" s="1018"/>
      <c r="O19" s="1018"/>
      <c r="P19" s="1018"/>
      <c r="Q19" s="1019"/>
      <c r="R19" s="741"/>
      <c r="S19" s="741"/>
    </row>
    <row r="20" spans="1:19" ht="24.4" customHeight="1">
      <c r="A20" s="1017" t="s">
        <v>3037</v>
      </c>
      <c r="B20" s="1018"/>
      <c r="C20" s="1018"/>
      <c r="D20" s="1018"/>
      <c r="E20" s="1018"/>
      <c r="F20" s="1018"/>
      <c r="G20" s="1018"/>
      <c r="H20" s="1018"/>
      <c r="I20" s="1018"/>
      <c r="J20" s="1018"/>
      <c r="K20" s="1018"/>
      <c r="L20" s="1018"/>
      <c r="M20" s="1018"/>
      <c r="N20" s="1018"/>
      <c r="O20" s="1018"/>
      <c r="P20" s="1018"/>
      <c r="Q20" s="1019"/>
      <c r="R20" s="741"/>
      <c r="S20" s="741"/>
    </row>
    <row r="21" spans="1:19" ht="24.4" customHeight="1">
      <c r="A21" s="1017" t="s">
        <v>3038</v>
      </c>
      <c r="B21" s="1018"/>
      <c r="C21" s="1018"/>
      <c r="D21" s="1018"/>
      <c r="E21" s="1018"/>
      <c r="F21" s="1018"/>
      <c r="G21" s="1018"/>
      <c r="H21" s="1018"/>
      <c r="I21" s="1018"/>
      <c r="J21" s="1018"/>
      <c r="K21" s="1018"/>
      <c r="L21" s="1018"/>
      <c r="M21" s="1018"/>
      <c r="N21" s="1018"/>
      <c r="O21" s="1018"/>
      <c r="P21" s="1018"/>
      <c r="Q21" s="1019"/>
    </row>
    <row r="22" spans="1:19" ht="24.4" customHeight="1">
      <c r="A22" s="1017" t="s">
        <v>3214</v>
      </c>
      <c r="B22" s="1018"/>
      <c r="C22" s="1018"/>
      <c r="D22" s="1018"/>
      <c r="E22" s="1018"/>
      <c r="F22" s="1018"/>
      <c r="G22" s="1018"/>
      <c r="H22" s="1018"/>
      <c r="I22" s="1018"/>
      <c r="J22" s="1018"/>
      <c r="K22" s="1018"/>
      <c r="L22" s="1018"/>
      <c r="M22" s="1018"/>
      <c r="N22" s="1018"/>
      <c r="O22" s="1018"/>
      <c r="P22" s="1018"/>
      <c r="Q22" s="1019"/>
      <c r="R22" s="1029" t="s">
        <v>3069</v>
      </c>
      <c r="S22" s="1029"/>
    </row>
    <row r="23" spans="1:19" ht="24.4" customHeight="1">
      <c r="A23" s="1017" t="s">
        <v>3215</v>
      </c>
      <c r="B23" s="1018"/>
      <c r="C23" s="1018"/>
      <c r="D23" s="1018"/>
      <c r="E23" s="1018"/>
      <c r="F23" s="1018"/>
      <c r="G23" s="1018"/>
      <c r="H23" s="1018"/>
      <c r="I23" s="1018"/>
      <c r="J23" s="1018"/>
      <c r="K23" s="1018"/>
      <c r="L23" s="1018"/>
      <c r="M23" s="1018"/>
      <c r="N23" s="1018"/>
      <c r="O23" s="1018"/>
      <c r="P23" s="1018"/>
      <c r="Q23" s="1019"/>
      <c r="R23" s="1029"/>
      <c r="S23" s="1029"/>
    </row>
    <row r="24" spans="1:19" ht="24.4" customHeight="1">
      <c r="A24" s="1017" t="s">
        <v>3216</v>
      </c>
      <c r="B24" s="1018"/>
      <c r="C24" s="1018"/>
      <c r="D24" s="1018"/>
      <c r="E24" s="1018"/>
      <c r="F24" s="1018"/>
      <c r="G24" s="1018"/>
      <c r="H24" s="1018"/>
      <c r="I24" s="1018"/>
      <c r="J24" s="1018"/>
      <c r="K24" s="1018"/>
      <c r="L24" s="1018"/>
      <c r="M24" s="1018"/>
      <c r="N24" s="1018"/>
      <c r="O24" s="1018"/>
      <c r="P24" s="1018"/>
      <c r="Q24" s="1019"/>
      <c r="R24" s="1029"/>
      <c r="S24" s="1029"/>
    </row>
    <row r="25" spans="1:19" ht="24.4" customHeight="1">
      <c r="A25" s="1017" t="s">
        <v>3217</v>
      </c>
      <c r="B25" s="1018"/>
      <c r="C25" s="1018"/>
      <c r="D25" s="1018"/>
      <c r="E25" s="1018"/>
      <c r="F25" s="1018"/>
      <c r="G25" s="1018"/>
      <c r="H25" s="1018"/>
      <c r="I25" s="1018"/>
      <c r="J25" s="1018"/>
      <c r="K25" s="1018"/>
      <c r="L25" s="1018"/>
      <c r="M25" s="1018"/>
      <c r="N25" s="1018"/>
      <c r="O25" s="1018"/>
      <c r="P25" s="1018"/>
      <c r="Q25" s="1019"/>
      <c r="R25" s="1029"/>
      <c r="S25" s="1029"/>
    </row>
    <row r="26" spans="1:19" ht="24.4" customHeight="1">
      <c r="A26" s="1017" t="s">
        <v>3218</v>
      </c>
      <c r="B26" s="1018"/>
      <c r="C26" s="1018"/>
      <c r="D26" s="1018"/>
      <c r="E26" s="1018"/>
      <c r="F26" s="1018"/>
      <c r="G26" s="1018"/>
      <c r="H26" s="1018"/>
      <c r="I26" s="1018"/>
      <c r="J26" s="1018"/>
      <c r="K26" s="1018"/>
      <c r="L26" s="1018"/>
      <c r="M26" s="1018"/>
      <c r="N26" s="1018"/>
      <c r="O26" s="1018"/>
      <c r="P26" s="1018"/>
      <c r="Q26" s="1019"/>
      <c r="R26" s="741"/>
      <c r="S26" s="741"/>
    </row>
    <row r="27" spans="1:19" ht="24.4" customHeight="1">
      <c r="A27" s="1042" t="s">
        <v>3219</v>
      </c>
      <c r="B27" s="1043"/>
      <c r="C27" s="1043"/>
      <c r="D27" s="1043"/>
      <c r="E27" s="1043"/>
      <c r="F27" s="1043"/>
      <c r="G27" s="1043"/>
      <c r="H27" s="1043"/>
      <c r="I27" s="1043"/>
      <c r="J27" s="1043"/>
      <c r="K27" s="1043"/>
      <c r="L27" s="1043"/>
      <c r="M27" s="1043"/>
      <c r="N27" s="1043"/>
      <c r="O27" s="1043"/>
      <c r="P27" s="1043"/>
      <c r="Q27" s="1044"/>
      <c r="R27" s="741"/>
      <c r="S27" s="741"/>
    </row>
    <row r="28" spans="1:19" ht="6" customHeight="1"/>
    <row r="29" spans="1:19" ht="13.9" customHeight="1">
      <c r="A29" s="176">
        <v>1</v>
      </c>
      <c r="B29" s="177" t="s">
        <v>235</v>
      </c>
      <c r="C29" s="178"/>
      <c r="D29" s="118"/>
      <c r="E29" s="118"/>
      <c r="F29" s="118"/>
      <c r="G29" s="118"/>
      <c r="I29" s="179"/>
      <c r="J29" s="179"/>
      <c r="K29" s="179"/>
      <c r="L29" s="738"/>
      <c r="M29" s="738"/>
      <c r="O29" s="180" t="s">
        <v>3090</v>
      </c>
      <c r="P29" s="989"/>
      <c r="Q29" s="990"/>
    </row>
    <row r="30" spans="1:19" ht="3" customHeight="1"/>
    <row r="31" spans="1:19" ht="12" customHeight="1">
      <c r="B31" s="192" t="s">
        <v>3000</v>
      </c>
      <c r="C31" s="65" t="s">
        <v>1490</v>
      </c>
      <c r="E31" s="40"/>
      <c r="F31" s="40"/>
      <c r="G31" s="40"/>
      <c r="H31" s="40"/>
      <c r="I31" s="52"/>
      <c r="J31" s="42"/>
      <c r="K31" s="52"/>
      <c r="L31" s="42"/>
      <c r="M31" s="42"/>
      <c r="O31" s="83" t="s">
        <v>922</v>
      </c>
      <c r="P31" s="1166" t="s">
        <v>139</v>
      </c>
      <c r="Q31" s="234"/>
    </row>
    <row r="32" spans="1:19" ht="12" customHeight="1">
      <c r="B32" s="57" t="s">
        <v>3112</v>
      </c>
      <c r="C32" s="65" t="s">
        <v>1491</v>
      </c>
      <c r="E32" s="40"/>
      <c r="F32" s="40"/>
      <c r="G32" s="40"/>
      <c r="H32" s="40"/>
      <c r="J32" s="1218" t="s">
        <v>3477</v>
      </c>
      <c r="K32" s="1219"/>
      <c r="L32" s="1219"/>
      <c r="M32" s="1219"/>
      <c r="N32" s="1220"/>
      <c r="O32" s="83"/>
      <c r="P32" s="83"/>
      <c r="Q32" s="83"/>
    </row>
    <row r="33" spans="1:31" ht="11.25" customHeight="1">
      <c r="B33" s="84" t="s">
        <v>3088</v>
      </c>
      <c r="C33" s="84"/>
      <c r="D33" s="84"/>
      <c r="E33" s="84"/>
      <c r="F33" s="84"/>
      <c r="G33" s="179"/>
      <c r="H33" s="179"/>
      <c r="I33" s="179"/>
      <c r="J33" s="179"/>
      <c r="K33" s="738"/>
      <c r="L33" s="738"/>
      <c r="M33" s="738"/>
      <c r="N33" s="738"/>
      <c r="O33" s="738"/>
      <c r="P33" s="63"/>
      <c r="S33" s="217"/>
      <c r="T33" s="217"/>
    </row>
    <row r="34" spans="1:31" ht="12" customHeight="1">
      <c r="A34" s="1152"/>
      <c r="B34" s="1153"/>
      <c r="C34" s="1153"/>
      <c r="D34" s="1153"/>
      <c r="E34" s="1153"/>
      <c r="F34" s="1153"/>
      <c r="G34" s="1153"/>
      <c r="H34" s="1153"/>
      <c r="I34" s="1153"/>
      <c r="J34" s="1153"/>
      <c r="K34" s="1153"/>
      <c r="L34" s="1153"/>
      <c r="M34" s="1153"/>
      <c r="N34" s="1153"/>
      <c r="O34" s="1153"/>
      <c r="P34" s="1153"/>
      <c r="Q34" s="1154"/>
      <c r="R34" s="1029" t="s">
        <v>1931</v>
      </c>
      <c r="S34" s="1029"/>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1029"/>
      <c r="S35" s="1029"/>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3089</v>
      </c>
      <c r="C37" s="188"/>
      <c r="D37" s="740"/>
      <c r="E37" s="740"/>
      <c r="F37" s="740"/>
      <c r="G37" s="740"/>
      <c r="H37" s="740"/>
      <c r="I37" s="740"/>
      <c r="J37" s="740"/>
      <c r="K37" s="740"/>
      <c r="L37" s="740"/>
      <c r="M37" s="740"/>
      <c r="N37" s="740"/>
      <c r="O37" s="740"/>
      <c r="P37" s="740"/>
    </row>
    <row r="38" spans="1:31" ht="12" customHeight="1">
      <c r="A38" s="991"/>
      <c r="B38" s="992"/>
      <c r="C38" s="992"/>
      <c r="D38" s="992"/>
      <c r="E38" s="992"/>
      <c r="F38" s="992"/>
      <c r="G38" s="992"/>
      <c r="H38" s="992"/>
      <c r="I38" s="992"/>
      <c r="J38" s="992"/>
      <c r="K38" s="992"/>
      <c r="L38" s="992"/>
      <c r="M38" s="992"/>
      <c r="N38" s="992"/>
      <c r="O38" s="992"/>
      <c r="P38" s="992"/>
      <c r="Q38" s="993"/>
      <c r="R38" s="1029" t="s">
        <v>1931</v>
      </c>
      <c r="S38" s="1029"/>
    </row>
    <row r="39" spans="1:31" ht="12" customHeight="1">
      <c r="A39" s="1011"/>
      <c r="B39" s="1012"/>
      <c r="C39" s="1012"/>
      <c r="D39" s="1012"/>
      <c r="E39" s="1012"/>
      <c r="F39" s="1012"/>
      <c r="G39" s="1012"/>
      <c r="H39" s="1012"/>
      <c r="I39" s="1012"/>
      <c r="J39" s="1012"/>
      <c r="K39" s="1012"/>
      <c r="L39" s="1012"/>
      <c r="M39" s="1012"/>
      <c r="N39" s="1012"/>
      <c r="O39" s="1012"/>
      <c r="P39" s="1012"/>
      <c r="Q39" s="1013"/>
      <c r="R39" s="1029"/>
      <c r="S39" s="1029"/>
    </row>
    <row r="40" spans="1:31" ht="12" customHeight="1">
      <c r="A40" s="1011"/>
      <c r="B40" s="1012"/>
      <c r="C40" s="1012"/>
      <c r="D40" s="1012"/>
      <c r="E40" s="1012"/>
      <c r="F40" s="1012"/>
      <c r="G40" s="1012"/>
      <c r="H40" s="1012"/>
      <c r="I40" s="1012"/>
      <c r="J40" s="1012"/>
      <c r="K40" s="1012"/>
      <c r="L40" s="1012"/>
      <c r="M40" s="1012"/>
      <c r="N40" s="1012"/>
      <c r="O40" s="1012"/>
      <c r="P40" s="1012"/>
      <c r="Q40" s="1013"/>
      <c r="R40" s="1029"/>
      <c r="S40" s="1029"/>
    </row>
    <row r="41" spans="1:31" ht="12" customHeight="1">
      <c r="A41" s="1011"/>
      <c r="B41" s="1012"/>
      <c r="C41" s="1012"/>
      <c r="D41" s="1012"/>
      <c r="E41" s="1012"/>
      <c r="F41" s="1012"/>
      <c r="G41" s="1012"/>
      <c r="H41" s="1012"/>
      <c r="I41" s="1012"/>
      <c r="J41" s="1012"/>
      <c r="K41" s="1012"/>
      <c r="L41" s="1012"/>
      <c r="M41" s="1012"/>
      <c r="N41" s="1012"/>
      <c r="O41" s="1012"/>
      <c r="P41" s="1012"/>
      <c r="Q41" s="1013"/>
    </row>
    <row r="42" spans="1:31" ht="12" customHeight="1">
      <c r="A42" s="1011"/>
      <c r="B42" s="1012"/>
      <c r="C42" s="1012"/>
      <c r="D42" s="1012"/>
      <c r="E42" s="1012"/>
      <c r="F42" s="1012"/>
      <c r="G42" s="1012"/>
      <c r="H42" s="1012"/>
      <c r="I42" s="1012"/>
      <c r="J42" s="1012"/>
      <c r="K42" s="1012"/>
      <c r="L42" s="1012"/>
      <c r="M42" s="1012"/>
      <c r="N42" s="1012"/>
      <c r="O42" s="1012"/>
      <c r="P42" s="1012"/>
      <c r="Q42" s="1013"/>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0"/>
      <c r="D44" s="740"/>
      <c r="E44" s="740"/>
      <c r="F44" s="740"/>
      <c r="G44" s="740"/>
      <c r="H44" s="740"/>
      <c r="I44" s="740"/>
      <c r="J44" s="740"/>
      <c r="K44" s="740"/>
      <c r="L44" s="740"/>
      <c r="M44" s="740"/>
      <c r="N44" s="740"/>
      <c r="O44" s="740"/>
      <c r="P44" s="740"/>
      <c r="Q44" s="738"/>
    </row>
    <row r="45" spans="1:31" ht="13.9" customHeight="1">
      <c r="A45" s="742">
        <v>2</v>
      </c>
      <c r="B45" s="5" t="s">
        <v>1939</v>
      </c>
      <c r="C45" s="5"/>
      <c r="D45" s="5"/>
      <c r="E45" s="740"/>
      <c r="F45" s="740"/>
      <c r="G45" s="740"/>
      <c r="H45" s="740"/>
      <c r="K45" s="740"/>
      <c r="L45" s="740"/>
      <c r="M45" s="740"/>
      <c r="O45" s="180" t="s">
        <v>3090</v>
      </c>
      <c r="P45" s="989"/>
      <c r="Q45" s="990"/>
    </row>
    <row r="46" spans="1:31" ht="3" customHeight="1"/>
    <row r="47" spans="1:31" ht="11.65" customHeight="1">
      <c r="A47" s="189"/>
      <c r="C47" s="190" t="s">
        <v>92</v>
      </c>
      <c r="D47" s="190"/>
      <c r="E47" s="190"/>
      <c r="F47" s="190"/>
      <c r="G47" s="190"/>
      <c r="H47" s="190"/>
      <c r="J47" s="1221" t="str">
        <f>'Part I-Project Information'!$H$65</f>
        <v>Senior (HFOP)</v>
      </c>
      <c r="K47" s="1222"/>
      <c r="L47" s="1223"/>
      <c r="M47" s="740"/>
      <c r="N47" s="740"/>
      <c r="P47" s="1166" t="s">
        <v>3834</v>
      </c>
      <c r="Q47" s="234"/>
    </row>
    <row r="48" spans="1:31" ht="11.25" customHeight="1">
      <c r="B48" s="131" t="s">
        <v>3088</v>
      </c>
      <c r="D48" s="131"/>
      <c r="E48" s="131"/>
      <c r="F48" s="131"/>
      <c r="G48" s="131"/>
      <c r="H48" s="50"/>
      <c r="I48" s="179"/>
      <c r="J48" s="179"/>
      <c r="K48" s="187" t="s">
        <v>3089</v>
      </c>
      <c r="L48" s="738"/>
      <c r="M48" s="738"/>
      <c r="N48" s="738"/>
      <c r="O48" s="738"/>
      <c r="P48" s="738"/>
      <c r="Q48" s="63"/>
    </row>
    <row r="49" spans="1:31" ht="11.65" customHeight="1">
      <c r="A49" s="1159"/>
      <c r="B49" s="1160"/>
      <c r="C49" s="1160"/>
      <c r="D49" s="1160"/>
      <c r="E49" s="1160"/>
      <c r="F49" s="1160"/>
      <c r="G49" s="1160"/>
      <c r="H49" s="1160"/>
      <c r="I49" s="1160"/>
      <c r="J49" s="1161"/>
      <c r="K49" s="998"/>
      <c r="L49" s="999"/>
      <c r="M49" s="999"/>
      <c r="N49" s="999"/>
      <c r="O49" s="999"/>
      <c r="P49" s="999"/>
      <c r="Q49" s="1000"/>
      <c r="U49" s="185"/>
      <c r="V49" s="185"/>
      <c r="W49" s="185"/>
      <c r="X49" s="185"/>
      <c r="Y49" s="185"/>
      <c r="Z49" s="185"/>
      <c r="AA49" s="185"/>
      <c r="AB49" s="185"/>
      <c r="AC49" s="185"/>
      <c r="AD49" s="185"/>
      <c r="AE49" s="186"/>
    </row>
    <row r="50" spans="1:31" ht="3" customHeight="1">
      <c r="A50" s="738"/>
      <c r="B50" s="179"/>
      <c r="C50" s="740"/>
      <c r="D50" s="740"/>
      <c r="E50" s="740"/>
      <c r="F50" s="740"/>
      <c r="G50" s="740"/>
      <c r="H50" s="740"/>
      <c r="I50" s="740"/>
      <c r="J50" s="740"/>
      <c r="K50" s="740"/>
      <c r="L50" s="740"/>
      <c r="M50" s="740"/>
      <c r="N50" s="740"/>
      <c r="O50" s="740"/>
      <c r="P50" s="740"/>
      <c r="Q50" s="738"/>
    </row>
    <row r="51" spans="1:31" ht="13.9" customHeight="1">
      <c r="A51" s="742">
        <v>3</v>
      </c>
      <c r="B51" s="742" t="s">
        <v>832</v>
      </c>
      <c r="C51" s="153"/>
      <c r="D51" s="740"/>
      <c r="E51" s="740"/>
      <c r="F51" s="740"/>
      <c r="G51" s="740"/>
      <c r="H51" s="740"/>
      <c r="I51" s="740"/>
      <c r="J51" s="740"/>
      <c r="K51" s="740"/>
      <c r="L51" s="740"/>
      <c r="M51" s="740"/>
      <c r="O51" s="180" t="s">
        <v>3090</v>
      </c>
      <c r="P51" s="989"/>
      <c r="Q51" s="990"/>
    </row>
    <row r="52" spans="1:31" ht="3" customHeight="1"/>
    <row r="53" spans="1:31" ht="12.4" customHeight="1">
      <c r="B53" s="192" t="s">
        <v>3000</v>
      </c>
      <c r="C53" s="1014" t="s">
        <v>532</v>
      </c>
      <c r="D53" s="1014"/>
      <c r="E53" s="1014"/>
      <c r="F53" s="1014"/>
      <c r="G53" s="1014"/>
      <c r="H53" s="1014"/>
      <c r="I53" s="1014"/>
      <c r="J53" s="1014"/>
      <c r="K53" s="1014"/>
      <c r="L53" s="1014"/>
      <c r="M53" s="1014"/>
      <c r="O53" s="193"/>
      <c r="P53" s="1166" t="s">
        <v>66</v>
      </c>
      <c r="Q53" s="234"/>
    </row>
    <row r="54" spans="1:31" ht="12" customHeight="1">
      <c r="B54" s="57" t="s">
        <v>3112</v>
      </c>
      <c r="C54" s="40" t="s">
        <v>2500</v>
      </c>
      <c r="D54" s="40"/>
      <c r="E54" s="40"/>
      <c r="F54" s="40"/>
      <c r="G54" s="40"/>
      <c r="H54" s="40"/>
      <c r="I54" s="40"/>
      <c r="J54" s="40"/>
      <c r="K54" s="40"/>
      <c r="L54" s="40"/>
      <c r="M54" s="40"/>
      <c r="O54" s="40"/>
      <c r="P54" s="40"/>
      <c r="Q54" s="40"/>
    </row>
    <row r="55" spans="1:31" ht="10.9" customHeight="1">
      <c r="A55" s="194"/>
      <c r="B55" s="52"/>
      <c r="C55" s="83" t="s">
        <v>2903</v>
      </c>
      <c r="D55" s="40" t="s">
        <v>1134</v>
      </c>
      <c r="E55" s="737"/>
      <c r="F55" s="737"/>
      <c r="G55" s="737"/>
      <c r="H55" s="42"/>
      <c r="I55" s="52"/>
      <c r="J55" s="52"/>
      <c r="K55" s="52"/>
      <c r="L55" s="42"/>
      <c r="M55" s="42"/>
      <c r="O55" s="83" t="s">
        <v>2903</v>
      </c>
      <c r="P55" s="1166" t="s">
        <v>3834</v>
      </c>
      <c r="Q55" s="234"/>
    </row>
    <row r="56" spans="1:31" ht="10.9" customHeight="1">
      <c r="A56" s="194"/>
      <c r="B56" s="52"/>
      <c r="C56" s="83" t="s">
        <v>2904</v>
      </c>
      <c r="D56" s="40" t="s">
        <v>2970</v>
      </c>
      <c r="E56" s="737"/>
      <c r="F56" s="737"/>
      <c r="G56" s="737"/>
      <c r="H56" s="42"/>
      <c r="I56" s="52"/>
      <c r="J56" s="52"/>
      <c r="O56" s="83" t="s">
        <v>2904</v>
      </c>
      <c r="P56" s="1166" t="s">
        <v>3834</v>
      </c>
      <c r="Q56" s="234"/>
    </row>
    <row r="57" spans="1:31" ht="10.9" customHeight="1">
      <c r="A57" s="194"/>
      <c r="B57" s="52"/>
      <c r="C57" s="83" t="s">
        <v>2905</v>
      </c>
      <c r="D57" s="40" t="s">
        <v>658</v>
      </c>
      <c r="E57" s="737"/>
      <c r="J57" s="83"/>
      <c r="K57" s="83" t="s">
        <v>2905</v>
      </c>
      <c r="L57" s="1224"/>
      <c r="M57" s="1225"/>
      <c r="N57" s="1225"/>
      <c r="O57" s="1225"/>
      <c r="P57" s="1226"/>
      <c r="Q57" s="234"/>
    </row>
    <row r="58" spans="1:31" ht="11.25" customHeight="1">
      <c r="B58" s="131" t="s">
        <v>3088</v>
      </c>
      <c r="D58" s="131"/>
      <c r="E58" s="131"/>
      <c r="F58" s="131"/>
      <c r="G58" s="131"/>
      <c r="H58" s="50"/>
      <c r="I58" s="179"/>
      <c r="J58" s="179"/>
      <c r="K58" s="179"/>
      <c r="L58" s="738"/>
      <c r="M58" s="738"/>
      <c r="N58" s="738"/>
      <c r="O58" s="738"/>
      <c r="P58" s="738"/>
      <c r="Q58" s="63"/>
    </row>
    <row r="59" spans="1:31" ht="12" customHeight="1">
      <c r="A59" s="1152"/>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3089</v>
      </c>
      <c r="C61" s="188"/>
      <c r="D61" s="740"/>
      <c r="E61" s="740"/>
      <c r="F61" s="740"/>
      <c r="G61" s="740"/>
      <c r="H61" s="740"/>
      <c r="I61" s="740"/>
      <c r="J61" s="740"/>
      <c r="K61" s="740"/>
      <c r="L61" s="740"/>
      <c r="M61" s="740"/>
      <c r="N61" s="740"/>
      <c r="O61" s="740"/>
      <c r="P61" s="740"/>
      <c r="Q61" s="740"/>
    </row>
    <row r="62" spans="1:31" ht="12" customHeight="1">
      <c r="A62" s="991"/>
      <c r="B62" s="992"/>
      <c r="C62" s="992"/>
      <c r="D62" s="992"/>
      <c r="E62" s="992"/>
      <c r="F62" s="992"/>
      <c r="G62" s="992"/>
      <c r="H62" s="992"/>
      <c r="I62" s="992"/>
      <c r="J62" s="992"/>
      <c r="K62" s="992"/>
      <c r="L62" s="992"/>
      <c r="M62" s="992"/>
      <c r="N62" s="992"/>
      <c r="O62" s="992"/>
      <c r="P62" s="992"/>
      <c r="Q62" s="993"/>
    </row>
    <row r="63" spans="1:31" ht="12"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38"/>
      <c r="B64" s="179"/>
      <c r="C64" s="740"/>
      <c r="D64" s="740"/>
      <c r="E64" s="740"/>
      <c r="F64" s="740"/>
      <c r="G64" s="740"/>
      <c r="H64" s="740"/>
      <c r="I64" s="740"/>
      <c r="J64" s="740"/>
      <c r="K64" s="740"/>
      <c r="L64" s="740"/>
      <c r="M64" s="740"/>
      <c r="N64" s="740"/>
      <c r="O64" s="740"/>
      <c r="P64" s="740"/>
      <c r="Q64" s="738"/>
    </row>
    <row r="65" spans="1:31" ht="13.9" customHeight="1">
      <c r="A65" s="742">
        <v>4</v>
      </c>
      <c r="B65" s="742" t="s">
        <v>3814</v>
      </c>
      <c r="C65" s="742"/>
      <c r="D65" s="740"/>
      <c r="E65" s="740"/>
      <c r="F65" s="740"/>
      <c r="G65" s="740"/>
      <c r="H65" s="740"/>
      <c r="I65" s="740"/>
      <c r="J65" s="740"/>
      <c r="K65" s="740"/>
      <c r="O65" s="180" t="s">
        <v>3090</v>
      </c>
      <c r="P65" s="989"/>
      <c r="Q65" s="990"/>
    </row>
    <row r="66" spans="1:31" ht="3" customHeight="1"/>
    <row r="67" spans="1:31" ht="12" customHeight="1">
      <c r="B67" s="57" t="s">
        <v>3000</v>
      </c>
      <c r="C67" s="195" t="s">
        <v>3656</v>
      </c>
      <c r="D67" s="182"/>
      <c r="E67" s="182"/>
      <c r="F67" s="182"/>
      <c r="G67" s="182"/>
      <c r="H67" s="182"/>
      <c r="I67" s="52"/>
      <c r="J67" s="52"/>
      <c r="K67" s="52"/>
      <c r="L67" s="62" t="s">
        <v>3000</v>
      </c>
      <c r="M67" s="1224" t="s">
        <v>67</v>
      </c>
      <c r="N67" s="1225"/>
      <c r="O67" s="1225"/>
      <c r="P67" s="1227"/>
      <c r="Q67" s="234"/>
    </row>
    <row r="68" spans="1:31" ht="12" customHeight="1">
      <c r="B68" s="57" t="s">
        <v>3112</v>
      </c>
      <c r="C68" s="65" t="s">
        <v>3226</v>
      </c>
      <c r="D68" s="182"/>
      <c r="E68" s="182"/>
      <c r="F68" s="182"/>
      <c r="L68" s="62" t="s">
        <v>3112</v>
      </c>
      <c r="M68" s="1224" t="s">
        <v>54</v>
      </c>
      <c r="N68" s="1225"/>
      <c r="O68" s="1225"/>
      <c r="P68" s="1227"/>
      <c r="Q68" s="234"/>
    </row>
    <row r="69" spans="1:31" ht="12" customHeight="1">
      <c r="B69" s="57" t="s">
        <v>1517</v>
      </c>
      <c r="C69" s="65" t="s">
        <v>3657</v>
      </c>
      <c r="D69" s="182"/>
      <c r="E69" s="182"/>
      <c r="F69" s="182"/>
      <c r="L69" s="62" t="s">
        <v>1517</v>
      </c>
      <c r="M69" s="1224" t="s">
        <v>68</v>
      </c>
      <c r="N69" s="1225"/>
      <c r="O69" s="1225"/>
      <c r="P69" s="1227"/>
      <c r="Q69" s="351"/>
    </row>
    <row r="70" spans="1:31" ht="12" customHeight="1">
      <c r="B70" s="57" t="s">
        <v>3316</v>
      </c>
      <c r="C70" s="65" t="s">
        <v>3761</v>
      </c>
      <c r="D70" s="182"/>
      <c r="E70" s="182"/>
      <c r="F70" s="182"/>
      <c r="L70" s="62" t="s">
        <v>3316</v>
      </c>
      <c r="M70" s="1228">
        <v>0.156</v>
      </c>
      <c r="N70" s="1225"/>
      <c r="O70" s="1225"/>
      <c r="P70" s="1227"/>
      <c r="Q70" s="234"/>
    </row>
    <row r="71" spans="1:31" ht="22.15" customHeight="1">
      <c r="B71" s="192" t="s">
        <v>2901</v>
      </c>
      <c r="C71" s="1002" t="s">
        <v>3592</v>
      </c>
      <c r="D71" s="1004"/>
      <c r="E71" s="1004"/>
      <c r="F71" s="1004"/>
      <c r="G71" s="1004"/>
      <c r="H71" s="1004"/>
      <c r="I71" s="1004"/>
      <c r="J71" s="1004"/>
      <c r="K71" s="1004"/>
      <c r="L71" s="737"/>
      <c r="M71" s="737"/>
      <c r="O71" s="62" t="s">
        <v>2901</v>
      </c>
      <c r="P71" s="1166" t="s">
        <v>139</v>
      </c>
      <c r="Q71" s="234"/>
    </row>
    <row r="72" spans="1:31" ht="12" customHeight="1">
      <c r="B72" s="57"/>
      <c r="C72" s="65"/>
      <c r="D72" s="711" t="s">
        <v>3608</v>
      </c>
      <c r="E72" s="40" t="s">
        <v>1031</v>
      </c>
      <c r="F72" s="40"/>
      <c r="G72" s="65"/>
      <c r="H72" s="711" t="s">
        <v>3608</v>
      </c>
      <c r="I72" s="40" t="s">
        <v>1031</v>
      </c>
      <c r="J72" s="40"/>
      <c r="K72" s="65"/>
      <c r="L72" s="711" t="s">
        <v>3608</v>
      </c>
      <c r="M72" s="40" t="s">
        <v>1031</v>
      </c>
      <c r="N72" s="40"/>
      <c r="O72" s="65"/>
      <c r="P72" s="62"/>
      <c r="Q72" s="62"/>
    </row>
    <row r="73" spans="1:31" ht="12" customHeight="1">
      <c r="B73" s="57"/>
      <c r="C73" s="65">
        <v>1</v>
      </c>
      <c r="D73" s="1229"/>
      <c r="E73" s="1230"/>
      <c r="F73" s="1231"/>
      <c r="G73" s="65">
        <v>4</v>
      </c>
      <c r="H73" s="1229"/>
      <c r="I73" s="1230"/>
      <c r="J73" s="1231"/>
      <c r="K73" s="65">
        <v>7</v>
      </c>
      <c r="L73" s="1229"/>
      <c r="M73" s="1230"/>
      <c r="N73" s="1231"/>
      <c r="O73" s="65"/>
      <c r="P73" s="62"/>
      <c r="Q73" s="62"/>
    </row>
    <row r="74" spans="1:31" ht="12" customHeight="1">
      <c r="B74" s="57"/>
      <c r="C74" s="65">
        <v>2</v>
      </c>
      <c r="D74" s="1229"/>
      <c r="E74" s="1230"/>
      <c r="F74" s="1231"/>
      <c r="G74" s="65">
        <v>5</v>
      </c>
      <c r="H74" s="1229"/>
      <c r="I74" s="1230"/>
      <c r="J74" s="1231"/>
      <c r="K74" s="65">
        <v>8</v>
      </c>
      <c r="L74" s="1229"/>
      <c r="M74" s="1230"/>
      <c r="N74" s="1231"/>
      <c r="O74" s="65"/>
      <c r="P74" s="62"/>
      <c r="Q74" s="62"/>
    </row>
    <row r="75" spans="1:31" ht="12" customHeight="1">
      <c r="B75" s="57"/>
      <c r="C75" s="65">
        <v>3</v>
      </c>
      <c r="D75" s="1229"/>
      <c r="E75" s="1230"/>
      <c r="F75" s="1231"/>
      <c r="G75" s="65">
        <v>6</v>
      </c>
      <c r="H75" s="1229"/>
      <c r="I75" s="1230"/>
      <c r="J75" s="1231"/>
      <c r="K75" s="65">
        <v>9</v>
      </c>
      <c r="L75" s="1229"/>
      <c r="M75" s="1230"/>
      <c r="N75" s="1231"/>
      <c r="O75" s="65"/>
      <c r="P75" s="62"/>
      <c r="Q75" s="62"/>
    </row>
    <row r="76" spans="1:31" ht="12" customHeight="1">
      <c r="B76" s="57" t="s">
        <v>2902</v>
      </c>
      <c r="C76" s="65" t="s">
        <v>151</v>
      </c>
      <c r="D76" s="182"/>
      <c r="E76" s="182"/>
      <c r="F76" s="182"/>
      <c r="G76" s="182"/>
      <c r="H76" s="182"/>
      <c r="I76" s="52"/>
      <c r="J76" s="52"/>
      <c r="K76" s="182"/>
      <c r="L76" s="737"/>
      <c r="M76" s="737"/>
      <c r="O76" s="62" t="s">
        <v>2902</v>
      </c>
      <c r="P76" s="1166" t="s">
        <v>3834</v>
      </c>
      <c r="Q76" s="234"/>
    </row>
    <row r="77" spans="1:31" ht="11.25" customHeight="1">
      <c r="B77" s="191" t="s">
        <v>3088</v>
      </c>
      <c r="D77" s="191"/>
      <c r="E77" s="191"/>
      <c r="F77" s="191"/>
      <c r="G77" s="191"/>
      <c r="H77" s="50"/>
      <c r="I77" s="179"/>
      <c r="J77" s="179"/>
      <c r="K77" s="179"/>
      <c r="L77" s="738"/>
      <c r="M77" s="738"/>
      <c r="N77" s="738"/>
      <c r="O77" s="738"/>
      <c r="P77" s="738"/>
      <c r="Q77" s="63"/>
    </row>
    <row r="78" spans="1:31" ht="22.9" customHeight="1">
      <c r="A78" s="1152" t="s">
        <v>19</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c r="B79" s="1156"/>
      <c r="C79" s="1156"/>
      <c r="D79" s="1156"/>
      <c r="E79" s="1156"/>
      <c r="F79" s="1156"/>
      <c r="G79" s="1156"/>
      <c r="H79" s="1156"/>
      <c r="I79" s="1156"/>
      <c r="J79" s="1156"/>
      <c r="K79" s="1156"/>
      <c r="L79" s="1156"/>
      <c r="M79" s="1156"/>
      <c r="N79" s="1156"/>
      <c r="O79" s="1156"/>
      <c r="P79" s="1156"/>
      <c r="Q79" s="1157"/>
    </row>
    <row r="80" spans="1:31" ht="11.25" customHeight="1">
      <c r="B80" s="187" t="s">
        <v>3089</v>
      </c>
      <c r="C80" s="188"/>
      <c r="D80" s="740"/>
      <c r="E80" s="740"/>
      <c r="F80" s="740"/>
      <c r="G80" s="740"/>
      <c r="H80" s="740"/>
      <c r="I80" s="740"/>
      <c r="J80" s="740"/>
      <c r="K80" s="740"/>
      <c r="L80" s="740"/>
      <c r="M80" s="740"/>
      <c r="N80" s="740"/>
      <c r="O80" s="740"/>
      <c r="P80" s="740"/>
      <c r="Q80" s="740"/>
    </row>
    <row r="81" spans="1:17" ht="22.9" customHeight="1">
      <c r="A81" s="991"/>
      <c r="B81" s="992"/>
      <c r="C81" s="992"/>
      <c r="D81" s="992"/>
      <c r="E81" s="992"/>
      <c r="F81" s="992"/>
      <c r="G81" s="992"/>
      <c r="H81" s="992"/>
      <c r="I81" s="992"/>
      <c r="J81" s="992"/>
      <c r="K81" s="992"/>
      <c r="L81" s="992"/>
      <c r="M81" s="992"/>
      <c r="N81" s="992"/>
      <c r="O81" s="992"/>
      <c r="P81" s="992"/>
      <c r="Q81" s="993"/>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2">
        <v>5</v>
      </c>
      <c r="B83" s="742" t="s">
        <v>336</v>
      </c>
      <c r="C83" s="742"/>
      <c r="D83" s="740"/>
      <c r="E83" s="740"/>
      <c r="F83" s="740"/>
      <c r="G83" s="740"/>
      <c r="H83" s="740"/>
      <c r="I83" s="740"/>
      <c r="J83" s="740"/>
      <c r="K83" s="740"/>
      <c r="L83" s="740"/>
      <c r="M83" s="740"/>
      <c r="O83" s="180" t="s">
        <v>3090</v>
      </c>
      <c r="P83" s="989"/>
      <c r="Q83" s="990"/>
    </row>
    <row r="84" spans="1:17" ht="3" customHeight="1"/>
    <row r="85" spans="1:17" ht="12" customHeight="1">
      <c r="B85" s="57" t="s">
        <v>3000</v>
      </c>
      <c r="C85" s="65" t="s">
        <v>898</v>
      </c>
      <c r="D85" s="65"/>
      <c r="E85" s="65"/>
      <c r="F85" s="65"/>
      <c r="G85" s="65"/>
      <c r="H85" s="65"/>
      <c r="I85" s="65"/>
      <c r="J85" s="65"/>
      <c r="K85" s="65"/>
      <c r="L85" s="65"/>
      <c r="M85" s="65"/>
      <c r="O85" s="62" t="s">
        <v>3000</v>
      </c>
      <c r="P85" s="1166" t="s">
        <v>139</v>
      </c>
      <c r="Q85" s="234"/>
    </row>
    <row r="86" spans="1:17" ht="12" customHeight="1">
      <c r="B86" s="57" t="s">
        <v>3112</v>
      </c>
      <c r="C86" s="65" t="s">
        <v>1890</v>
      </c>
      <c r="D86" s="65"/>
      <c r="E86" s="65"/>
      <c r="F86" s="65"/>
      <c r="G86" s="65"/>
      <c r="H86" s="65"/>
      <c r="I86" s="65"/>
      <c r="J86" s="65"/>
      <c r="K86" s="65"/>
      <c r="L86" s="40"/>
      <c r="M86" s="40"/>
      <c r="O86" s="62" t="s">
        <v>3112</v>
      </c>
      <c r="P86" s="1166" t="s">
        <v>139</v>
      </c>
      <c r="Q86" s="234"/>
    </row>
    <row r="87" spans="1:17" ht="12" customHeight="1">
      <c r="A87" s="181"/>
      <c r="B87" s="46"/>
      <c r="D87" s="49" t="s">
        <v>1086</v>
      </c>
      <c r="E87" s="52"/>
      <c r="F87" s="52"/>
      <c r="G87" s="52"/>
      <c r="H87" s="52"/>
      <c r="I87" s="52"/>
      <c r="K87" s="49" t="s">
        <v>1087</v>
      </c>
      <c r="M87" s="1232"/>
      <c r="N87" s="1233"/>
      <c r="O87" s="1233"/>
      <c r="P87" s="1234"/>
      <c r="Q87" s="234"/>
    </row>
    <row r="88" spans="1:17" ht="22.9" customHeight="1">
      <c r="A88" s="194"/>
      <c r="B88" s="179"/>
      <c r="C88" s="203" t="s">
        <v>2903</v>
      </c>
      <c r="D88" s="975" t="s">
        <v>707</v>
      </c>
      <c r="E88" s="1119"/>
      <c r="F88" s="1119"/>
      <c r="G88" s="1119"/>
      <c r="H88" s="1119"/>
      <c r="I88" s="1119"/>
      <c r="J88" s="1119"/>
      <c r="K88" s="1119"/>
      <c r="L88" s="1119"/>
      <c r="M88" s="1119"/>
      <c r="N88" s="1119"/>
      <c r="O88" s="203" t="s">
        <v>2903</v>
      </c>
      <c r="P88" s="1166"/>
      <c r="Q88" s="234"/>
    </row>
    <row r="89" spans="1:17" ht="12" customHeight="1">
      <c r="A89" s="194"/>
      <c r="B89" s="179"/>
      <c r="C89" s="83" t="s">
        <v>2904</v>
      </c>
      <c r="D89" s="65" t="s">
        <v>417</v>
      </c>
      <c r="E89" s="65"/>
      <c r="F89" s="65"/>
      <c r="G89" s="65"/>
      <c r="H89" s="65"/>
      <c r="I89" s="65"/>
      <c r="J89" s="65"/>
      <c r="K89" s="65"/>
      <c r="L89" s="65"/>
      <c r="M89" s="65"/>
      <c r="O89" s="83" t="s">
        <v>2904</v>
      </c>
      <c r="P89" s="1166"/>
      <c r="Q89" s="234"/>
    </row>
    <row r="90" spans="1:17" ht="12" customHeight="1">
      <c r="A90" s="194"/>
      <c r="B90" s="179"/>
      <c r="C90" s="83" t="s">
        <v>2905</v>
      </c>
      <c r="D90" s="65" t="s">
        <v>421</v>
      </c>
      <c r="E90" s="65"/>
      <c r="F90" s="65"/>
      <c r="G90" s="65"/>
      <c r="H90" s="65"/>
      <c r="I90" s="65"/>
      <c r="J90" s="65"/>
      <c r="K90" s="65"/>
      <c r="L90" s="65"/>
      <c r="M90" s="65"/>
      <c r="O90" s="83" t="s">
        <v>2905</v>
      </c>
      <c r="P90" s="1166"/>
      <c r="Q90" s="234"/>
    </row>
    <row r="91" spans="1:17" ht="12" customHeight="1">
      <c r="B91" s="57" t="s">
        <v>1517</v>
      </c>
      <c r="C91" s="65" t="s">
        <v>273</v>
      </c>
      <c r="D91" s="65"/>
      <c r="E91" s="65"/>
      <c r="F91" s="65"/>
      <c r="G91" s="65"/>
      <c r="H91" s="65"/>
      <c r="I91" s="65"/>
      <c r="J91" s="65"/>
      <c r="K91" s="65"/>
      <c r="L91" s="65"/>
      <c r="M91" s="65"/>
      <c r="O91" s="62" t="s">
        <v>1517</v>
      </c>
      <c r="P91" s="1166"/>
      <c r="Q91" s="234"/>
    </row>
    <row r="92" spans="1:17" ht="12" customHeight="1">
      <c r="B92" s="57" t="s">
        <v>3316</v>
      </c>
      <c r="C92" s="65" t="s">
        <v>2304</v>
      </c>
      <c r="D92" s="65"/>
      <c r="E92" s="65"/>
      <c r="G92" s="65"/>
      <c r="I92" s="65"/>
      <c r="K92" s="65"/>
      <c r="L92" s="40"/>
      <c r="M92" s="40"/>
      <c r="N92" s="40"/>
      <c r="O92" s="40"/>
      <c r="P92" s="40"/>
      <c r="Q92" s="40"/>
    </row>
    <row r="93" spans="1:17" ht="12" customHeight="1">
      <c r="B93" s="57"/>
      <c r="C93" s="83" t="s">
        <v>2903</v>
      </c>
      <c r="D93" s="65" t="s">
        <v>2305</v>
      </c>
      <c r="E93" s="65"/>
      <c r="F93" s="65"/>
      <c r="G93" s="65"/>
      <c r="H93" s="65"/>
      <c r="I93" s="65"/>
      <c r="J93" s="65"/>
      <c r="K93" s="65"/>
      <c r="L93" s="40"/>
      <c r="M93" s="40"/>
      <c r="O93" s="83" t="s">
        <v>2903</v>
      </c>
      <c r="P93" s="1166" t="s">
        <v>3834</v>
      </c>
      <c r="Q93" s="234"/>
    </row>
    <row r="94" spans="1:17" ht="12" customHeight="1">
      <c r="B94" s="57"/>
      <c r="C94" s="83" t="s">
        <v>2904</v>
      </c>
      <c r="D94" s="65" t="s">
        <v>2306</v>
      </c>
      <c r="E94" s="65"/>
      <c r="F94" s="65"/>
      <c r="G94" s="65"/>
      <c r="H94" s="65"/>
      <c r="I94" s="65"/>
      <c r="J94" s="65"/>
      <c r="K94" s="65"/>
      <c r="L94" s="40"/>
      <c r="M94" s="40"/>
      <c r="O94" s="83" t="s">
        <v>2904</v>
      </c>
      <c r="P94" s="1166" t="s">
        <v>139</v>
      </c>
      <c r="Q94" s="234"/>
    </row>
    <row r="95" spans="1:17" ht="12" customHeight="1">
      <c r="B95" s="57"/>
      <c r="C95" s="83" t="s">
        <v>2905</v>
      </c>
      <c r="D95" s="65" t="s">
        <v>2307</v>
      </c>
      <c r="E95" s="65"/>
      <c r="F95" s="65"/>
      <c r="G95" s="65"/>
      <c r="H95" s="65"/>
      <c r="I95" s="65"/>
      <c r="J95" s="65"/>
      <c r="K95" s="65"/>
      <c r="L95" s="40"/>
      <c r="M95" s="40"/>
      <c r="O95" s="83" t="s">
        <v>2905</v>
      </c>
      <c r="P95" s="1166" t="s">
        <v>139</v>
      </c>
      <c r="Q95" s="234"/>
    </row>
    <row r="96" spans="1:17" ht="11.25" customHeight="1">
      <c r="B96" s="191" t="s">
        <v>3088</v>
      </c>
      <c r="D96" s="191"/>
      <c r="E96" s="191"/>
      <c r="F96" s="191"/>
      <c r="G96" s="191"/>
      <c r="H96" s="50"/>
      <c r="I96" s="179"/>
      <c r="J96" s="179"/>
      <c r="K96" s="179"/>
      <c r="L96" s="738"/>
      <c r="M96" s="738"/>
      <c r="N96" s="738"/>
      <c r="O96" s="738"/>
      <c r="P96" s="738"/>
      <c r="Q96" s="63"/>
    </row>
    <row r="97" spans="1:31" ht="13.15" customHeight="1">
      <c r="A97" s="1152" t="s">
        <v>55</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3089</v>
      </c>
      <c r="C99" s="188"/>
      <c r="D99" s="740"/>
      <c r="E99" s="740"/>
      <c r="F99" s="740"/>
      <c r="G99" s="740"/>
      <c r="H99" s="740"/>
      <c r="I99" s="740"/>
      <c r="J99" s="740"/>
      <c r="K99" s="740"/>
      <c r="L99" s="740"/>
      <c r="M99" s="740"/>
      <c r="N99" s="740"/>
      <c r="O99" s="740"/>
      <c r="P99" s="740"/>
      <c r="Q99" s="740"/>
    </row>
    <row r="100" spans="1:31" ht="13.15" customHeight="1">
      <c r="A100" s="991"/>
      <c r="B100" s="992"/>
      <c r="C100" s="992"/>
      <c r="D100" s="992"/>
      <c r="E100" s="992"/>
      <c r="F100" s="992"/>
      <c r="G100" s="992"/>
      <c r="H100" s="992"/>
      <c r="I100" s="992"/>
      <c r="J100" s="992"/>
      <c r="K100" s="992"/>
      <c r="L100" s="992"/>
      <c r="M100" s="992"/>
      <c r="N100" s="992"/>
      <c r="O100" s="992"/>
      <c r="P100" s="992"/>
      <c r="Q100" s="993"/>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38"/>
      <c r="B102" s="179"/>
      <c r="C102" s="740"/>
      <c r="D102" s="740"/>
      <c r="E102" s="740"/>
      <c r="F102" s="740"/>
      <c r="G102" s="740"/>
      <c r="H102" s="740"/>
      <c r="I102" s="740"/>
      <c r="J102" s="740"/>
      <c r="K102" s="740"/>
      <c r="L102" s="740"/>
      <c r="M102" s="740"/>
      <c r="N102" s="740"/>
      <c r="O102" s="740"/>
      <c r="P102" s="740"/>
      <c r="Q102" s="738"/>
    </row>
    <row r="103" spans="1:31" ht="13.9" customHeight="1">
      <c r="A103" s="742">
        <v>6</v>
      </c>
      <c r="B103" s="742" t="s">
        <v>706</v>
      </c>
      <c r="C103" s="50"/>
      <c r="D103" s="740"/>
      <c r="E103" s="740"/>
      <c r="F103" s="740"/>
      <c r="G103" s="740"/>
      <c r="H103" s="740"/>
      <c r="I103" s="740"/>
      <c r="J103" s="740"/>
      <c r="K103" s="740"/>
      <c r="L103" s="740"/>
      <c r="M103" s="740"/>
      <c r="O103" s="180" t="s">
        <v>3090</v>
      </c>
      <c r="P103" s="989"/>
      <c r="Q103" s="990"/>
    </row>
    <row r="104" spans="1:31" ht="6.4" customHeight="1"/>
    <row r="105" spans="1:31" ht="12" customHeight="1">
      <c r="B105" s="57" t="s">
        <v>3000</v>
      </c>
      <c r="C105" s="65" t="s">
        <v>248</v>
      </c>
      <c r="D105" s="182"/>
      <c r="E105" s="182"/>
      <c r="F105" s="182"/>
      <c r="G105" s="182"/>
      <c r="H105" s="182"/>
      <c r="I105" s="52"/>
      <c r="J105" s="52"/>
      <c r="K105" s="52"/>
      <c r="L105" s="62" t="s">
        <v>3000</v>
      </c>
      <c r="M105" s="1224" t="s">
        <v>69</v>
      </c>
      <c r="N105" s="1225"/>
      <c r="O105" s="1225"/>
      <c r="P105" s="1226"/>
      <c r="Q105" s="234"/>
    </row>
    <row r="106" spans="1:31" ht="12" customHeight="1">
      <c r="B106" s="57" t="s">
        <v>3112</v>
      </c>
      <c r="C106" s="65" t="s">
        <v>2564</v>
      </c>
      <c r="D106" s="182"/>
      <c r="E106" s="182"/>
      <c r="F106" s="182"/>
      <c r="G106" s="182"/>
      <c r="H106" s="182"/>
      <c r="I106" s="52"/>
      <c r="J106" s="52"/>
      <c r="K106" s="182"/>
      <c r="L106" s="182"/>
      <c r="M106" s="737"/>
      <c r="O106" s="62" t="s">
        <v>3112</v>
      </c>
      <c r="P106" s="1166" t="s">
        <v>139</v>
      </c>
      <c r="Q106" s="351"/>
    </row>
    <row r="107" spans="1:31" ht="12" customHeight="1">
      <c r="B107" s="57" t="s">
        <v>1517</v>
      </c>
      <c r="C107" s="65" t="s">
        <v>251</v>
      </c>
      <c r="D107" s="182"/>
      <c r="E107" s="182"/>
      <c r="F107" s="182"/>
      <c r="G107" s="182"/>
      <c r="H107" s="182"/>
      <c r="I107" s="52"/>
      <c r="J107" s="52"/>
      <c r="K107" s="182"/>
      <c r="L107" s="737"/>
      <c r="M107" s="737"/>
      <c r="O107" s="62" t="s">
        <v>1517</v>
      </c>
      <c r="P107" s="1166" t="s">
        <v>3834</v>
      </c>
      <c r="Q107" s="234"/>
    </row>
    <row r="108" spans="1:31" ht="12" customHeight="1">
      <c r="B108" s="189"/>
      <c r="C108" s="65" t="s">
        <v>2967</v>
      </c>
      <c r="D108" s="52"/>
      <c r="E108" s="52"/>
      <c r="F108" s="52"/>
      <c r="G108" s="52"/>
      <c r="H108" s="65"/>
      <c r="I108" s="52"/>
      <c r="J108" s="52"/>
      <c r="K108" s="182"/>
      <c r="L108" s="737"/>
      <c r="M108" s="737"/>
      <c r="P108" s="1235" t="s">
        <v>56</v>
      </c>
      <c r="Q108" s="351"/>
    </row>
    <row r="109" spans="1:31" ht="12" customHeight="1">
      <c r="B109" s="189"/>
      <c r="C109" s="65" t="s">
        <v>2342</v>
      </c>
      <c r="D109" s="52"/>
      <c r="E109" s="52"/>
      <c r="F109" s="52"/>
      <c r="G109" s="52"/>
      <c r="H109" s="65"/>
      <c r="I109" s="52"/>
      <c r="J109" s="52"/>
      <c r="K109" s="182"/>
      <c r="L109" s="737"/>
      <c r="M109" s="737"/>
      <c r="N109" s="737"/>
      <c r="O109" s="737"/>
    </row>
    <row r="110" spans="1:31" ht="11.65" customHeight="1">
      <c r="B110" s="738"/>
      <c r="C110" s="1236" t="s">
        <v>106</v>
      </c>
      <c r="D110" s="1237"/>
      <c r="E110" s="1237"/>
      <c r="F110" s="1237"/>
      <c r="G110" s="1237"/>
      <c r="H110" s="1237"/>
      <c r="I110" s="1237"/>
      <c r="J110" s="1237"/>
      <c r="K110" s="1237"/>
      <c r="L110" s="1237"/>
      <c r="M110" s="1237"/>
      <c r="N110" s="1237"/>
      <c r="O110" s="1238"/>
      <c r="P110" s="740"/>
      <c r="Q110" s="738"/>
    </row>
    <row r="111" spans="1:31" ht="12" customHeight="1">
      <c r="B111" s="57" t="s">
        <v>3316</v>
      </c>
      <c r="C111" s="65" t="s">
        <v>1949</v>
      </c>
      <c r="D111" s="182"/>
      <c r="E111" s="182"/>
      <c r="F111" s="182"/>
      <c r="G111" s="182"/>
      <c r="H111" s="182"/>
      <c r="I111" s="52"/>
      <c r="J111" s="52"/>
      <c r="K111" s="182"/>
      <c r="L111" s="737"/>
      <c r="M111" s="737"/>
      <c r="N111" s="737"/>
      <c r="O111" s="62" t="s">
        <v>3316</v>
      </c>
    </row>
    <row r="112" spans="1:31" ht="12" customHeight="1">
      <c r="B112" s="57"/>
      <c r="C112" s="83" t="s">
        <v>2903</v>
      </c>
      <c r="D112" s="65" t="s">
        <v>249</v>
      </c>
      <c r="E112" s="182"/>
      <c r="F112" s="182"/>
      <c r="G112" s="182"/>
      <c r="H112" s="182"/>
      <c r="I112" s="52"/>
      <c r="J112" s="52"/>
      <c r="K112" s="182"/>
      <c r="L112" s="737"/>
      <c r="M112" s="737"/>
      <c r="O112" s="83" t="s">
        <v>2903</v>
      </c>
      <c r="P112" s="1166" t="s">
        <v>139</v>
      </c>
      <c r="Q112" s="234"/>
    </row>
    <row r="113" spans="1:17" ht="12" customHeight="1">
      <c r="B113" s="57"/>
      <c r="C113" s="83" t="s">
        <v>2904</v>
      </c>
      <c r="D113" s="65" t="s">
        <v>1950</v>
      </c>
      <c r="E113" s="182"/>
      <c r="F113" s="182"/>
      <c r="G113" s="182"/>
      <c r="H113" s="52"/>
      <c r="I113" s="52"/>
      <c r="J113" s="52"/>
      <c r="K113" s="182"/>
      <c r="L113" s="737"/>
      <c r="M113" s="737"/>
      <c r="O113" s="83" t="s">
        <v>2904</v>
      </c>
      <c r="P113" s="1235" t="s">
        <v>139</v>
      </c>
      <c r="Q113" s="351"/>
    </row>
    <row r="114" spans="1:17" ht="12" customHeight="1">
      <c r="B114" s="57"/>
      <c r="C114" s="83"/>
      <c r="D114" s="65" t="s">
        <v>3154</v>
      </c>
      <c r="E114" s="52"/>
      <c r="F114" s="52"/>
      <c r="G114" s="52"/>
      <c r="H114" s="65"/>
      <c r="I114" s="52"/>
      <c r="J114" s="52"/>
      <c r="K114" s="182"/>
      <c r="L114" s="737"/>
      <c r="M114" s="737"/>
      <c r="O114" s="737"/>
      <c r="P114" s="1239"/>
      <c r="Q114" s="457"/>
    </row>
    <row r="115" spans="1:17" ht="12" customHeight="1">
      <c r="B115" s="57"/>
      <c r="C115" s="83"/>
      <c r="D115" s="65" t="s">
        <v>3677</v>
      </c>
      <c r="E115" s="52"/>
      <c r="F115" s="52"/>
      <c r="G115" s="52"/>
      <c r="H115" s="65"/>
      <c r="I115" s="52"/>
      <c r="J115" s="52"/>
      <c r="K115" s="182"/>
      <c r="L115" s="737"/>
      <c r="M115" s="737"/>
      <c r="O115" s="737"/>
      <c r="P115" s="1235"/>
      <c r="Q115" s="351"/>
    </row>
    <row r="116" spans="1:17" ht="12" customHeight="1">
      <c r="B116" s="57"/>
      <c r="C116" s="83"/>
      <c r="D116" s="65" t="s">
        <v>3297</v>
      </c>
      <c r="E116" s="52"/>
      <c r="F116" s="52"/>
      <c r="G116" s="52"/>
      <c r="H116" s="65"/>
      <c r="I116" s="52"/>
      <c r="J116" s="52"/>
      <c r="K116" s="182"/>
      <c r="L116" s="737"/>
      <c r="M116" s="737"/>
      <c r="O116" s="737"/>
      <c r="P116" s="1235"/>
      <c r="Q116" s="351"/>
    </row>
    <row r="117" spans="1:17" ht="12" customHeight="1">
      <c r="B117" s="57"/>
      <c r="C117" s="83" t="s">
        <v>2905</v>
      </c>
      <c r="D117" s="65" t="s">
        <v>1951</v>
      </c>
      <c r="E117" s="182"/>
      <c r="F117" s="182"/>
      <c r="G117" s="182"/>
      <c r="H117" s="65"/>
      <c r="I117" s="52"/>
      <c r="J117" s="52"/>
      <c r="K117" s="182"/>
      <c r="L117" s="737"/>
      <c r="M117" s="737"/>
      <c r="O117" s="83" t="s">
        <v>2905</v>
      </c>
      <c r="P117" s="1166" t="s">
        <v>139</v>
      </c>
      <c r="Q117" s="234"/>
    </row>
    <row r="118" spans="1:17" ht="12" customHeight="1">
      <c r="B118" s="57"/>
      <c r="C118" s="83"/>
      <c r="D118" s="65" t="s">
        <v>1643</v>
      </c>
      <c r="E118" s="52"/>
      <c r="F118" s="52"/>
      <c r="G118" s="52"/>
      <c r="H118" s="65"/>
      <c r="I118" s="52"/>
      <c r="J118" s="52"/>
      <c r="K118" s="182"/>
      <c r="L118" s="737"/>
      <c r="M118" s="737"/>
      <c r="O118" s="737"/>
      <c r="P118" s="1240"/>
      <c r="Q118" s="352"/>
    </row>
    <row r="119" spans="1:17" ht="12" customHeight="1">
      <c r="B119" s="57"/>
      <c r="C119" s="83"/>
      <c r="D119" s="65" t="s">
        <v>3298</v>
      </c>
      <c r="E119" s="52"/>
      <c r="F119" s="52"/>
      <c r="G119" s="52"/>
      <c r="H119" s="65"/>
      <c r="I119" s="52"/>
      <c r="J119" s="52"/>
      <c r="K119" s="182"/>
      <c r="L119" s="737"/>
      <c r="M119" s="737"/>
      <c r="O119" s="737"/>
      <c r="P119" s="1235"/>
      <c r="Q119" s="351"/>
    </row>
    <row r="120" spans="1:17" ht="12" customHeight="1">
      <c r="B120" s="57"/>
      <c r="C120" s="83"/>
      <c r="D120" s="65" t="s">
        <v>3297</v>
      </c>
      <c r="E120" s="52"/>
      <c r="F120" s="52"/>
      <c r="G120" s="52"/>
      <c r="H120" s="65"/>
      <c r="I120" s="52"/>
      <c r="J120" s="52"/>
      <c r="K120" s="182"/>
      <c r="L120" s="737"/>
      <c r="M120" s="737"/>
      <c r="O120" s="737"/>
      <c r="P120" s="1235"/>
      <c r="Q120" s="351"/>
    </row>
    <row r="121" spans="1:17" ht="12" customHeight="1">
      <c r="B121" s="46"/>
      <c r="C121" s="83" t="s">
        <v>3672</v>
      </c>
      <c r="D121" s="65" t="s">
        <v>895</v>
      </c>
      <c r="E121" s="182"/>
      <c r="F121" s="182"/>
      <c r="G121" s="182"/>
      <c r="H121" s="182"/>
      <c r="I121" s="52"/>
      <c r="J121" s="52"/>
      <c r="K121" s="182"/>
      <c r="L121" s="737"/>
      <c r="M121" s="737"/>
      <c r="O121" s="83" t="s">
        <v>3672</v>
      </c>
      <c r="P121" s="1166"/>
      <c r="Q121" s="234"/>
    </row>
    <row r="122" spans="1:17" ht="12" customHeight="1">
      <c r="B122" s="57" t="s">
        <v>2901</v>
      </c>
      <c r="C122" s="196" t="s">
        <v>3784</v>
      </c>
      <c r="D122" s="182"/>
      <c r="E122" s="182"/>
      <c r="F122" s="182"/>
      <c r="G122" s="182"/>
      <c r="H122" s="182"/>
      <c r="I122" s="52"/>
      <c r="J122" s="52"/>
      <c r="K122" s="182"/>
      <c r="L122" s="737"/>
      <c r="M122" s="737"/>
      <c r="N122" s="737"/>
      <c r="O122" s="62" t="s">
        <v>2901</v>
      </c>
      <c r="P122" s="1166"/>
      <c r="Q122" s="234"/>
    </row>
    <row r="123" spans="1:17" ht="12" customHeight="1">
      <c r="B123" s="57"/>
      <c r="C123" s="83" t="s">
        <v>2903</v>
      </c>
      <c r="D123" s="65" t="s">
        <v>3785</v>
      </c>
      <c r="E123" s="182"/>
      <c r="F123" s="1166" t="s">
        <v>139</v>
      </c>
      <c r="G123" s="234"/>
      <c r="H123" s="83" t="s">
        <v>2905</v>
      </c>
      <c r="I123" s="65" t="s">
        <v>2447</v>
      </c>
      <c r="J123" s="1166" t="s">
        <v>139</v>
      </c>
      <c r="K123" s="234"/>
      <c r="L123" s="83" t="s">
        <v>2445</v>
      </c>
      <c r="M123" s="65" t="s">
        <v>3740</v>
      </c>
      <c r="N123" s="1166" t="s">
        <v>139</v>
      </c>
      <c r="O123" s="234"/>
    </row>
    <row r="124" spans="1:17" ht="12" customHeight="1">
      <c r="B124" s="46"/>
      <c r="C124" s="83" t="s">
        <v>2904</v>
      </c>
      <c r="D124" s="65" t="s">
        <v>3880</v>
      </c>
      <c r="E124" s="182"/>
      <c r="F124" s="1166" t="s">
        <v>139</v>
      </c>
      <c r="G124" s="234"/>
      <c r="H124" s="83" t="s">
        <v>3672</v>
      </c>
      <c r="I124" s="65" t="s">
        <v>2448</v>
      </c>
      <c r="J124" s="1166" t="s">
        <v>139</v>
      </c>
      <c r="K124" s="234"/>
      <c r="L124" s="83" t="s">
        <v>2446</v>
      </c>
      <c r="M124" s="65" t="s">
        <v>2449</v>
      </c>
      <c r="N124" s="1166" t="s">
        <v>139</v>
      </c>
      <c r="O124" s="234"/>
    </row>
    <row r="125" spans="1:17" ht="12" customHeight="1">
      <c r="B125" s="46"/>
      <c r="C125" s="83" t="s">
        <v>91</v>
      </c>
      <c r="D125" s="65" t="s">
        <v>180</v>
      </c>
      <c r="E125" s="182"/>
      <c r="F125" s="182"/>
      <c r="G125" s="182"/>
      <c r="H125" s="182"/>
      <c r="J125" s="1224"/>
      <c r="K125" s="1225"/>
      <c r="L125" s="1225"/>
      <c r="M125" s="1225"/>
      <c r="N125" s="1225"/>
      <c r="O125" s="1226"/>
    </row>
    <row r="126" spans="1:17" ht="12" customHeight="1">
      <c r="B126" s="57" t="s">
        <v>2902</v>
      </c>
      <c r="C126" s="65" t="s">
        <v>1976</v>
      </c>
      <c r="D126" s="182"/>
      <c r="E126" s="182"/>
      <c r="F126" s="182"/>
      <c r="G126" s="182"/>
      <c r="H126" s="182"/>
      <c r="I126" s="52"/>
      <c r="J126" s="52"/>
      <c r="K126" s="182"/>
      <c r="L126" s="182"/>
      <c r="M126" s="737"/>
      <c r="O126" s="62" t="s">
        <v>2902</v>
      </c>
      <c r="P126" s="1166" t="s">
        <v>3834</v>
      </c>
      <c r="Q126" s="234"/>
    </row>
    <row r="127" spans="1:17" ht="12" customHeight="1">
      <c r="A127" s="194"/>
      <c r="B127" s="52"/>
      <c r="C127" s="83" t="s">
        <v>2903</v>
      </c>
      <c r="D127" s="65" t="s">
        <v>1492</v>
      </c>
      <c r="E127" s="182"/>
      <c r="F127" s="182"/>
      <c r="G127" s="182"/>
      <c r="H127" s="182"/>
      <c r="O127" s="83" t="s">
        <v>2903</v>
      </c>
      <c r="P127" s="1166" t="s">
        <v>139</v>
      </c>
      <c r="Q127" s="234"/>
    </row>
    <row r="128" spans="1:17" ht="12" customHeight="1">
      <c r="A128" s="194"/>
      <c r="B128" s="179"/>
      <c r="C128" s="83" t="s">
        <v>2904</v>
      </c>
      <c r="D128" s="65" t="s">
        <v>894</v>
      </c>
      <c r="E128" s="65"/>
      <c r="F128" s="65"/>
      <c r="G128" s="65"/>
      <c r="H128" s="65"/>
      <c r="I128" s="52"/>
      <c r="J128" s="52"/>
      <c r="K128" s="65"/>
      <c r="L128" s="65"/>
      <c r="M128" s="65"/>
      <c r="O128" s="83" t="s">
        <v>2904</v>
      </c>
      <c r="P128" s="1166" t="s">
        <v>3834</v>
      </c>
      <c r="Q128" s="234"/>
    </row>
    <row r="129" spans="1:31" ht="12" customHeight="1">
      <c r="A129" s="194"/>
      <c r="B129" s="179"/>
      <c r="C129" s="83" t="s">
        <v>2905</v>
      </c>
      <c r="D129" s="65" t="s">
        <v>1018</v>
      </c>
      <c r="E129" s="65"/>
      <c r="F129" s="65"/>
      <c r="G129" s="65"/>
      <c r="H129" s="65"/>
      <c r="I129" s="52"/>
      <c r="J129" s="52"/>
      <c r="K129" s="65"/>
      <c r="L129" s="65"/>
      <c r="M129" s="65"/>
      <c r="O129" s="83" t="s">
        <v>2905</v>
      </c>
      <c r="P129" s="1166" t="s">
        <v>70</v>
      </c>
      <c r="Q129" s="234"/>
    </row>
    <row r="130" spans="1:31" ht="12" customHeight="1">
      <c r="B130" s="57" t="s">
        <v>3251</v>
      </c>
      <c r="C130" s="65" t="s">
        <v>2919</v>
      </c>
      <c r="D130" s="182"/>
      <c r="E130" s="182"/>
      <c r="F130" s="182"/>
      <c r="G130" s="182"/>
      <c r="H130" s="182"/>
      <c r="I130" s="52"/>
      <c r="J130" s="52"/>
      <c r="K130" s="182"/>
      <c r="L130" s="182"/>
      <c r="M130" s="737"/>
      <c r="O130" s="62" t="s">
        <v>3251</v>
      </c>
      <c r="P130" s="1166" t="s">
        <v>1720</v>
      </c>
      <c r="Q130" s="234"/>
    </row>
    <row r="131" spans="1:31" ht="4.9000000000000004" customHeight="1"/>
    <row r="132" spans="1:31" ht="11.25" customHeight="1">
      <c r="B132" s="191" t="s">
        <v>3088</v>
      </c>
      <c r="D132" s="191"/>
      <c r="E132" s="191"/>
      <c r="F132" s="191"/>
      <c r="G132" s="191"/>
      <c r="H132" s="50"/>
      <c r="I132" s="179"/>
      <c r="J132" s="179"/>
      <c r="K132" s="179"/>
      <c r="L132" s="738"/>
      <c r="M132" s="738"/>
      <c r="N132" s="738"/>
      <c r="O132" s="738"/>
      <c r="P132" s="738"/>
      <c r="Q132" s="63"/>
    </row>
    <row r="133" spans="1:31" ht="12" customHeight="1">
      <c r="A133" s="1152" t="s">
        <v>52</v>
      </c>
      <c r="B133" s="1153"/>
      <c r="C133" s="1153"/>
      <c r="D133" s="1153"/>
      <c r="E133" s="1153"/>
      <c r="F133" s="1153"/>
      <c r="G133" s="1153"/>
      <c r="H133" s="1153"/>
      <c r="I133" s="1153"/>
      <c r="J133" s="1153"/>
      <c r="K133" s="1153"/>
      <c r="L133" s="1153"/>
      <c r="M133" s="1153"/>
      <c r="N133" s="1153"/>
      <c r="O133" s="1153"/>
      <c r="P133" s="1153"/>
      <c r="Q133" s="1154"/>
      <c r="R133" s="1029" t="s">
        <v>1931</v>
      </c>
      <c r="S133" s="1029"/>
      <c r="U133" s="185"/>
      <c r="V133" s="185"/>
      <c r="W133" s="185"/>
      <c r="X133" s="185"/>
      <c r="Y133" s="185"/>
      <c r="Z133" s="185"/>
      <c r="AA133" s="185"/>
      <c r="AB133" s="185"/>
      <c r="AC133" s="185"/>
      <c r="AD133" s="185"/>
      <c r="AE133" s="186"/>
    </row>
    <row r="134" spans="1:31" ht="12" customHeight="1">
      <c r="A134" s="1163" t="s">
        <v>25</v>
      </c>
      <c r="B134" s="1164"/>
      <c r="C134" s="1164"/>
      <c r="D134" s="1164"/>
      <c r="E134" s="1164"/>
      <c r="F134" s="1164"/>
      <c r="G134" s="1164"/>
      <c r="H134" s="1164"/>
      <c r="I134" s="1164"/>
      <c r="J134" s="1164"/>
      <c r="K134" s="1164"/>
      <c r="L134" s="1164"/>
      <c r="M134" s="1164"/>
      <c r="N134" s="1164"/>
      <c r="O134" s="1164"/>
      <c r="P134" s="1164"/>
      <c r="Q134" s="1165"/>
      <c r="R134" s="1029"/>
      <c r="S134" s="1029"/>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1029"/>
      <c r="S135" s="1029"/>
    </row>
    <row r="136" spans="1:31" ht="11.25" customHeight="1">
      <c r="B136" s="187" t="s">
        <v>3089</v>
      </c>
      <c r="C136" s="188"/>
      <c r="D136" s="740"/>
      <c r="E136" s="740"/>
      <c r="F136" s="740"/>
      <c r="G136" s="740"/>
      <c r="H136" s="740"/>
      <c r="I136" s="740"/>
      <c r="J136" s="740"/>
      <c r="K136" s="740"/>
      <c r="L136" s="740"/>
      <c r="M136" s="740"/>
      <c r="N136" s="740"/>
      <c r="O136" s="740"/>
      <c r="P136" s="740"/>
      <c r="Q136" s="740"/>
    </row>
    <row r="137" spans="1:31" ht="12" customHeight="1">
      <c r="A137" s="991"/>
      <c r="B137" s="992"/>
      <c r="C137" s="992"/>
      <c r="D137" s="992"/>
      <c r="E137" s="992"/>
      <c r="F137" s="992"/>
      <c r="G137" s="992"/>
      <c r="H137" s="992"/>
      <c r="I137" s="992"/>
      <c r="J137" s="992"/>
      <c r="K137" s="992"/>
      <c r="L137" s="992"/>
      <c r="M137" s="992"/>
      <c r="N137" s="992"/>
      <c r="O137" s="992"/>
      <c r="P137" s="992"/>
      <c r="Q137" s="993"/>
      <c r="R137" s="1029" t="s">
        <v>1931</v>
      </c>
      <c r="S137" s="1029"/>
    </row>
    <row r="138" spans="1:31" ht="12" customHeight="1">
      <c r="A138" s="1011"/>
      <c r="B138" s="1012"/>
      <c r="C138" s="1012"/>
      <c r="D138" s="1012"/>
      <c r="E138" s="1012"/>
      <c r="F138" s="1012"/>
      <c r="G138" s="1012"/>
      <c r="H138" s="1012"/>
      <c r="I138" s="1012"/>
      <c r="J138" s="1012"/>
      <c r="K138" s="1012"/>
      <c r="L138" s="1012"/>
      <c r="M138" s="1012"/>
      <c r="N138" s="1012"/>
      <c r="O138" s="1012"/>
      <c r="P138" s="1012"/>
      <c r="Q138" s="1013"/>
      <c r="R138" s="1029"/>
      <c r="S138" s="1029"/>
    </row>
    <row r="139" spans="1:31" ht="12" customHeight="1">
      <c r="A139" s="995"/>
      <c r="B139" s="996"/>
      <c r="C139" s="996"/>
      <c r="D139" s="996"/>
      <c r="E139" s="996"/>
      <c r="F139" s="996"/>
      <c r="G139" s="996"/>
      <c r="H139" s="996"/>
      <c r="I139" s="996"/>
      <c r="J139" s="996"/>
      <c r="K139" s="996"/>
      <c r="L139" s="996"/>
      <c r="M139" s="996"/>
      <c r="N139" s="996"/>
      <c r="O139" s="996"/>
      <c r="P139" s="996"/>
      <c r="Q139" s="997"/>
      <c r="R139" s="1029"/>
      <c r="S139" s="1029"/>
    </row>
    <row r="140" spans="1:31" ht="8.65" customHeight="1">
      <c r="A140" s="738"/>
      <c r="B140" s="179"/>
      <c r="C140" s="740"/>
      <c r="D140" s="740"/>
      <c r="E140" s="740"/>
      <c r="F140" s="740"/>
      <c r="G140" s="740"/>
      <c r="H140" s="740"/>
      <c r="I140" s="740"/>
      <c r="J140" s="740"/>
      <c r="K140" s="740"/>
      <c r="L140" s="740"/>
      <c r="M140" s="740"/>
      <c r="N140" s="740"/>
      <c r="O140" s="740"/>
      <c r="P140" s="740"/>
      <c r="Q140" s="738"/>
    </row>
    <row r="141" spans="1:31" ht="13.9" customHeight="1">
      <c r="A141" s="742">
        <v>7</v>
      </c>
      <c r="B141" s="742" t="s">
        <v>1743</v>
      </c>
      <c r="C141" s="742"/>
      <c r="D141" s="740"/>
      <c r="E141" s="740"/>
      <c r="F141" s="740"/>
      <c r="G141" s="740"/>
      <c r="H141" s="740"/>
      <c r="I141" s="740"/>
      <c r="J141" s="740"/>
      <c r="K141" s="740"/>
      <c r="O141" s="180" t="s">
        <v>3090</v>
      </c>
      <c r="P141" s="989"/>
      <c r="Q141" s="990"/>
    </row>
    <row r="142" spans="1:31" ht="10.9" customHeight="1">
      <c r="B142" s="57" t="s">
        <v>3000</v>
      </c>
      <c r="C142" s="65" t="s">
        <v>3228</v>
      </c>
      <c r="D142" s="65"/>
      <c r="E142" s="65"/>
      <c r="F142" s="65"/>
      <c r="G142" s="65"/>
      <c r="H142" s="65"/>
      <c r="N142" s="65"/>
      <c r="O142" s="62" t="s">
        <v>3000</v>
      </c>
      <c r="P142" s="1166" t="s">
        <v>3834</v>
      </c>
      <c r="Q142" s="234"/>
    </row>
    <row r="143" spans="1:31" ht="12" customHeight="1">
      <c r="A143" s="189"/>
      <c r="B143" s="57" t="s">
        <v>3112</v>
      </c>
      <c r="C143" s="190" t="s">
        <v>250</v>
      </c>
      <c r="D143" s="190"/>
      <c r="E143" s="190"/>
      <c r="F143" s="190"/>
      <c r="G143" s="190"/>
      <c r="H143" s="190"/>
      <c r="M143" s="62" t="s">
        <v>3112</v>
      </c>
      <c r="N143" s="1241" t="s">
        <v>71</v>
      </c>
      <c r="O143" s="1242"/>
      <c r="P143" s="1033"/>
      <c r="Q143" s="1034"/>
    </row>
    <row r="144" spans="1:31" ht="12" customHeight="1">
      <c r="A144" s="189"/>
      <c r="B144" s="57" t="s">
        <v>1517</v>
      </c>
      <c r="C144" s="190" t="s">
        <v>1019</v>
      </c>
      <c r="D144" s="190"/>
      <c r="E144" s="190"/>
      <c r="F144" s="190"/>
      <c r="G144" s="190"/>
      <c r="H144" s="190"/>
      <c r="J144" s="62" t="s">
        <v>1517</v>
      </c>
      <c r="K144" s="1243" t="s">
        <v>72</v>
      </c>
      <c r="L144" s="1244"/>
      <c r="M144" s="1244"/>
      <c r="N144" s="1244"/>
      <c r="O144" s="1245"/>
      <c r="P144" s="1166" t="s">
        <v>3834</v>
      </c>
      <c r="Q144" s="234"/>
    </row>
    <row r="145" spans="1:31" ht="12" customHeight="1">
      <c r="B145" s="191" t="s">
        <v>3088</v>
      </c>
      <c r="D145" s="191"/>
      <c r="E145" s="191"/>
      <c r="F145" s="191"/>
      <c r="G145" s="191"/>
      <c r="H145" s="50"/>
      <c r="I145" s="179"/>
      <c r="J145" s="179"/>
      <c r="K145" s="179"/>
      <c r="L145" s="738"/>
      <c r="M145" s="738"/>
      <c r="N145" s="738"/>
      <c r="O145" s="738"/>
      <c r="P145" s="738"/>
      <c r="Q145" s="63"/>
    </row>
    <row r="146" spans="1:31" ht="11.65" customHeight="1">
      <c r="A146" s="1152" t="s">
        <v>26</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6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3089</v>
      </c>
      <c r="C148" s="188"/>
      <c r="D148" s="740"/>
      <c r="E148" s="740"/>
      <c r="F148" s="740"/>
      <c r="G148" s="740"/>
      <c r="H148" s="740"/>
      <c r="I148" s="740"/>
      <c r="J148" s="740"/>
      <c r="K148" s="740"/>
      <c r="L148" s="740"/>
      <c r="M148" s="740"/>
      <c r="N148" s="740"/>
      <c r="O148" s="740"/>
      <c r="P148" s="740"/>
      <c r="Q148" s="740"/>
    </row>
    <row r="149" spans="1:31" ht="11.65" customHeight="1">
      <c r="A149" s="991"/>
      <c r="B149" s="992"/>
      <c r="C149" s="992"/>
      <c r="D149" s="992"/>
      <c r="E149" s="992"/>
      <c r="F149" s="992"/>
      <c r="G149" s="992"/>
      <c r="H149" s="992"/>
      <c r="I149" s="992"/>
      <c r="J149" s="992"/>
      <c r="K149" s="992"/>
      <c r="L149" s="992"/>
      <c r="M149" s="992"/>
      <c r="N149" s="992"/>
      <c r="O149" s="992"/>
      <c r="P149" s="992"/>
      <c r="Q149" s="993"/>
    </row>
    <row r="150" spans="1:31" ht="11.6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8"/>
      <c r="B151" s="179"/>
      <c r="C151" s="740"/>
      <c r="D151" s="740"/>
      <c r="E151" s="740"/>
      <c r="F151" s="740"/>
      <c r="G151" s="740"/>
      <c r="H151" s="740"/>
      <c r="I151" s="740"/>
      <c r="J151" s="740"/>
      <c r="K151" s="740"/>
      <c r="L151" s="740"/>
      <c r="M151" s="740"/>
      <c r="Q151" s="738"/>
    </row>
    <row r="152" spans="1:31" ht="13.9" customHeight="1">
      <c r="A152" s="742">
        <v>8</v>
      </c>
      <c r="B152" s="742" t="s">
        <v>833</v>
      </c>
      <c r="C152" s="742"/>
      <c r="D152" s="740"/>
      <c r="E152" s="740"/>
      <c r="F152" s="740"/>
      <c r="G152" s="740"/>
      <c r="H152" s="740"/>
      <c r="I152" s="740"/>
      <c r="J152" s="740"/>
      <c r="K152" s="740"/>
      <c r="L152" s="740"/>
      <c r="M152" s="740"/>
      <c r="O152" s="180" t="s">
        <v>3090</v>
      </c>
      <c r="P152" s="989"/>
      <c r="Q152" s="990"/>
    </row>
    <row r="153" spans="1:31" ht="12" customHeight="1">
      <c r="B153" s="192" t="s">
        <v>3000</v>
      </c>
      <c r="C153" s="190" t="s">
        <v>348</v>
      </c>
      <c r="D153" s="190"/>
      <c r="E153" s="190"/>
      <c r="F153" s="190"/>
      <c r="G153" s="190"/>
      <c r="H153" s="190"/>
      <c r="I153" s="190"/>
      <c r="J153" s="190"/>
      <c r="K153" s="190"/>
      <c r="L153" s="197"/>
      <c r="M153" s="197"/>
      <c r="N153" s="197"/>
      <c r="O153" s="221" t="s">
        <v>3000</v>
      </c>
      <c r="P153" s="1166" t="s">
        <v>3834</v>
      </c>
      <c r="Q153" s="234"/>
    </row>
    <row r="154" spans="1:31" ht="22.15" customHeight="1">
      <c r="B154" s="192" t="s">
        <v>3112</v>
      </c>
      <c r="C154" s="1002" t="s">
        <v>3810</v>
      </c>
      <c r="D154" s="1002"/>
      <c r="E154" s="1002"/>
      <c r="F154" s="1002"/>
      <c r="G154" s="1002"/>
      <c r="H154" s="1002"/>
      <c r="I154" s="1002"/>
      <c r="J154" s="1002"/>
      <c r="K154" s="1002"/>
      <c r="L154" s="1002"/>
      <c r="M154" s="1002"/>
      <c r="N154" s="1002"/>
      <c r="O154" s="221" t="s">
        <v>3112</v>
      </c>
      <c r="P154" s="1166"/>
      <c r="Q154" s="234"/>
    </row>
    <row r="155" spans="1:31" ht="12" customHeight="1">
      <c r="B155" s="191" t="s">
        <v>3088</v>
      </c>
      <c r="D155" s="191"/>
      <c r="E155" s="191"/>
      <c r="F155" s="191"/>
      <c r="G155" s="191"/>
      <c r="H155" s="50"/>
      <c r="I155" s="179"/>
      <c r="J155" s="179"/>
      <c r="K155" s="179"/>
      <c r="L155" s="738"/>
      <c r="M155" s="738"/>
      <c r="N155" s="738"/>
      <c r="O155" s="738"/>
      <c r="P155" s="738"/>
      <c r="Q155" s="63"/>
    </row>
    <row r="156" spans="1:31" ht="11.65" customHeight="1">
      <c r="A156" s="1152" t="s">
        <v>27</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6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3089</v>
      </c>
      <c r="C158" s="188"/>
      <c r="D158" s="740"/>
      <c r="E158" s="740"/>
      <c r="F158" s="740"/>
      <c r="G158" s="740"/>
      <c r="H158" s="740"/>
      <c r="I158" s="740"/>
      <c r="J158" s="740"/>
      <c r="K158" s="740"/>
      <c r="L158" s="740"/>
      <c r="M158" s="740"/>
      <c r="N158" s="740"/>
      <c r="O158" s="740"/>
      <c r="P158" s="740"/>
      <c r="Q158" s="740"/>
    </row>
    <row r="159" spans="1:31" ht="11.65" customHeight="1">
      <c r="A159" s="991"/>
      <c r="B159" s="992"/>
      <c r="C159" s="992"/>
      <c r="D159" s="992"/>
      <c r="E159" s="992"/>
      <c r="F159" s="992"/>
      <c r="G159" s="992"/>
      <c r="H159" s="992"/>
      <c r="I159" s="992"/>
      <c r="J159" s="992"/>
      <c r="K159" s="992"/>
      <c r="L159" s="992"/>
      <c r="M159" s="992"/>
      <c r="N159" s="992"/>
      <c r="O159" s="992"/>
      <c r="P159" s="992"/>
      <c r="Q159" s="993"/>
    </row>
    <row r="160" spans="1:31" ht="11.6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0"/>
      <c r="D161" s="740"/>
      <c r="E161" s="740"/>
      <c r="F161" s="740"/>
      <c r="G161" s="740"/>
      <c r="H161" s="740"/>
      <c r="I161" s="740"/>
      <c r="J161" s="740"/>
      <c r="K161" s="740"/>
      <c r="L161" s="740"/>
      <c r="M161" s="740"/>
      <c r="N161" s="740"/>
      <c r="O161" s="740"/>
      <c r="P161" s="740"/>
      <c r="Q161" s="738"/>
    </row>
    <row r="162" spans="1:31" ht="13.9" customHeight="1">
      <c r="A162" s="198">
        <v>9</v>
      </c>
      <c r="B162" s="1009" t="s">
        <v>581</v>
      </c>
      <c r="C162" s="1009"/>
      <c r="D162" s="1009"/>
      <c r="O162" s="180" t="s">
        <v>3090</v>
      </c>
      <c r="P162" s="989"/>
      <c r="Q162" s="990"/>
    </row>
    <row r="163" spans="1:31" ht="12" customHeight="1">
      <c r="B163" s="192" t="s">
        <v>3000</v>
      </c>
      <c r="C163" s="197" t="s">
        <v>852</v>
      </c>
      <c r="D163" s="197"/>
      <c r="E163" s="197"/>
      <c r="F163" s="197"/>
      <c r="G163" s="197"/>
      <c r="H163" s="197"/>
      <c r="I163" s="197"/>
      <c r="J163" s="197"/>
      <c r="K163" s="197"/>
      <c r="L163" s="197"/>
      <c r="M163" s="197"/>
      <c r="O163" s="221" t="s">
        <v>3000</v>
      </c>
      <c r="P163" s="1166" t="s">
        <v>3834</v>
      </c>
      <c r="Q163" s="234"/>
    </row>
    <row r="164" spans="1:31" ht="12" customHeight="1">
      <c r="B164" s="192" t="s">
        <v>3112</v>
      </c>
      <c r="C164" s="190" t="s">
        <v>774</v>
      </c>
      <c r="D164" s="190"/>
      <c r="E164" s="190"/>
      <c r="F164" s="190"/>
      <c r="G164" s="190"/>
      <c r="H164" s="190"/>
      <c r="I164" s="190"/>
      <c r="J164" s="190"/>
      <c r="K164" s="190"/>
      <c r="L164" s="190"/>
      <c r="M164" s="190"/>
      <c r="O164" s="221" t="s">
        <v>3112</v>
      </c>
      <c r="P164" s="1166" t="s">
        <v>3834</v>
      </c>
      <c r="Q164" s="234"/>
    </row>
    <row r="165" spans="1:31" ht="12" customHeight="1">
      <c r="B165" s="192" t="s">
        <v>1517</v>
      </c>
      <c r="C165" s="197" t="s">
        <v>947</v>
      </c>
      <c r="D165" s="197"/>
      <c r="E165" s="197"/>
      <c r="F165" s="197"/>
      <c r="G165" s="197"/>
      <c r="H165" s="197"/>
      <c r="I165" s="197"/>
      <c r="J165" s="197"/>
      <c r="K165" s="197"/>
      <c r="L165" s="197"/>
      <c r="M165" s="197"/>
      <c r="O165" s="221" t="s">
        <v>1517</v>
      </c>
      <c r="P165" s="1166" t="s">
        <v>3834</v>
      </c>
      <c r="Q165" s="234"/>
    </row>
    <row r="166" spans="1:31" ht="12" customHeight="1">
      <c r="B166" s="192" t="s">
        <v>3316</v>
      </c>
      <c r="C166" s="197" t="s">
        <v>948</v>
      </c>
      <c r="D166" s="197"/>
      <c r="E166" s="197"/>
      <c r="F166" s="197"/>
      <c r="G166" s="197"/>
      <c r="H166" s="197"/>
      <c r="I166" s="197"/>
      <c r="J166" s="197"/>
      <c r="K166" s="197"/>
      <c r="L166" s="197"/>
      <c r="M166" s="197"/>
      <c r="O166" s="221" t="s">
        <v>3316</v>
      </c>
      <c r="P166" s="1166" t="s">
        <v>3834</v>
      </c>
      <c r="Q166" s="234"/>
    </row>
    <row r="167" spans="1:31" ht="12" customHeight="1">
      <c r="B167" s="192" t="s">
        <v>2901</v>
      </c>
      <c r="C167" s="197" t="s">
        <v>3715</v>
      </c>
      <c r="D167" s="197"/>
      <c r="E167" s="197"/>
      <c r="F167" s="197"/>
      <c r="G167" s="197"/>
      <c r="H167" s="197"/>
      <c r="I167" s="197"/>
      <c r="J167" s="197"/>
      <c r="K167" s="197"/>
      <c r="L167" s="197"/>
      <c r="M167" s="197"/>
      <c r="O167" s="221" t="s">
        <v>2901</v>
      </c>
      <c r="P167" s="1166" t="s">
        <v>3834</v>
      </c>
      <c r="Q167" s="234"/>
    </row>
    <row r="168" spans="1:31" ht="12" customHeight="1">
      <c r="B168" s="191" t="s">
        <v>3088</v>
      </c>
      <c r="D168" s="191"/>
      <c r="E168" s="191"/>
      <c r="F168" s="191"/>
      <c r="G168" s="191"/>
      <c r="H168" s="50"/>
      <c r="I168" s="179"/>
      <c r="J168" s="179"/>
      <c r="K168" s="179"/>
      <c r="L168" s="738"/>
      <c r="M168" s="738"/>
      <c r="N168" s="738"/>
      <c r="O168" s="738"/>
      <c r="P168" s="738"/>
      <c r="Q168" s="63"/>
    </row>
    <row r="169" spans="1:31" ht="11.65" customHeight="1">
      <c r="A169" s="1152"/>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6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3089</v>
      </c>
      <c r="C171" s="188"/>
      <c r="D171" s="740"/>
      <c r="E171" s="740"/>
      <c r="F171" s="740"/>
      <c r="G171" s="740"/>
      <c r="H171" s="740"/>
      <c r="I171" s="740"/>
      <c r="J171" s="740"/>
      <c r="K171" s="740"/>
      <c r="L171" s="740"/>
      <c r="M171" s="740"/>
      <c r="N171" s="740"/>
      <c r="O171" s="740"/>
      <c r="P171" s="740"/>
      <c r="Q171" s="740"/>
    </row>
    <row r="172" spans="1:31" ht="11.65" customHeight="1">
      <c r="A172" s="991"/>
      <c r="B172" s="992"/>
      <c r="C172" s="992"/>
      <c r="D172" s="992"/>
      <c r="E172" s="992"/>
      <c r="F172" s="992"/>
      <c r="G172" s="992"/>
      <c r="H172" s="992"/>
      <c r="I172" s="992"/>
      <c r="J172" s="992"/>
      <c r="K172" s="992"/>
      <c r="L172" s="992"/>
      <c r="M172" s="992"/>
      <c r="N172" s="992"/>
      <c r="O172" s="992"/>
      <c r="P172" s="992"/>
      <c r="Q172" s="993"/>
    </row>
    <row r="173" spans="1:31" ht="11.6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8"/>
      <c r="B174" s="179"/>
      <c r="C174" s="740"/>
      <c r="D174" s="740"/>
      <c r="E174" s="740"/>
      <c r="F174" s="740"/>
      <c r="G174" s="740"/>
      <c r="H174" s="740"/>
      <c r="I174" s="740"/>
      <c r="J174" s="740"/>
      <c r="K174" s="740"/>
      <c r="L174" s="740"/>
      <c r="M174" s="740"/>
      <c r="N174" s="740"/>
      <c r="O174" s="740"/>
      <c r="P174" s="740"/>
      <c r="Q174" s="738"/>
    </row>
    <row r="175" spans="1:31" ht="13.9" customHeight="1">
      <c r="A175" s="742">
        <v>10</v>
      </c>
      <c r="B175" s="742" t="s">
        <v>479</v>
      </c>
      <c r="C175" s="742"/>
      <c r="D175" s="740"/>
      <c r="E175" s="199"/>
      <c r="F175" s="199"/>
      <c r="G175" s="740"/>
      <c r="J175" s="1015"/>
      <c r="K175" s="1015"/>
      <c r="L175" s="1015"/>
      <c r="M175" s="1015"/>
      <c r="N175" s="1015"/>
      <c r="O175" s="180" t="s">
        <v>3090</v>
      </c>
      <c r="P175" s="989"/>
      <c r="Q175" s="990"/>
    </row>
    <row r="176" spans="1:31" ht="12" customHeight="1">
      <c r="A176" s="189"/>
      <c r="B176" s="57" t="s">
        <v>3000</v>
      </c>
      <c r="C176" s="1002" t="s">
        <v>160</v>
      </c>
      <c r="D176" s="1002"/>
      <c r="E176" s="1002"/>
      <c r="F176" s="1002"/>
      <c r="G176" s="1002"/>
      <c r="H176" s="83" t="s">
        <v>2903</v>
      </c>
      <c r="I176" s="65" t="s">
        <v>252</v>
      </c>
      <c r="J176" s="1224" t="s">
        <v>46</v>
      </c>
      <c r="K176" s="1225"/>
      <c r="L176" s="1225"/>
      <c r="M176" s="1225"/>
      <c r="N176" s="1226"/>
      <c r="O176" s="83" t="s">
        <v>2903</v>
      </c>
      <c r="P176" s="1166" t="s">
        <v>139</v>
      </c>
      <c r="Q176" s="234"/>
    </row>
    <row r="177" spans="1:31" ht="12" customHeight="1">
      <c r="A177" s="189"/>
      <c r="B177" s="179"/>
      <c r="C177" s="141"/>
      <c r="D177" s="141"/>
      <c r="E177" s="141"/>
      <c r="F177" s="141"/>
      <c r="H177" s="83" t="s">
        <v>2904</v>
      </c>
      <c r="I177" s="65" t="s">
        <v>2515</v>
      </c>
      <c r="J177" s="1224" t="s">
        <v>4107</v>
      </c>
      <c r="K177" s="1225"/>
      <c r="L177" s="1225"/>
      <c r="M177" s="1225"/>
      <c r="N177" s="1226"/>
      <c r="O177" s="83" t="s">
        <v>2904</v>
      </c>
      <c r="P177" s="1166" t="s">
        <v>3834</v>
      </c>
      <c r="Q177" s="234"/>
    </row>
    <row r="178" spans="1:31" ht="12" customHeight="1">
      <c r="B178" s="191" t="s">
        <v>3088</v>
      </c>
      <c r="D178" s="191"/>
      <c r="E178" s="191"/>
      <c r="F178" s="191"/>
      <c r="G178" s="191"/>
      <c r="J178" s="179"/>
      <c r="K178" s="179"/>
      <c r="L178" s="738"/>
      <c r="M178" s="738"/>
      <c r="N178" s="738"/>
      <c r="O178" s="738"/>
      <c r="P178" s="738"/>
      <c r="Q178" s="63"/>
    </row>
    <row r="179" spans="1:31" ht="11.65" customHeight="1">
      <c r="A179" s="1159" t="s">
        <v>4106</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3089</v>
      </c>
      <c r="C180" s="188"/>
      <c r="D180" s="740"/>
      <c r="E180" s="740"/>
      <c r="F180" s="740"/>
      <c r="G180" s="740"/>
      <c r="H180" s="740"/>
      <c r="I180" s="740"/>
      <c r="J180" s="740"/>
      <c r="K180" s="740"/>
      <c r="L180" s="740"/>
      <c r="M180" s="740"/>
      <c r="N180" s="740"/>
      <c r="O180" s="740"/>
      <c r="P180" s="740"/>
      <c r="Q180" s="740"/>
    </row>
    <row r="181" spans="1:31" ht="11.65" customHeight="1">
      <c r="A181" s="998"/>
      <c r="B181" s="999"/>
      <c r="C181" s="999"/>
      <c r="D181" s="999"/>
      <c r="E181" s="999"/>
      <c r="F181" s="999"/>
      <c r="G181" s="999"/>
      <c r="H181" s="999"/>
      <c r="I181" s="999"/>
      <c r="J181" s="999"/>
      <c r="K181" s="999"/>
      <c r="L181" s="999"/>
      <c r="M181" s="999"/>
      <c r="N181" s="999"/>
      <c r="O181" s="999"/>
      <c r="P181" s="999"/>
      <c r="Q181" s="1000"/>
    </row>
    <row r="182" spans="1:31" ht="4.1500000000000004" customHeight="1">
      <c r="B182" s="179"/>
      <c r="C182" s="740"/>
      <c r="D182" s="740"/>
      <c r="E182" s="740"/>
      <c r="F182" s="740"/>
      <c r="G182" s="740"/>
      <c r="H182" s="740"/>
      <c r="I182" s="740"/>
      <c r="J182" s="740"/>
      <c r="K182" s="740"/>
      <c r="L182" s="740"/>
      <c r="M182" s="740"/>
      <c r="Q182" s="63"/>
    </row>
    <row r="183" spans="1:31" ht="13.9" customHeight="1">
      <c r="A183" s="742">
        <v>11</v>
      </c>
      <c r="B183" s="5" t="s">
        <v>3813</v>
      </c>
      <c r="C183" s="5"/>
      <c r="D183" s="118"/>
      <c r="E183" s="118"/>
      <c r="F183" s="118"/>
      <c r="G183" s="740"/>
      <c r="H183" s="740"/>
      <c r="I183" s="740"/>
      <c r="J183" s="740"/>
      <c r="K183" s="740"/>
      <c r="L183" s="740"/>
      <c r="M183" s="740"/>
      <c r="O183" s="180" t="s">
        <v>3090</v>
      </c>
      <c r="P183" s="989"/>
      <c r="Q183" s="990"/>
    </row>
    <row r="184" spans="1:31" ht="4.1500000000000004" customHeight="1"/>
    <row r="185" spans="1:31" ht="11.65" customHeight="1">
      <c r="B185" s="192" t="s">
        <v>3000</v>
      </c>
      <c r="C185" s="667" t="s">
        <v>2903</v>
      </c>
      <c r="D185" s="666" t="s">
        <v>1038</v>
      </c>
      <c r="E185" s="666"/>
      <c r="F185" s="666"/>
      <c r="G185" s="666"/>
      <c r="H185" s="666"/>
      <c r="I185" s="666"/>
      <c r="J185" s="666"/>
      <c r="K185" s="666"/>
      <c r="L185" s="666"/>
      <c r="M185" s="666"/>
      <c r="N185" s="666"/>
      <c r="O185" s="221" t="s">
        <v>2501</v>
      </c>
      <c r="P185" s="1166" t="s">
        <v>139</v>
      </c>
      <c r="Q185" s="234"/>
    </row>
    <row r="186" spans="1:31" ht="11.65" customHeight="1">
      <c r="B186" s="192"/>
      <c r="C186" s="667" t="s">
        <v>2904</v>
      </c>
      <c r="D186" s="666" t="s">
        <v>2350</v>
      </c>
      <c r="E186" s="666"/>
      <c r="F186" s="666"/>
      <c r="G186" s="666"/>
      <c r="H186" s="666"/>
      <c r="I186" s="666"/>
      <c r="J186" s="666"/>
      <c r="K186" s="666"/>
      <c r="L186" s="666"/>
      <c r="M186" s="666"/>
      <c r="N186" s="666"/>
      <c r="O186" s="221" t="s">
        <v>2904</v>
      </c>
      <c r="P186" s="1166"/>
      <c r="Q186" s="234"/>
    </row>
    <row r="187" spans="1:31" ht="11.65" customHeight="1">
      <c r="A187" s="189"/>
      <c r="B187" s="192" t="s">
        <v>3112</v>
      </c>
      <c r="C187" s="1002" t="s">
        <v>3063</v>
      </c>
      <c r="D187" s="1002"/>
      <c r="E187" s="1002"/>
      <c r="F187" s="1002"/>
      <c r="G187" s="1002"/>
      <c r="H187" s="83" t="s">
        <v>2903</v>
      </c>
      <c r="I187" s="65" t="s">
        <v>1138</v>
      </c>
      <c r="J187" s="1224" t="s">
        <v>4108</v>
      </c>
      <c r="K187" s="1225"/>
      <c r="L187" s="1225"/>
      <c r="M187" s="1225"/>
      <c r="N187" s="1226"/>
      <c r="O187" s="83" t="s">
        <v>2209</v>
      </c>
      <c r="P187" s="1166" t="s">
        <v>3834</v>
      </c>
      <c r="Q187" s="234"/>
    </row>
    <row r="188" spans="1:31" ht="11.65" customHeight="1">
      <c r="A188" s="189"/>
      <c r="B188" s="746"/>
      <c r="C188" s="1002"/>
      <c r="D188" s="1002"/>
      <c r="E188" s="1002"/>
      <c r="F188" s="1002"/>
      <c r="G188" s="1002"/>
      <c r="H188" s="83" t="s">
        <v>2904</v>
      </c>
      <c r="I188" s="65" t="s">
        <v>278</v>
      </c>
      <c r="J188" s="1224" t="s">
        <v>28</v>
      </c>
      <c r="K188" s="1225"/>
      <c r="L188" s="1225"/>
      <c r="M188" s="1225"/>
      <c r="N188" s="1226"/>
      <c r="O188" s="83" t="s">
        <v>2904</v>
      </c>
      <c r="P188" s="1166" t="s">
        <v>3834</v>
      </c>
      <c r="Q188" s="234"/>
    </row>
    <row r="189" spans="1:31" ht="11.25" customHeight="1">
      <c r="B189" s="191" t="s">
        <v>3088</v>
      </c>
      <c r="D189" s="191"/>
      <c r="E189" s="191"/>
      <c r="F189" s="191"/>
      <c r="G189" s="191"/>
      <c r="H189" s="50"/>
      <c r="I189" s="179"/>
      <c r="J189" s="179"/>
      <c r="K189" s="179"/>
      <c r="L189" s="738"/>
      <c r="M189" s="738"/>
      <c r="N189" s="738"/>
      <c r="O189" s="738"/>
      <c r="P189" s="738"/>
      <c r="Q189" s="63"/>
    </row>
    <row r="190" spans="1:31" ht="11.65" customHeight="1">
      <c r="A190" s="1159"/>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3089</v>
      </c>
      <c r="C191" s="188"/>
      <c r="D191" s="740"/>
      <c r="E191" s="740"/>
      <c r="F191" s="740"/>
      <c r="G191" s="740"/>
      <c r="H191" s="740"/>
      <c r="I191" s="740"/>
      <c r="J191" s="740"/>
      <c r="K191" s="740"/>
      <c r="L191" s="740"/>
      <c r="M191" s="740"/>
      <c r="N191" s="740"/>
      <c r="O191" s="740"/>
      <c r="P191" s="740"/>
      <c r="Q191" s="740"/>
    </row>
    <row r="192" spans="1:31" ht="11.65" customHeight="1">
      <c r="A192" s="998"/>
      <c r="B192" s="999"/>
      <c r="C192" s="999"/>
      <c r="D192" s="999"/>
      <c r="E192" s="999"/>
      <c r="F192" s="999"/>
      <c r="G192" s="999"/>
      <c r="H192" s="999"/>
      <c r="I192" s="999"/>
      <c r="J192" s="999"/>
      <c r="K192" s="999"/>
      <c r="L192" s="999"/>
      <c r="M192" s="999"/>
      <c r="N192" s="999"/>
      <c r="O192" s="999"/>
      <c r="P192" s="999"/>
      <c r="Q192" s="1000"/>
    </row>
    <row r="193" spans="1:31" ht="3" customHeight="1">
      <c r="A193" s="738"/>
      <c r="B193" s="179"/>
      <c r="C193" s="740"/>
      <c r="D193" s="740"/>
      <c r="E193" s="740"/>
      <c r="F193" s="740"/>
      <c r="G193" s="740"/>
      <c r="H193" s="740"/>
      <c r="I193" s="740"/>
      <c r="J193" s="740"/>
      <c r="K193" s="740"/>
      <c r="L193" s="740"/>
      <c r="M193" s="740"/>
      <c r="Q193" s="738"/>
    </row>
    <row r="194" spans="1:31" ht="13.9" customHeight="1">
      <c r="A194" s="742">
        <v>12</v>
      </c>
      <c r="B194" s="5" t="s">
        <v>370</v>
      </c>
      <c r="C194" s="5"/>
      <c r="D194" s="118"/>
      <c r="E194" s="118"/>
      <c r="F194" s="118"/>
      <c r="G194" s="118"/>
      <c r="H194" s="740"/>
      <c r="I194" s="740"/>
      <c r="J194" s="740"/>
      <c r="K194" s="740"/>
      <c r="L194" s="740"/>
      <c r="M194" s="740"/>
      <c r="O194" s="180" t="s">
        <v>3090</v>
      </c>
      <c r="P194" s="989"/>
      <c r="Q194" s="990"/>
    </row>
    <row r="195" spans="1:31" ht="10.9" customHeight="1">
      <c r="B195" s="195" t="s">
        <v>371</v>
      </c>
    </row>
    <row r="196" spans="1:31" ht="11.65" customHeight="1">
      <c r="B196" s="57" t="s">
        <v>3000</v>
      </c>
      <c r="C196" s="65" t="s">
        <v>375</v>
      </c>
      <c r="D196" s="52"/>
      <c r="E196" s="65"/>
      <c r="F196" s="65"/>
      <c r="G196" s="65"/>
      <c r="H196" s="65"/>
      <c r="I196" s="52"/>
      <c r="J196" s="52"/>
      <c r="K196" s="52"/>
      <c r="L196" s="197"/>
      <c r="M196" s="197"/>
      <c r="O196" s="221" t="s">
        <v>3000</v>
      </c>
      <c r="P196" s="1166" t="s">
        <v>3834</v>
      </c>
      <c r="Q196" s="234"/>
    </row>
    <row r="197" spans="1:31" ht="11.65" customHeight="1">
      <c r="B197" s="57" t="s">
        <v>3112</v>
      </c>
      <c r="C197" s="65" t="s">
        <v>372</v>
      </c>
      <c r="D197" s="65"/>
      <c r="E197" s="65"/>
      <c r="F197" s="65"/>
      <c r="G197" s="65"/>
      <c r="H197" s="65"/>
      <c r="I197" s="52"/>
      <c r="J197" s="52"/>
      <c r="K197" s="52"/>
      <c r="L197" s="190"/>
      <c r="M197" s="190"/>
      <c r="O197" s="221" t="s">
        <v>3112</v>
      </c>
      <c r="P197" s="1166" t="s">
        <v>3834</v>
      </c>
      <c r="Q197" s="234"/>
    </row>
    <row r="198" spans="1:31" s="200" customFormat="1" ht="11.65" customHeight="1">
      <c r="B198" s="57" t="s">
        <v>1517</v>
      </c>
      <c r="C198" s="65" t="s">
        <v>373</v>
      </c>
      <c r="D198" s="65"/>
      <c r="E198" s="65"/>
      <c r="F198" s="65"/>
      <c r="G198" s="65"/>
      <c r="H198" s="65"/>
      <c r="I198" s="129"/>
      <c r="J198" s="129"/>
      <c r="K198" s="129"/>
      <c r="L198" s="197"/>
      <c r="M198" s="197"/>
      <c r="N198" s="45"/>
      <c r="O198" s="221" t="s">
        <v>1517</v>
      </c>
      <c r="P198" s="1166" t="s">
        <v>3834</v>
      </c>
      <c r="Q198" s="234"/>
    </row>
    <row r="199" spans="1:31" s="200" customFormat="1" ht="11.65" customHeight="1">
      <c r="B199" s="57" t="s">
        <v>3316</v>
      </c>
      <c r="C199" s="65" t="s">
        <v>374</v>
      </c>
      <c r="D199" s="65"/>
      <c r="E199" s="65"/>
      <c r="F199" s="65"/>
      <c r="G199" s="65"/>
      <c r="H199" s="65"/>
      <c r="I199" s="129"/>
      <c r="J199" s="129"/>
      <c r="K199" s="129"/>
      <c r="L199" s="129"/>
      <c r="M199" s="129"/>
      <c r="O199" s="62" t="s">
        <v>3316</v>
      </c>
      <c r="P199" s="1166" t="s">
        <v>139</v>
      </c>
      <c r="Q199" s="234"/>
    </row>
    <row r="200" spans="1:31" ht="11.25" customHeight="1">
      <c r="B200" s="191" t="s">
        <v>3088</v>
      </c>
      <c r="D200" s="191"/>
      <c r="E200" s="191"/>
      <c r="F200" s="191"/>
      <c r="G200" s="191"/>
      <c r="H200" s="50"/>
      <c r="I200" s="179"/>
      <c r="J200" s="179"/>
      <c r="K200" s="179"/>
      <c r="L200" s="738"/>
      <c r="M200" s="738"/>
      <c r="N200" s="738"/>
      <c r="O200" s="738"/>
      <c r="P200" s="738"/>
      <c r="Q200" s="63"/>
    </row>
    <row r="201" spans="1:31" ht="13.15" customHeight="1">
      <c r="A201" s="1152" t="s">
        <v>29</v>
      </c>
      <c r="B201" s="1153"/>
      <c r="C201" s="1153"/>
      <c r="D201" s="1153"/>
      <c r="E201" s="1153"/>
      <c r="F201" s="1153"/>
      <c r="G201" s="1153"/>
      <c r="H201" s="1153"/>
      <c r="I201" s="1153"/>
      <c r="J201" s="1153"/>
      <c r="K201" s="1153"/>
      <c r="L201" s="1153"/>
      <c r="M201" s="1153"/>
      <c r="N201" s="1153"/>
      <c r="O201" s="1153"/>
      <c r="P201" s="1153"/>
      <c r="Q201" s="1154"/>
      <c r="R201" s="1029" t="s">
        <v>1931</v>
      </c>
      <c r="S201" s="1029"/>
      <c r="U201" s="185"/>
      <c r="V201" s="185"/>
      <c r="W201" s="185"/>
      <c r="X201" s="185"/>
      <c r="Y201" s="185"/>
      <c r="Z201" s="185"/>
      <c r="AA201" s="185"/>
      <c r="AB201" s="185"/>
      <c r="AC201" s="185"/>
      <c r="AD201" s="185"/>
      <c r="AE201" s="186"/>
    </row>
    <row r="202" spans="1:31" ht="13.15" customHeight="1">
      <c r="A202" s="1155" t="s">
        <v>23</v>
      </c>
      <c r="B202" s="1156"/>
      <c r="C202" s="1156"/>
      <c r="D202" s="1156"/>
      <c r="E202" s="1156"/>
      <c r="F202" s="1156"/>
      <c r="G202" s="1156"/>
      <c r="H202" s="1156"/>
      <c r="I202" s="1156"/>
      <c r="J202" s="1156"/>
      <c r="K202" s="1156"/>
      <c r="L202" s="1156"/>
      <c r="M202" s="1156"/>
      <c r="N202" s="1156"/>
      <c r="O202" s="1156"/>
      <c r="P202" s="1156"/>
      <c r="Q202" s="1157"/>
      <c r="R202" s="1029"/>
      <c r="S202" s="1029"/>
    </row>
    <row r="203" spans="1:31" s="31" customFormat="1" ht="3" customHeight="1">
      <c r="C203" s="134"/>
      <c r="D203" s="134"/>
      <c r="R203" s="1029"/>
      <c r="S203" s="1029"/>
    </row>
    <row r="204" spans="1:31" ht="11.25" customHeight="1">
      <c r="B204" s="187" t="s">
        <v>3089</v>
      </c>
      <c r="C204" s="188"/>
      <c r="D204" s="740"/>
      <c r="E204" s="740"/>
      <c r="F204" s="740"/>
      <c r="G204" s="740"/>
      <c r="H204" s="740"/>
      <c r="I204" s="740"/>
      <c r="J204" s="740"/>
      <c r="K204" s="740"/>
      <c r="L204" s="740"/>
      <c r="M204" s="740"/>
      <c r="N204" s="740"/>
      <c r="O204" s="740"/>
      <c r="P204" s="740"/>
      <c r="Q204" s="740"/>
    </row>
    <row r="205" spans="1:31" ht="13.15" customHeight="1">
      <c r="A205" s="991"/>
      <c r="B205" s="992"/>
      <c r="C205" s="992"/>
      <c r="D205" s="992"/>
      <c r="E205" s="992"/>
      <c r="F205" s="992"/>
      <c r="G205" s="992"/>
      <c r="H205" s="992"/>
      <c r="I205" s="992"/>
      <c r="J205" s="992"/>
      <c r="K205" s="992"/>
      <c r="L205" s="992"/>
      <c r="M205" s="992"/>
      <c r="N205" s="992"/>
      <c r="O205" s="992"/>
      <c r="P205" s="992"/>
      <c r="Q205" s="993"/>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8"/>
      <c r="B207" s="179"/>
      <c r="C207" s="740"/>
      <c r="D207" s="740"/>
      <c r="E207" s="740"/>
      <c r="F207" s="740"/>
      <c r="G207" s="740"/>
      <c r="H207" s="740"/>
      <c r="I207" s="740"/>
      <c r="J207" s="740"/>
      <c r="K207" s="740"/>
      <c r="L207" s="740"/>
      <c r="M207" s="740"/>
      <c r="Q207" s="738"/>
    </row>
    <row r="208" spans="1:31" ht="13.9" customHeight="1">
      <c r="A208" s="742">
        <v>13</v>
      </c>
      <c r="B208" s="742" t="s">
        <v>709</v>
      </c>
      <c r="C208" s="153"/>
      <c r="D208" s="740"/>
      <c r="E208" s="740"/>
      <c r="F208" s="740"/>
      <c r="G208" s="740"/>
      <c r="H208" s="740"/>
      <c r="I208" s="740"/>
      <c r="J208" s="740"/>
      <c r="K208" s="740"/>
      <c r="L208" s="740"/>
      <c r="M208" s="740"/>
      <c r="O208" s="180" t="s">
        <v>3090</v>
      </c>
      <c r="P208" s="989"/>
      <c r="Q208" s="990"/>
    </row>
    <row r="209" spans="1:19" s="31" customFormat="1" ht="11.65" customHeight="1">
      <c r="B209" s="195" t="s">
        <v>1843</v>
      </c>
      <c r="N209" s="165"/>
      <c r="P209" s="1166" t="s">
        <v>139</v>
      </c>
      <c r="Q209" s="234"/>
    </row>
    <row r="210" spans="1:19" ht="12" customHeight="1">
      <c r="B210" s="57" t="s">
        <v>3000</v>
      </c>
      <c r="C210" s="118" t="s">
        <v>2214</v>
      </c>
      <c r="D210" s="52"/>
      <c r="E210" s="52"/>
      <c r="F210" s="52"/>
      <c r="G210" s="52"/>
      <c r="H210" s="52"/>
      <c r="I210" s="52"/>
      <c r="J210" s="52"/>
      <c r="K210" s="52"/>
      <c r="L210" s="52"/>
      <c r="M210" s="52"/>
    </row>
    <row r="211" spans="1:19" ht="11.65" customHeight="1">
      <c r="B211" s="57"/>
      <c r="C211" s="83" t="s">
        <v>2903</v>
      </c>
      <c r="D211" s="65" t="s">
        <v>3242</v>
      </c>
      <c r="E211" s="65"/>
      <c r="F211" s="65"/>
      <c r="G211" s="65"/>
      <c r="H211" s="65"/>
      <c r="I211" s="52"/>
      <c r="J211" s="52"/>
      <c r="K211" s="52"/>
      <c r="L211" s="83" t="s">
        <v>2501</v>
      </c>
      <c r="M211" s="1224" t="s">
        <v>976</v>
      </c>
      <c r="N211" s="1225"/>
      <c r="O211" s="1226"/>
      <c r="P211" s="1166" t="s">
        <v>66</v>
      </c>
      <c r="Q211" s="234"/>
    </row>
    <row r="212" spans="1:19" ht="11.65" customHeight="1">
      <c r="B212" s="57"/>
      <c r="C212" s="83" t="s">
        <v>2904</v>
      </c>
      <c r="D212" s="40" t="s">
        <v>381</v>
      </c>
      <c r="E212" s="40"/>
      <c r="F212" s="40"/>
      <c r="G212" s="40"/>
      <c r="H212" s="40"/>
      <c r="I212" s="52"/>
      <c r="J212" s="52"/>
      <c r="K212" s="52"/>
      <c r="L212" s="83" t="s">
        <v>2502</v>
      </c>
      <c r="M212" s="1224" t="s">
        <v>4109</v>
      </c>
      <c r="N212" s="1225"/>
      <c r="O212" s="1226"/>
      <c r="P212" s="1166" t="s">
        <v>66</v>
      </c>
      <c r="Q212" s="234"/>
    </row>
    <row r="213" spans="1:19" ht="11.65" customHeight="1">
      <c r="B213" s="57"/>
      <c r="C213" s="83" t="s">
        <v>2905</v>
      </c>
      <c r="D213" s="40" t="s">
        <v>991</v>
      </c>
      <c r="E213" s="40"/>
      <c r="F213" s="40"/>
      <c r="G213" s="40"/>
      <c r="H213" s="40"/>
      <c r="I213" s="52"/>
      <c r="J213" s="52"/>
      <c r="K213" s="52"/>
      <c r="L213" s="83" t="s">
        <v>2503</v>
      </c>
      <c r="M213" s="1246" t="s">
        <v>4089</v>
      </c>
      <c r="N213" s="1247"/>
      <c r="O213" s="1248"/>
      <c r="P213" s="1166" t="s">
        <v>66</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3112</v>
      </c>
      <c r="C215" s="299" t="s">
        <v>3987</v>
      </c>
      <c r="D215" s="65"/>
      <c r="E215" s="65"/>
      <c r="F215" s="65"/>
      <c r="G215" s="65"/>
      <c r="H215" s="65"/>
      <c r="I215" s="65"/>
      <c r="J215" s="65"/>
      <c r="K215" s="52"/>
      <c r="L215" s="52"/>
      <c r="M215" s="52"/>
      <c r="N215" s="52"/>
      <c r="O215" s="62" t="s">
        <v>3112</v>
      </c>
      <c r="P215" s="1166" t="s">
        <v>66</v>
      </c>
      <c r="Q215" s="234"/>
    </row>
    <row r="216" spans="1:19" ht="10.9" customHeight="1">
      <c r="B216" s="57"/>
      <c r="C216" s="65" t="s">
        <v>3811</v>
      </c>
      <c r="D216" s="65"/>
      <c r="E216" s="65"/>
      <c r="F216" s="65"/>
      <c r="G216" s="65"/>
      <c r="H216" s="65"/>
      <c r="I216" s="65"/>
      <c r="J216" s="65"/>
      <c r="K216" s="52"/>
      <c r="L216" s="52"/>
      <c r="M216" s="52"/>
      <c r="N216" s="52"/>
      <c r="O216" s="52"/>
      <c r="P216" s="994" t="s">
        <v>154</v>
      </c>
      <c r="Q216" s="994"/>
    </row>
    <row r="217" spans="1:19" ht="10.9" customHeight="1">
      <c r="B217" s="57"/>
      <c r="D217" s="65" t="s">
        <v>153</v>
      </c>
      <c r="E217" s="65"/>
      <c r="F217" s="65"/>
      <c r="G217" s="65"/>
      <c r="I217" s="453" t="s">
        <v>1710</v>
      </c>
      <c r="J217" s="454" t="s">
        <v>1711</v>
      </c>
      <c r="L217" s="65" t="s">
        <v>153</v>
      </c>
      <c r="M217" s="52"/>
      <c r="N217" s="52"/>
      <c r="O217" s="453"/>
      <c r="P217" s="455" t="s">
        <v>1710</v>
      </c>
      <c r="Q217" s="454" t="s">
        <v>1711</v>
      </c>
    </row>
    <row r="218" spans="1:19" s="53" customFormat="1" ht="11.65" customHeight="1">
      <c r="A218" s="129"/>
      <c r="B218" s="64"/>
      <c r="C218" s="83" t="s">
        <v>2903</v>
      </c>
      <c r="D218" s="1152" t="s">
        <v>4057</v>
      </c>
      <c r="E218" s="1153"/>
      <c r="F218" s="1153"/>
      <c r="G218" s="1153"/>
      <c r="H218" s="1154"/>
      <c r="I218" s="456"/>
      <c r="J218" s="294"/>
      <c r="K218" s="83" t="s">
        <v>2905</v>
      </c>
      <c r="L218" s="1152"/>
      <c r="M218" s="1153"/>
      <c r="N218" s="1153"/>
      <c r="O218" s="1154"/>
      <c r="P218" s="354"/>
      <c r="Q218" s="294"/>
    </row>
    <row r="219" spans="1:19" s="53" customFormat="1" ht="11.65" customHeight="1">
      <c r="A219" s="129"/>
      <c r="B219" s="64"/>
      <c r="C219" s="83" t="s">
        <v>2904</v>
      </c>
      <c r="D219" s="1155" t="s">
        <v>4058</v>
      </c>
      <c r="E219" s="1156"/>
      <c r="F219" s="1156"/>
      <c r="G219" s="1156"/>
      <c r="H219" s="1157"/>
      <c r="I219" s="689"/>
      <c r="J219" s="295"/>
      <c r="K219" s="83" t="s">
        <v>3672</v>
      </c>
      <c r="L219" s="1155"/>
      <c r="M219" s="1156"/>
      <c r="N219" s="1156"/>
      <c r="O219" s="1157"/>
      <c r="P219" s="355"/>
      <c r="Q219" s="295"/>
    </row>
    <row r="220" spans="1:19" ht="3.4" customHeight="1">
      <c r="B220" s="46"/>
      <c r="C220" s="52"/>
      <c r="D220" s="52"/>
      <c r="E220" s="52"/>
      <c r="F220" s="52"/>
      <c r="G220" s="52"/>
      <c r="H220" s="52"/>
      <c r="I220" s="52"/>
      <c r="J220" s="52"/>
      <c r="K220" s="52"/>
      <c r="L220" s="52"/>
      <c r="M220" s="52"/>
      <c r="N220" s="52"/>
      <c r="O220" s="52"/>
      <c r="P220" s="52"/>
      <c r="Q220" s="52"/>
    </row>
    <row r="221" spans="1:19" ht="12" customHeight="1">
      <c r="B221" s="57" t="s">
        <v>1517</v>
      </c>
      <c r="C221" s="299" t="s">
        <v>2215</v>
      </c>
      <c r="D221" s="65"/>
      <c r="E221" s="65"/>
      <c r="F221" s="65"/>
      <c r="G221" s="65"/>
      <c r="H221" s="65"/>
      <c r="I221" s="65"/>
      <c r="J221" s="65"/>
      <c r="K221" s="52"/>
      <c r="L221" s="65"/>
      <c r="M221" s="65"/>
      <c r="O221" s="62" t="s">
        <v>1517</v>
      </c>
      <c r="P221" s="1166" t="s">
        <v>66</v>
      </c>
      <c r="Q221" s="234"/>
    </row>
    <row r="222" spans="1:19" ht="11.65" customHeight="1">
      <c r="B222" s="57"/>
      <c r="C222" s="83" t="s">
        <v>2903</v>
      </c>
      <c r="D222" s="65" t="s">
        <v>253</v>
      </c>
      <c r="E222" s="65"/>
      <c r="F222" s="65"/>
      <c r="G222" s="65"/>
      <c r="H222" s="65"/>
      <c r="I222" s="52"/>
      <c r="J222" s="42"/>
      <c r="K222" s="52"/>
      <c r="L222" s="42"/>
      <c r="M222" s="42"/>
      <c r="O222" s="83" t="s">
        <v>2903</v>
      </c>
      <c r="P222" s="1166" t="s">
        <v>3834</v>
      </c>
      <c r="Q222" s="234"/>
    </row>
    <row r="223" spans="1:19" ht="11.65" customHeight="1">
      <c r="C223" s="83" t="s">
        <v>2904</v>
      </c>
      <c r="D223" s="40" t="s">
        <v>2761</v>
      </c>
      <c r="E223" s="40"/>
      <c r="F223" s="40"/>
      <c r="G223" s="40"/>
      <c r="H223" s="40"/>
      <c r="I223" s="52"/>
      <c r="J223" s="42"/>
      <c r="K223" s="52"/>
      <c r="L223" s="42"/>
      <c r="M223" s="42"/>
      <c r="O223" s="83" t="s">
        <v>2904</v>
      </c>
      <c r="P223" s="1166" t="s">
        <v>3834</v>
      </c>
      <c r="Q223" s="234"/>
    </row>
    <row r="224" spans="1:19" ht="11.65" customHeight="1">
      <c r="C224" s="83" t="s">
        <v>2905</v>
      </c>
      <c r="D224" s="40" t="s">
        <v>2198</v>
      </c>
      <c r="E224" s="40"/>
      <c r="F224" s="40"/>
      <c r="G224" s="40"/>
      <c r="H224" s="40"/>
      <c r="I224" s="52"/>
      <c r="J224" s="42"/>
      <c r="K224" s="52"/>
      <c r="L224" s="42"/>
      <c r="M224" s="42"/>
      <c r="O224" s="83" t="s">
        <v>2905</v>
      </c>
      <c r="P224" s="1166" t="s">
        <v>3834</v>
      </c>
      <c r="Q224" s="234"/>
    </row>
    <row r="225" spans="1:31" ht="11.65" customHeight="1">
      <c r="B225" s="57"/>
      <c r="C225" s="83" t="s">
        <v>3672</v>
      </c>
      <c r="D225" s="40" t="s">
        <v>254</v>
      </c>
      <c r="E225" s="40"/>
      <c r="F225" s="40"/>
      <c r="G225" s="40"/>
      <c r="H225" s="40"/>
      <c r="I225" s="52"/>
      <c r="J225" s="42"/>
      <c r="K225" s="52"/>
      <c r="L225" s="42"/>
      <c r="M225" s="42"/>
      <c r="O225" s="83" t="s">
        <v>3672</v>
      </c>
      <c r="P225" s="1166" t="s">
        <v>3834</v>
      </c>
      <c r="Q225" s="234"/>
    </row>
    <row r="226" spans="1:31" ht="11.65" customHeight="1">
      <c r="B226" s="57"/>
      <c r="C226" s="83" t="s">
        <v>2445</v>
      </c>
      <c r="D226" s="65" t="s">
        <v>1712</v>
      </c>
      <c r="E226" s="65"/>
      <c r="F226" s="65"/>
      <c r="G226" s="65"/>
      <c r="H226" s="65"/>
      <c r="I226" s="52"/>
      <c r="J226" s="42"/>
      <c r="K226" s="52"/>
      <c r="L226" s="42"/>
      <c r="M226" s="42"/>
      <c r="O226" s="83" t="s">
        <v>1713</v>
      </c>
      <c r="P226" s="1166" t="s">
        <v>3834</v>
      </c>
      <c r="Q226" s="234"/>
    </row>
    <row r="227" spans="1:31" ht="11.65" customHeight="1">
      <c r="B227" s="57"/>
      <c r="C227" s="83"/>
      <c r="D227" s="65" t="s">
        <v>2508</v>
      </c>
      <c r="E227" s="65"/>
      <c r="F227" s="65"/>
      <c r="G227" s="65"/>
      <c r="H227" s="65"/>
      <c r="I227" s="52"/>
      <c r="J227" s="42"/>
      <c r="K227" s="52"/>
      <c r="L227" s="42"/>
      <c r="M227" s="42"/>
      <c r="O227" s="83" t="s">
        <v>1714</v>
      </c>
      <c r="P227" s="1166" t="s">
        <v>139</v>
      </c>
      <c r="Q227" s="234"/>
    </row>
    <row r="228" spans="1:31" ht="3" customHeight="1">
      <c r="B228" s="57"/>
      <c r="C228" s="83"/>
      <c r="D228" s="65"/>
      <c r="E228" s="65"/>
      <c r="F228" s="65"/>
      <c r="G228" s="65"/>
      <c r="H228" s="65"/>
      <c r="I228" s="52"/>
      <c r="J228" s="42"/>
      <c r="K228" s="52"/>
      <c r="L228" s="42"/>
      <c r="M228" s="42"/>
    </row>
    <row r="229" spans="1:31" ht="12" customHeight="1">
      <c r="B229" s="57" t="s">
        <v>3316</v>
      </c>
      <c r="C229" s="299" t="s">
        <v>2504</v>
      </c>
      <c r="D229" s="65"/>
      <c r="E229" s="65"/>
      <c r="F229" s="65"/>
      <c r="G229" s="65"/>
      <c r="H229" s="65"/>
      <c r="I229" s="65"/>
      <c r="J229" s="65"/>
      <c r="K229" s="52"/>
      <c r="L229" s="65"/>
      <c r="M229" s="65"/>
      <c r="O229" s="62" t="s">
        <v>3316</v>
      </c>
      <c r="P229" s="1166" t="s">
        <v>66</v>
      </c>
      <c r="Q229" s="234"/>
    </row>
    <row r="230" spans="1:31" ht="11.65" customHeight="1">
      <c r="B230" s="57"/>
      <c r="C230" s="83" t="s">
        <v>2903</v>
      </c>
      <c r="D230" s="49" t="s">
        <v>1932</v>
      </c>
      <c r="E230" s="52"/>
      <c r="F230" s="52"/>
      <c r="G230" s="49"/>
      <c r="H230" s="40"/>
      <c r="I230" s="52"/>
      <c r="J230" s="40"/>
      <c r="K230" s="52"/>
      <c r="L230" s="40"/>
      <c r="M230" s="40"/>
      <c r="O230" s="83" t="s">
        <v>2903</v>
      </c>
      <c r="P230" s="1166" t="s">
        <v>3834</v>
      </c>
      <c r="Q230" s="234"/>
    </row>
    <row r="231" spans="1:31" ht="11.65" customHeight="1">
      <c r="B231" s="57"/>
      <c r="C231" s="83" t="s">
        <v>2904</v>
      </c>
      <c r="D231" s="49" t="s">
        <v>382</v>
      </c>
      <c r="E231" s="52"/>
      <c r="F231" s="52"/>
      <c r="G231" s="40"/>
      <c r="H231" s="40"/>
      <c r="I231" s="52"/>
      <c r="J231" s="40"/>
      <c r="K231" s="52"/>
      <c r="L231" s="40"/>
      <c r="M231" s="40"/>
      <c r="O231" s="83" t="s">
        <v>2904</v>
      </c>
      <c r="P231" s="1166" t="s">
        <v>139</v>
      </c>
      <c r="Q231" s="234"/>
    </row>
    <row r="232" spans="1:31" ht="11.65" customHeight="1">
      <c r="B232" s="57"/>
      <c r="C232" s="83" t="s">
        <v>2905</v>
      </c>
      <c r="D232" s="40" t="s">
        <v>2595</v>
      </c>
      <c r="E232" s="52"/>
      <c r="F232" s="52"/>
      <c r="G232" s="40"/>
      <c r="H232" s="40"/>
      <c r="I232" s="52"/>
      <c r="J232" s="40"/>
      <c r="K232" s="52"/>
      <c r="L232" s="40"/>
      <c r="M232" s="40"/>
      <c r="O232" s="83" t="s">
        <v>3680</v>
      </c>
      <c r="P232" s="1166" t="s">
        <v>3834</v>
      </c>
      <c r="Q232" s="234"/>
    </row>
    <row r="233" spans="1:31" ht="11.65" customHeight="1">
      <c r="B233" s="46"/>
      <c r="C233" s="52"/>
      <c r="D233" s="40" t="s">
        <v>1977</v>
      </c>
      <c r="E233" s="52"/>
      <c r="F233" s="52"/>
      <c r="G233" s="40"/>
      <c r="H233" s="40"/>
      <c r="I233" s="52"/>
      <c r="J233" s="40"/>
      <c r="K233" s="52"/>
      <c r="L233" s="40"/>
      <c r="M233" s="40"/>
      <c r="O233" s="83" t="s">
        <v>3681</v>
      </c>
      <c r="P233" s="1166" t="s">
        <v>139</v>
      </c>
      <c r="Q233" s="234"/>
    </row>
    <row r="234" spans="1:31" ht="11.25" customHeight="1">
      <c r="B234" s="191" t="s">
        <v>3088</v>
      </c>
      <c r="D234" s="191"/>
      <c r="E234" s="191"/>
      <c r="F234" s="191"/>
      <c r="G234" s="191"/>
      <c r="H234" s="50"/>
      <c r="I234" s="179"/>
      <c r="J234" s="179"/>
      <c r="K234" s="179"/>
      <c r="L234" s="738"/>
      <c r="M234" s="738"/>
      <c r="N234" s="738"/>
      <c r="O234" s="738"/>
      <c r="P234" s="738"/>
      <c r="Q234" s="63"/>
    </row>
    <row r="235" spans="1:31" ht="11.65" customHeight="1">
      <c r="A235" s="1152" t="s">
        <v>53</v>
      </c>
      <c r="B235" s="1153"/>
      <c r="C235" s="1153"/>
      <c r="D235" s="1153"/>
      <c r="E235" s="1153"/>
      <c r="F235" s="1153"/>
      <c r="G235" s="1153"/>
      <c r="H235" s="1153"/>
      <c r="I235" s="1153"/>
      <c r="J235" s="1153"/>
      <c r="K235" s="1153"/>
      <c r="L235" s="1153"/>
      <c r="M235" s="1153"/>
      <c r="N235" s="1153"/>
      <c r="O235" s="1153"/>
      <c r="P235" s="1153"/>
      <c r="Q235" s="1154"/>
      <c r="R235" s="1029" t="s">
        <v>1931</v>
      </c>
      <c r="S235" s="1029"/>
      <c r="U235" s="185"/>
      <c r="V235" s="185"/>
      <c r="W235" s="185"/>
      <c r="X235" s="185"/>
      <c r="Y235" s="185"/>
      <c r="Z235" s="185"/>
      <c r="AA235" s="185"/>
      <c r="AB235" s="185"/>
      <c r="AC235" s="185"/>
      <c r="AD235" s="185"/>
      <c r="AE235" s="186"/>
    </row>
    <row r="236" spans="1:31" ht="11.65" customHeight="1">
      <c r="A236" s="1155"/>
      <c r="B236" s="1156"/>
      <c r="C236" s="1156"/>
      <c r="D236" s="1156"/>
      <c r="E236" s="1156"/>
      <c r="F236" s="1156"/>
      <c r="G236" s="1156"/>
      <c r="H236" s="1156"/>
      <c r="I236" s="1156"/>
      <c r="J236" s="1156"/>
      <c r="K236" s="1156"/>
      <c r="L236" s="1156"/>
      <c r="M236" s="1156"/>
      <c r="N236" s="1156"/>
      <c r="O236" s="1156"/>
      <c r="P236" s="1156"/>
      <c r="Q236" s="1157"/>
      <c r="R236" s="1029"/>
      <c r="S236" s="1029"/>
    </row>
    <row r="237" spans="1:31" ht="11.25" customHeight="1">
      <c r="B237" s="187" t="s">
        <v>3089</v>
      </c>
      <c r="C237" s="188"/>
      <c r="D237" s="740"/>
      <c r="E237" s="740"/>
      <c r="F237" s="740"/>
      <c r="G237" s="740"/>
      <c r="H237" s="740"/>
      <c r="I237" s="740"/>
      <c r="J237" s="740"/>
      <c r="K237" s="740"/>
      <c r="L237" s="740"/>
      <c r="M237" s="740"/>
      <c r="N237" s="740"/>
      <c r="O237" s="740"/>
      <c r="P237" s="740"/>
      <c r="Q237" s="740"/>
    </row>
    <row r="238" spans="1:31" ht="13.15" customHeight="1">
      <c r="A238" s="991"/>
      <c r="B238" s="992"/>
      <c r="C238" s="992"/>
      <c r="D238" s="992"/>
      <c r="E238" s="992"/>
      <c r="F238" s="992"/>
      <c r="G238" s="992"/>
      <c r="H238" s="992"/>
      <c r="I238" s="992"/>
      <c r="J238" s="992"/>
      <c r="K238" s="992"/>
      <c r="L238" s="992"/>
      <c r="M238" s="992"/>
      <c r="N238" s="992"/>
      <c r="O238" s="992"/>
      <c r="P238" s="992"/>
      <c r="Q238" s="993"/>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8"/>
      <c r="B240" s="179"/>
      <c r="C240" s="740"/>
      <c r="D240" s="740"/>
      <c r="E240" s="740"/>
      <c r="F240" s="740"/>
      <c r="G240" s="740"/>
      <c r="H240" s="740"/>
      <c r="I240" s="740"/>
      <c r="J240" s="740"/>
      <c r="K240" s="740"/>
      <c r="L240" s="740"/>
      <c r="M240" s="740"/>
      <c r="Q240" s="738"/>
    </row>
    <row r="241" spans="1:31" ht="13.9" customHeight="1">
      <c r="A241" s="742">
        <v>14</v>
      </c>
      <c r="B241" s="5" t="s">
        <v>3229</v>
      </c>
      <c r="C241" s="5"/>
      <c r="D241" s="118"/>
      <c r="E241" s="118"/>
      <c r="F241" s="118"/>
      <c r="G241" s="118"/>
      <c r="H241" s="740"/>
      <c r="I241" s="740"/>
      <c r="J241" s="740"/>
      <c r="K241" s="740"/>
      <c r="L241" s="740"/>
      <c r="M241" s="740"/>
      <c r="O241" s="180" t="s">
        <v>3090</v>
      </c>
      <c r="P241" s="989"/>
      <c r="Q241" s="990"/>
    </row>
    <row r="242" spans="1:31" ht="4.9000000000000004" customHeight="1"/>
    <row r="243" spans="1:31" ht="11.65" customHeight="1">
      <c r="B243" s="57" t="s">
        <v>3000</v>
      </c>
      <c r="C243" s="65" t="s">
        <v>2100</v>
      </c>
      <c r="D243" s="52"/>
      <c r="E243" s="65"/>
      <c r="F243" s="65"/>
      <c r="G243" s="65"/>
      <c r="H243" s="65"/>
      <c r="I243" s="52"/>
      <c r="J243" s="52"/>
      <c r="K243" s="52"/>
      <c r="L243" s="62" t="s">
        <v>3000</v>
      </c>
      <c r="M243" s="1224" t="s">
        <v>2803</v>
      </c>
      <c r="N243" s="1225"/>
      <c r="O243" s="1226"/>
      <c r="P243" s="1035" t="s">
        <v>2803</v>
      </c>
      <c r="Q243" s="1036"/>
    </row>
    <row r="244" spans="1:31" ht="11.65" customHeight="1">
      <c r="B244" s="57" t="s">
        <v>3112</v>
      </c>
      <c r="C244" s="65" t="s">
        <v>2041</v>
      </c>
      <c r="D244" s="65"/>
      <c r="E244" s="65"/>
      <c r="F244" s="65"/>
      <c r="G244" s="65"/>
      <c r="H244" s="65"/>
      <c r="I244" s="52"/>
      <c r="J244" s="52"/>
      <c r="K244" s="52"/>
      <c r="L244" s="62" t="s">
        <v>3112</v>
      </c>
      <c r="M244" s="1249"/>
      <c r="N244" s="1250"/>
      <c r="O244" s="1251"/>
      <c r="P244" s="1037"/>
      <c r="Q244" s="1038"/>
    </row>
    <row r="245" spans="1:31" s="200" customFormat="1" ht="11.65" customHeight="1">
      <c r="B245" s="57" t="s">
        <v>1517</v>
      </c>
      <c r="C245" s="65" t="s">
        <v>3248</v>
      </c>
      <c r="D245" s="65"/>
      <c r="E245" s="65"/>
      <c r="F245" s="65"/>
      <c r="G245" s="65"/>
      <c r="H245" s="65"/>
      <c r="I245" s="129"/>
      <c r="J245" s="129"/>
      <c r="K245" s="129"/>
      <c r="L245" s="62" t="s">
        <v>1517</v>
      </c>
      <c r="M245" s="1224"/>
      <c r="N245" s="1225"/>
      <c r="O245" s="1226"/>
      <c r="P245" s="1035"/>
      <c r="Q245" s="1036"/>
    </row>
    <row r="246" spans="1:31" s="200" customFormat="1" ht="11.65" customHeight="1">
      <c r="B246" s="57" t="s">
        <v>3316</v>
      </c>
      <c r="C246" s="65" t="s">
        <v>3850</v>
      </c>
      <c r="D246" s="65"/>
      <c r="E246" s="65"/>
      <c r="F246" s="65"/>
      <c r="G246" s="65"/>
      <c r="H246" s="65"/>
      <c r="I246" s="129"/>
      <c r="J246" s="129"/>
      <c r="K246" s="129"/>
      <c r="L246" s="129"/>
      <c r="M246" s="129"/>
      <c r="O246" s="62" t="s">
        <v>3316</v>
      </c>
      <c r="P246" s="1166"/>
      <c r="Q246" s="234"/>
    </row>
    <row r="247" spans="1:31" s="200" customFormat="1" ht="22.15" customHeight="1">
      <c r="B247" s="192" t="s">
        <v>2901</v>
      </c>
      <c r="C247" s="1031" t="s">
        <v>2136</v>
      </c>
      <c r="D247" s="1031"/>
      <c r="E247" s="1031"/>
      <c r="F247" s="1031"/>
      <c r="G247" s="1031"/>
      <c r="H247" s="1031"/>
      <c r="I247" s="1031"/>
      <c r="J247" s="1031"/>
      <c r="K247" s="1031"/>
      <c r="L247" s="1031"/>
      <c r="M247" s="1031"/>
      <c r="O247" s="221" t="s">
        <v>2901</v>
      </c>
      <c r="P247" s="1166"/>
      <c r="Q247" s="234"/>
    </row>
    <row r="248" spans="1:31" ht="11.25" customHeight="1">
      <c r="B248" s="191" t="s">
        <v>3088</v>
      </c>
      <c r="D248" s="191"/>
      <c r="E248" s="191"/>
      <c r="F248" s="191"/>
      <c r="G248" s="191"/>
      <c r="H248" s="50"/>
      <c r="I248" s="179"/>
      <c r="J248" s="179"/>
      <c r="K248" s="179"/>
      <c r="L248" s="738"/>
      <c r="M248" s="738"/>
      <c r="N248" s="738"/>
      <c r="O248" s="738"/>
      <c r="P248" s="738"/>
      <c r="Q248" s="63"/>
    </row>
    <row r="249" spans="1:31" ht="13.15" customHeight="1">
      <c r="A249" s="1152" t="s">
        <v>50</v>
      </c>
      <c r="B249" s="1153"/>
      <c r="C249" s="1153"/>
      <c r="D249" s="1153"/>
      <c r="E249" s="1153"/>
      <c r="F249" s="1153"/>
      <c r="G249" s="1153"/>
      <c r="H249" s="1153"/>
      <c r="I249" s="1153"/>
      <c r="J249" s="1153"/>
      <c r="K249" s="1153"/>
      <c r="L249" s="1153"/>
      <c r="M249" s="1153"/>
      <c r="N249" s="1153"/>
      <c r="O249" s="1153"/>
      <c r="P249" s="1153"/>
      <c r="Q249" s="1154"/>
      <c r="R249" s="1029" t="s">
        <v>1931</v>
      </c>
      <c r="S249" s="1029"/>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1029"/>
      <c r="S250" s="1029"/>
    </row>
    <row r="251" spans="1:31" ht="10.9" customHeight="1">
      <c r="B251" s="187" t="s">
        <v>3089</v>
      </c>
      <c r="C251" s="188"/>
      <c r="D251" s="740"/>
      <c r="E251" s="740"/>
      <c r="F251" s="740"/>
      <c r="G251" s="740"/>
      <c r="H251" s="740"/>
      <c r="I251" s="740"/>
      <c r="J251" s="740"/>
      <c r="K251" s="740"/>
      <c r="L251" s="740"/>
      <c r="M251" s="740"/>
      <c r="N251" s="740"/>
      <c r="O251" s="740"/>
      <c r="P251" s="740"/>
      <c r="Q251" s="740"/>
    </row>
    <row r="252" spans="1:31" ht="13.15" customHeight="1">
      <c r="A252" s="991"/>
      <c r="B252" s="992"/>
      <c r="C252" s="992"/>
      <c r="D252" s="992"/>
      <c r="E252" s="992"/>
      <c r="F252" s="992"/>
      <c r="G252" s="992"/>
      <c r="H252" s="992"/>
      <c r="I252" s="992"/>
      <c r="J252" s="992"/>
      <c r="K252" s="992"/>
      <c r="L252" s="992"/>
      <c r="M252" s="992"/>
      <c r="N252" s="992"/>
      <c r="O252" s="992"/>
      <c r="P252" s="992"/>
      <c r="Q252" s="993"/>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8"/>
      <c r="B254" s="179"/>
      <c r="C254" s="740"/>
      <c r="D254" s="740"/>
      <c r="E254" s="740"/>
      <c r="F254" s="740"/>
      <c r="G254" s="740"/>
      <c r="H254" s="740"/>
      <c r="I254" s="740"/>
      <c r="J254" s="740"/>
      <c r="K254" s="740"/>
      <c r="L254" s="740"/>
      <c r="M254" s="740"/>
      <c r="Q254" s="738"/>
    </row>
    <row r="255" spans="1:31" ht="13.9" customHeight="1">
      <c r="A255" s="742">
        <v>15</v>
      </c>
      <c r="B255" s="5" t="s">
        <v>2946</v>
      </c>
      <c r="C255" s="5"/>
      <c r="D255" s="118"/>
      <c r="E255" s="118"/>
      <c r="F255" s="118"/>
      <c r="G255" s="118"/>
      <c r="H255" s="740"/>
      <c r="I255" s="740"/>
      <c r="J255" s="740"/>
      <c r="K255" s="740"/>
      <c r="L255" s="740"/>
      <c r="M255" s="740"/>
      <c r="O255" s="180" t="s">
        <v>3090</v>
      </c>
      <c r="P255" s="989"/>
      <c r="Q255" s="990"/>
    </row>
    <row r="256" spans="1:31" ht="3" customHeight="1"/>
    <row r="257" spans="1:31" s="200" customFormat="1" ht="11.65" customHeight="1">
      <c r="B257" s="57" t="s">
        <v>3000</v>
      </c>
      <c r="C257" s="40" t="s">
        <v>3260</v>
      </c>
      <c r="D257" s="40"/>
      <c r="E257" s="40"/>
      <c r="F257" s="40"/>
      <c r="G257" s="40"/>
      <c r="H257" s="40"/>
      <c r="I257" s="40"/>
      <c r="J257" s="40"/>
      <c r="K257" s="40"/>
      <c r="L257" s="40"/>
      <c r="M257" s="40"/>
      <c r="O257" s="62" t="s">
        <v>3000</v>
      </c>
      <c r="P257" s="1166" t="s">
        <v>3834</v>
      </c>
      <c r="Q257" s="234"/>
    </row>
    <row r="258" spans="1:31" s="200" customFormat="1" ht="11.65" customHeight="1">
      <c r="B258" s="57" t="s">
        <v>3112</v>
      </c>
      <c r="C258" s="65" t="s">
        <v>2144</v>
      </c>
      <c r="D258" s="65"/>
      <c r="E258" s="65"/>
      <c r="F258" s="65"/>
      <c r="G258" s="65"/>
      <c r="H258" s="65"/>
      <c r="I258" s="65"/>
      <c r="J258" s="65"/>
      <c r="K258" s="65"/>
      <c r="L258" s="65"/>
      <c r="M258" s="65"/>
      <c r="O258" s="62" t="s">
        <v>3112</v>
      </c>
      <c r="P258" s="1166" t="s">
        <v>3834</v>
      </c>
      <c r="Q258" s="234"/>
    </row>
    <row r="259" spans="1:31" ht="11.25" customHeight="1">
      <c r="B259" s="191" t="s">
        <v>3088</v>
      </c>
      <c r="D259" s="191"/>
      <c r="E259" s="191"/>
      <c r="F259" s="191"/>
      <c r="G259" s="191"/>
      <c r="H259" s="50"/>
      <c r="I259" s="179"/>
      <c r="J259" s="179"/>
      <c r="K259" s="179"/>
      <c r="L259" s="738"/>
      <c r="M259" s="738"/>
      <c r="N259" s="738"/>
      <c r="O259" s="738"/>
      <c r="P259" s="738"/>
      <c r="Q259" s="63"/>
    </row>
    <row r="260" spans="1:31" ht="13.15" customHeight="1">
      <c r="A260" s="1152"/>
      <c r="B260" s="1153"/>
      <c r="C260" s="1153"/>
      <c r="D260" s="1153"/>
      <c r="E260" s="1153"/>
      <c r="F260" s="1153"/>
      <c r="G260" s="1153"/>
      <c r="H260" s="1153"/>
      <c r="I260" s="1153"/>
      <c r="J260" s="1153"/>
      <c r="K260" s="1153"/>
      <c r="L260" s="1153"/>
      <c r="M260" s="1153"/>
      <c r="N260" s="1153"/>
      <c r="O260" s="1153"/>
      <c r="P260" s="1153"/>
      <c r="Q260" s="1154"/>
      <c r="R260" s="1029" t="s">
        <v>1931</v>
      </c>
      <c r="S260" s="1029"/>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1029"/>
      <c r="S261" s="1029"/>
    </row>
    <row r="262" spans="1:31" ht="11.25" customHeight="1">
      <c r="B262" s="187" t="s">
        <v>3089</v>
      </c>
      <c r="C262" s="188"/>
      <c r="D262" s="740"/>
      <c r="E262" s="740"/>
      <c r="F262" s="740"/>
      <c r="G262" s="740"/>
      <c r="H262" s="740"/>
      <c r="I262" s="740"/>
      <c r="J262" s="740"/>
      <c r="K262" s="740"/>
      <c r="L262" s="740"/>
      <c r="M262" s="740"/>
      <c r="N262" s="740"/>
      <c r="O262" s="740"/>
      <c r="P262" s="740"/>
      <c r="Q262" s="740"/>
    </row>
    <row r="263" spans="1:31" ht="13.15" customHeight="1">
      <c r="A263" s="991"/>
      <c r="B263" s="992"/>
      <c r="C263" s="992"/>
      <c r="D263" s="992"/>
      <c r="E263" s="992"/>
      <c r="F263" s="992"/>
      <c r="G263" s="992"/>
      <c r="H263" s="992"/>
      <c r="I263" s="992"/>
      <c r="J263" s="992"/>
      <c r="K263" s="992"/>
      <c r="L263" s="992"/>
      <c r="M263" s="992"/>
      <c r="N263" s="992"/>
      <c r="O263" s="992"/>
      <c r="P263" s="992"/>
      <c r="Q263" s="993"/>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8"/>
      <c r="B265" s="179"/>
      <c r="C265" s="740"/>
      <c r="D265" s="740"/>
      <c r="E265" s="740"/>
      <c r="F265" s="740"/>
      <c r="G265" s="740"/>
      <c r="H265" s="740"/>
      <c r="I265" s="740"/>
      <c r="J265" s="740"/>
      <c r="K265" s="740"/>
      <c r="L265" s="740"/>
      <c r="M265" s="740"/>
      <c r="N265" s="740"/>
      <c r="O265" s="740"/>
      <c r="P265" s="180"/>
      <c r="Q265" s="63"/>
    </row>
    <row r="266" spans="1:31" ht="13.9" customHeight="1">
      <c r="A266" s="742">
        <v>16</v>
      </c>
      <c r="B266" s="742" t="s">
        <v>1113</v>
      </c>
      <c r="C266" s="742"/>
      <c r="D266" s="740"/>
      <c r="E266" s="740"/>
      <c r="F266" s="740"/>
      <c r="G266" s="740"/>
      <c r="H266" s="740"/>
      <c r="I266" s="740"/>
      <c r="J266" s="740"/>
      <c r="K266" s="740"/>
      <c r="L266" s="740"/>
      <c r="M266" s="740"/>
      <c r="O266" s="180" t="s">
        <v>3090</v>
      </c>
      <c r="P266" s="989"/>
      <c r="Q266" s="990"/>
    </row>
    <row r="267" spans="1:31" ht="3" customHeight="1"/>
    <row r="268" spans="1:31" s="705" customFormat="1" ht="24" customHeight="1">
      <c r="B268" s="192" t="s">
        <v>3000</v>
      </c>
      <c r="C268" s="1002" t="s">
        <v>1489</v>
      </c>
      <c r="D268" s="1004"/>
      <c r="E268" s="1004"/>
      <c r="F268" s="1004"/>
      <c r="G268" s="1004"/>
      <c r="H268" s="1004"/>
      <c r="I268" s="1004"/>
      <c r="J268" s="1004"/>
      <c r="K268" s="1004"/>
      <c r="L268" s="1004"/>
      <c r="M268" s="1004"/>
      <c r="N268" s="1004"/>
      <c r="O268" s="221" t="s">
        <v>3000</v>
      </c>
      <c r="P268" s="1166" t="s">
        <v>66</v>
      </c>
      <c r="Q268" s="234"/>
    </row>
    <row r="269" spans="1:31" s="705" customFormat="1" ht="24" customHeight="1">
      <c r="B269" s="192" t="s">
        <v>3112</v>
      </c>
      <c r="C269" s="1002" t="s">
        <v>1545</v>
      </c>
      <c r="D269" s="1004"/>
      <c r="E269" s="1004"/>
      <c r="F269" s="1004"/>
      <c r="G269" s="1004"/>
      <c r="H269" s="1004"/>
      <c r="I269" s="1004"/>
      <c r="J269" s="1004"/>
      <c r="K269" s="1004"/>
      <c r="L269" s="1004"/>
      <c r="M269" s="1004"/>
      <c r="N269" s="1004"/>
      <c r="O269" s="221" t="s">
        <v>3112</v>
      </c>
      <c r="P269" s="1166" t="s">
        <v>66</v>
      </c>
      <c r="Q269" s="234"/>
    </row>
    <row r="270" spans="1:31" s="705" customFormat="1" ht="33" customHeight="1">
      <c r="B270" s="192" t="s">
        <v>1517</v>
      </c>
      <c r="C270" s="1002" t="s">
        <v>1222</v>
      </c>
      <c r="D270" s="1004"/>
      <c r="E270" s="1004"/>
      <c r="F270" s="1004"/>
      <c r="G270" s="1004"/>
      <c r="H270" s="1004"/>
      <c r="I270" s="1004"/>
      <c r="J270" s="1004"/>
      <c r="K270" s="1004"/>
      <c r="L270" s="1004"/>
      <c r="M270" s="1004"/>
      <c r="N270" s="1004"/>
      <c r="O270" s="221" t="s">
        <v>3112</v>
      </c>
      <c r="P270" s="1166"/>
      <c r="Q270" s="234"/>
    </row>
    <row r="271" spans="1:31" ht="11.25" customHeight="1">
      <c r="B271" s="191" t="s">
        <v>3088</v>
      </c>
      <c r="D271" s="191"/>
      <c r="E271" s="191"/>
      <c r="F271" s="191"/>
      <c r="G271" s="191"/>
      <c r="H271" s="50"/>
      <c r="I271" s="179"/>
      <c r="J271" s="179"/>
      <c r="K271" s="179"/>
      <c r="L271" s="738"/>
      <c r="M271" s="738"/>
      <c r="N271" s="738"/>
      <c r="O271" s="738"/>
      <c r="P271" s="738"/>
      <c r="Q271" s="63"/>
    </row>
    <row r="272" spans="1:31" ht="13.15" customHeight="1">
      <c r="A272" s="1152" t="s">
        <v>24</v>
      </c>
      <c r="B272" s="1153"/>
      <c r="C272" s="1153"/>
      <c r="D272" s="1153"/>
      <c r="E272" s="1153"/>
      <c r="F272" s="1153"/>
      <c r="G272" s="1153"/>
      <c r="H272" s="1153"/>
      <c r="I272" s="1153"/>
      <c r="J272" s="1153"/>
      <c r="K272" s="1153"/>
      <c r="L272" s="1153"/>
      <c r="M272" s="1153"/>
      <c r="N272" s="1153"/>
      <c r="O272" s="1153"/>
      <c r="P272" s="1153"/>
      <c r="Q272" s="1154"/>
      <c r="R272" s="1029" t="s">
        <v>1931</v>
      </c>
      <c r="S272" s="1029"/>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1029"/>
      <c r="S273" s="1029"/>
    </row>
    <row r="274" spans="1:31" ht="11.25" customHeight="1">
      <c r="B274" s="187" t="s">
        <v>3089</v>
      </c>
      <c r="C274" s="188"/>
      <c r="D274" s="740"/>
      <c r="E274" s="740"/>
      <c r="F274" s="740"/>
      <c r="G274" s="740"/>
      <c r="H274" s="740"/>
      <c r="I274" s="740"/>
      <c r="J274" s="740"/>
      <c r="K274" s="740"/>
      <c r="L274" s="740"/>
      <c r="M274" s="740"/>
      <c r="N274" s="740"/>
      <c r="O274" s="740"/>
      <c r="P274" s="740"/>
      <c r="Q274" s="740"/>
    </row>
    <row r="275" spans="1:31" ht="13.15" customHeight="1">
      <c r="A275" s="991"/>
      <c r="B275" s="992"/>
      <c r="C275" s="992"/>
      <c r="D275" s="992"/>
      <c r="E275" s="992"/>
      <c r="F275" s="992"/>
      <c r="G275" s="992"/>
      <c r="H275" s="992"/>
      <c r="I275" s="992"/>
      <c r="J275" s="992"/>
      <c r="K275" s="992"/>
      <c r="L275" s="992"/>
      <c r="M275" s="992"/>
      <c r="N275" s="992"/>
      <c r="O275" s="992"/>
      <c r="P275" s="992"/>
      <c r="Q275" s="993"/>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65" customHeight="1">
      <c r="A277" s="738"/>
      <c r="B277" s="179"/>
      <c r="C277" s="740"/>
      <c r="D277" s="740"/>
      <c r="E277" s="740"/>
      <c r="F277" s="740"/>
      <c r="G277" s="740"/>
      <c r="H277" s="740"/>
      <c r="I277" s="740"/>
      <c r="J277" s="740"/>
      <c r="K277" s="740"/>
      <c r="L277" s="740"/>
      <c r="M277" s="740"/>
      <c r="Q277" s="738"/>
    </row>
    <row r="278" spans="1:31" ht="13.9" customHeight="1">
      <c r="A278" s="742">
        <v>17</v>
      </c>
      <c r="B278" s="742" t="s">
        <v>939</v>
      </c>
      <c r="C278" s="201"/>
      <c r="D278" s="202"/>
      <c r="E278" s="740"/>
      <c r="F278" s="740"/>
      <c r="G278" s="740"/>
      <c r="H278" s="740"/>
      <c r="I278" s="740"/>
      <c r="J278" s="740"/>
      <c r="K278" s="740"/>
      <c r="L278" s="740"/>
      <c r="M278" s="740"/>
      <c r="O278" s="180" t="s">
        <v>3090</v>
      </c>
      <c r="P278" s="989"/>
      <c r="Q278" s="990"/>
    </row>
    <row r="279" spans="1:31" s="200" customFormat="1" ht="22.9" customHeight="1">
      <c r="B279" s="192" t="s">
        <v>3000</v>
      </c>
      <c r="C279" s="1031" t="s">
        <v>3001</v>
      </c>
      <c r="D279" s="1031"/>
      <c r="E279" s="1031"/>
      <c r="F279" s="1031"/>
      <c r="G279" s="1031"/>
      <c r="H279" s="1031"/>
      <c r="I279" s="1031"/>
      <c r="J279" s="1031"/>
      <c r="K279" s="1031"/>
      <c r="L279" s="1031"/>
      <c r="M279" s="1031"/>
      <c r="O279" s="221" t="s">
        <v>3000</v>
      </c>
      <c r="P279" s="1252" t="s">
        <v>3834</v>
      </c>
      <c r="Q279" s="234"/>
    </row>
    <row r="280" spans="1:31" s="200" customFormat="1" ht="12" customHeight="1">
      <c r="B280" s="57" t="s">
        <v>3112</v>
      </c>
      <c r="C280" s="40" t="s">
        <v>3227</v>
      </c>
      <c r="D280" s="40"/>
      <c r="E280" s="40"/>
      <c r="F280" s="40"/>
      <c r="G280" s="40"/>
      <c r="H280" s="40"/>
      <c r="I280" s="40"/>
      <c r="J280" s="40"/>
      <c r="K280" s="40"/>
      <c r="L280" s="40"/>
      <c r="M280" s="40"/>
      <c r="O280" s="62" t="s">
        <v>3112</v>
      </c>
      <c r="P280" s="1166" t="s">
        <v>3834</v>
      </c>
      <c r="Q280" s="234"/>
    </row>
    <row r="281" spans="1:31" s="200" customFormat="1" ht="22.9" customHeight="1">
      <c r="B281" s="192" t="s">
        <v>1517</v>
      </c>
      <c r="C281" s="1002" t="s">
        <v>3027</v>
      </c>
      <c r="D281" s="1004"/>
      <c r="E281" s="1004"/>
      <c r="F281" s="1004"/>
      <c r="G281" s="1004"/>
      <c r="H281" s="1004"/>
      <c r="I281" s="1004"/>
      <c r="J281" s="1004"/>
      <c r="K281" s="1004"/>
      <c r="L281" s="1004"/>
      <c r="M281" s="1004"/>
      <c r="N281" s="1004"/>
      <c r="O281" s="62" t="s">
        <v>1517</v>
      </c>
      <c r="P281" s="1166" t="s">
        <v>3834</v>
      </c>
      <c r="Q281" s="234"/>
    </row>
    <row r="282" spans="1:31" s="200" customFormat="1" ht="12" customHeight="1">
      <c r="B282" s="57" t="s">
        <v>3316</v>
      </c>
      <c r="C282" s="40" t="s">
        <v>3028</v>
      </c>
      <c r="D282" s="40"/>
      <c r="E282" s="40"/>
      <c r="F282" s="40"/>
      <c r="G282" s="40"/>
      <c r="H282" s="40"/>
      <c r="I282" s="40"/>
      <c r="J282" s="40"/>
      <c r="K282" s="40"/>
      <c r="L282" s="40"/>
      <c r="M282" s="40"/>
      <c r="O282" s="62" t="s">
        <v>3316</v>
      </c>
      <c r="P282" s="1166" t="s">
        <v>3834</v>
      </c>
      <c r="Q282" s="234"/>
    </row>
    <row r="283" spans="1:31" s="200" customFormat="1" ht="22.9" customHeight="1">
      <c r="B283" s="192" t="s">
        <v>2901</v>
      </c>
      <c r="C283" s="1002" t="s">
        <v>1352</v>
      </c>
      <c r="D283" s="1004"/>
      <c r="E283" s="1004"/>
      <c r="F283" s="1004"/>
      <c r="G283" s="1004"/>
      <c r="H283" s="1004"/>
      <c r="I283" s="1004"/>
      <c r="J283" s="1004"/>
      <c r="K283" s="1004"/>
      <c r="L283" s="1004"/>
      <c r="M283" s="1004"/>
      <c r="N283" s="1004"/>
      <c r="O283" s="62" t="s">
        <v>2901</v>
      </c>
      <c r="P283" s="1166" t="s">
        <v>3834</v>
      </c>
      <c r="Q283" s="234"/>
    </row>
    <row r="284" spans="1:31" ht="11.25" customHeight="1">
      <c r="B284" s="191" t="s">
        <v>3088</v>
      </c>
      <c r="D284" s="191"/>
      <c r="E284" s="191"/>
      <c r="F284" s="191"/>
      <c r="G284" s="191"/>
      <c r="H284" s="50"/>
      <c r="I284" s="179"/>
      <c r="J284" s="179"/>
      <c r="K284" s="179"/>
      <c r="L284" s="738"/>
      <c r="M284" s="738"/>
      <c r="N284" s="738"/>
      <c r="O284" s="738"/>
      <c r="P284" s="738"/>
      <c r="Q284" s="63"/>
    </row>
    <row r="285" spans="1:31" ht="11.65" customHeight="1">
      <c r="A285" s="1152"/>
      <c r="B285" s="1153"/>
      <c r="C285" s="1153"/>
      <c r="D285" s="1153"/>
      <c r="E285" s="1153"/>
      <c r="F285" s="1153"/>
      <c r="G285" s="1153"/>
      <c r="H285" s="1153"/>
      <c r="I285" s="1153"/>
      <c r="J285" s="1153"/>
      <c r="K285" s="1153"/>
      <c r="L285" s="1153"/>
      <c r="M285" s="1153"/>
      <c r="N285" s="1153"/>
      <c r="O285" s="1153"/>
      <c r="P285" s="1153"/>
      <c r="Q285" s="1154"/>
      <c r="R285" s="1029" t="s">
        <v>1931</v>
      </c>
      <c r="S285" s="1029"/>
      <c r="U285" s="185"/>
      <c r="V285" s="185"/>
      <c r="W285" s="185"/>
      <c r="X285" s="185"/>
      <c r="Y285" s="185"/>
      <c r="Z285" s="185"/>
      <c r="AA285" s="185"/>
      <c r="AB285" s="185"/>
      <c r="AC285" s="185"/>
      <c r="AD285" s="185"/>
      <c r="AE285" s="186"/>
    </row>
    <row r="286" spans="1:31" ht="11.65" customHeight="1">
      <c r="A286" s="1155"/>
      <c r="B286" s="1156"/>
      <c r="C286" s="1156"/>
      <c r="D286" s="1156"/>
      <c r="E286" s="1156"/>
      <c r="F286" s="1156"/>
      <c r="G286" s="1156"/>
      <c r="H286" s="1156"/>
      <c r="I286" s="1156"/>
      <c r="J286" s="1156"/>
      <c r="K286" s="1156"/>
      <c r="L286" s="1156"/>
      <c r="M286" s="1156"/>
      <c r="N286" s="1156"/>
      <c r="O286" s="1156"/>
      <c r="P286" s="1156"/>
      <c r="Q286" s="1157"/>
      <c r="R286" s="1029"/>
      <c r="S286" s="1029"/>
    </row>
    <row r="287" spans="1:31" ht="11.25" customHeight="1">
      <c r="B287" s="187" t="s">
        <v>3089</v>
      </c>
      <c r="C287" s="188"/>
      <c r="D287" s="740"/>
      <c r="E287" s="740"/>
      <c r="F287" s="740"/>
      <c r="G287" s="740"/>
      <c r="H287" s="740"/>
      <c r="I287" s="740"/>
      <c r="J287" s="740"/>
      <c r="K287" s="740"/>
      <c r="L287" s="740"/>
      <c r="M287" s="740"/>
      <c r="N287" s="740"/>
      <c r="O287" s="740"/>
      <c r="P287" s="740"/>
      <c r="Q287" s="740"/>
    </row>
    <row r="288" spans="1:31" ht="11.65" customHeight="1">
      <c r="A288" s="991"/>
      <c r="B288" s="992"/>
      <c r="C288" s="992"/>
      <c r="D288" s="992"/>
      <c r="E288" s="992"/>
      <c r="F288" s="992"/>
      <c r="G288" s="992"/>
      <c r="H288" s="992"/>
      <c r="I288" s="992"/>
      <c r="J288" s="992"/>
      <c r="K288" s="992"/>
      <c r="L288" s="992"/>
      <c r="M288" s="992"/>
      <c r="N288" s="992"/>
      <c r="O288" s="992"/>
      <c r="P288" s="992"/>
      <c r="Q288" s="993"/>
    </row>
    <row r="289" spans="1:256" ht="11.6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2">
        <v>18</v>
      </c>
      <c r="B290" s="1009" t="s">
        <v>3427</v>
      </c>
      <c r="C290" s="1009"/>
      <c r="D290" s="1009"/>
      <c r="E290" s="1009"/>
      <c r="F290" s="1009"/>
      <c r="G290" s="1009"/>
      <c r="H290" s="740"/>
      <c r="I290" s="740"/>
      <c r="J290" s="740"/>
      <c r="K290" s="740"/>
      <c r="L290" s="740"/>
      <c r="M290" s="740"/>
      <c r="O290" s="180" t="s">
        <v>3090</v>
      </c>
      <c r="P290" s="989"/>
      <c r="Q290" s="990"/>
    </row>
    <row r="291" spans="1:256" ht="11.65" customHeight="1">
      <c r="B291" s="195" t="s">
        <v>3649</v>
      </c>
      <c r="P291" s="1166" t="s">
        <v>139</v>
      </c>
      <c r="Q291" s="234"/>
    </row>
    <row r="292" spans="1:256" ht="12" customHeight="1">
      <c r="B292" s="197" t="s">
        <v>3428</v>
      </c>
      <c r="C292" s="197"/>
      <c r="D292" s="197"/>
      <c r="E292" s="197"/>
      <c r="F292" s="197"/>
      <c r="G292" s="197"/>
      <c r="H292" s="197"/>
      <c r="I292" s="197"/>
      <c r="J292" s="197"/>
      <c r="K292" s="197"/>
      <c r="L292" s="197"/>
      <c r="P292" s="1166" t="s">
        <v>3834</v>
      </c>
      <c r="Q292" s="234"/>
    </row>
    <row r="293" spans="1:256" ht="11.65" customHeight="1">
      <c r="B293" s="192" t="s">
        <v>3000</v>
      </c>
      <c r="C293" s="263" t="s">
        <v>692</v>
      </c>
      <c r="D293" s="40"/>
      <c r="E293" s="40"/>
      <c r="F293" s="40"/>
      <c r="G293" s="40"/>
      <c r="H293" s="40"/>
      <c r="I293" s="40"/>
      <c r="J293" s="40"/>
      <c r="K293" s="40"/>
      <c r="L293" s="40"/>
      <c r="M293" s="40"/>
      <c r="N293" s="221"/>
    </row>
    <row r="294" spans="1:256" ht="33.4" customHeight="1">
      <c r="A294" s="194"/>
      <c r="C294" s="1001" t="s">
        <v>1105</v>
      </c>
      <c r="D294" s="1001"/>
      <c r="E294" s="1001"/>
      <c r="F294" s="1001"/>
      <c r="G294" s="1001"/>
      <c r="H294" s="1001"/>
      <c r="I294" s="1001"/>
      <c r="J294" s="1001"/>
      <c r="K294" s="1001"/>
      <c r="L294" s="1001"/>
      <c r="M294" s="1001"/>
      <c r="N294" s="1001"/>
      <c r="O294" s="221" t="s">
        <v>3000</v>
      </c>
      <c r="P294" s="1252"/>
      <c r="Q294" s="353"/>
    </row>
    <row r="295" spans="1:256" ht="3" customHeight="1">
      <c r="A295" s="738"/>
      <c r="B295" s="738"/>
      <c r="C295" s="738"/>
      <c r="D295" s="738"/>
      <c r="E295" s="738"/>
      <c r="F295" s="738"/>
      <c r="G295" s="738"/>
      <c r="H295" s="738"/>
      <c r="I295" s="738"/>
      <c r="J295" s="738"/>
      <c r="K295" s="738"/>
      <c r="L295" s="738"/>
      <c r="M295" s="738"/>
      <c r="N295" s="738"/>
      <c r="O295" s="738"/>
      <c r="P295" s="738"/>
      <c r="Q295" s="738"/>
      <c r="R295" s="738"/>
      <c r="S295" s="738"/>
      <c r="T295" s="738"/>
      <c r="U295" s="738"/>
      <c r="V295" s="738"/>
      <c r="W295" s="738"/>
      <c r="X295" s="738"/>
      <c r="Y295" s="738"/>
      <c r="Z295" s="738"/>
      <c r="AA295" s="738"/>
      <c r="AB295" s="738"/>
      <c r="AC295" s="738"/>
      <c r="AD295" s="738"/>
      <c r="AE295" s="738"/>
      <c r="AF295" s="738"/>
      <c r="AG295" s="738"/>
      <c r="AH295" s="738"/>
      <c r="AI295" s="738"/>
      <c r="AJ295" s="738"/>
      <c r="AK295" s="738"/>
      <c r="AL295" s="738"/>
      <c r="AM295" s="738"/>
      <c r="AN295" s="738"/>
      <c r="AO295" s="738"/>
      <c r="AP295" s="738"/>
      <c r="AQ295" s="738"/>
      <c r="AR295" s="738"/>
      <c r="AS295" s="738"/>
      <c r="AT295" s="738"/>
      <c r="AU295" s="738"/>
      <c r="AV295" s="738"/>
      <c r="AW295" s="738"/>
      <c r="AX295" s="738"/>
      <c r="AY295" s="738"/>
      <c r="AZ295" s="738"/>
      <c r="BA295" s="738"/>
      <c r="BB295" s="738"/>
      <c r="BC295" s="738"/>
      <c r="BD295" s="738"/>
      <c r="BE295" s="738"/>
      <c r="BF295" s="738"/>
      <c r="BG295" s="738"/>
      <c r="BH295" s="738"/>
      <c r="BI295" s="738"/>
      <c r="BJ295" s="738"/>
      <c r="BK295" s="738"/>
      <c r="BL295" s="738"/>
      <c r="BM295" s="738"/>
      <c r="BN295" s="738"/>
      <c r="BO295" s="738"/>
      <c r="BP295" s="738"/>
      <c r="BQ295" s="738"/>
      <c r="BR295" s="738"/>
      <c r="BS295" s="738"/>
      <c r="BT295" s="738"/>
      <c r="BU295" s="738"/>
      <c r="BV295" s="738"/>
      <c r="BW295" s="738"/>
      <c r="BX295" s="738"/>
      <c r="BY295" s="738"/>
      <c r="BZ295" s="738"/>
      <c r="CA295" s="738"/>
      <c r="CB295" s="738"/>
      <c r="CC295" s="738"/>
      <c r="CD295" s="738"/>
      <c r="CE295" s="738"/>
      <c r="CF295" s="738"/>
      <c r="CG295" s="738"/>
      <c r="CH295" s="738"/>
      <c r="CI295" s="738"/>
      <c r="CJ295" s="738"/>
      <c r="CK295" s="738"/>
      <c r="CL295" s="738"/>
      <c r="CM295" s="738"/>
      <c r="CN295" s="738"/>
      <c r="CO295" s="738"/>
      <c r="CP295" s="738"/>
      <c r="CQ295" s="738"/>
      <c r="CR295" s="738"/>
      <c r="CS295" s="738"/>
      <c r="CT295" s="738"/>
      <c r="CU295" s="738"/>
      <c r="CV295" s="738"/>
      <c r="CW295" s="738"/>
      <c r="CX295" s="738"/>
      <c r="CY295" s="738"/>
      <c r="CZ295" s="738"/>
      <c r="DA295" s="738"/>
      <c r="DB295" s="738"/>
      <c r="DC295" s="738"/>
      <c r="DD295" s="738"/>
      <c r="DE295" s="738"/>
      <c r="DF295" s="738"/>
      <c r="DG295" s="738"/>
      <c r="DH295" s="738"/>
      <c r="DI295" s="738"/>
      <c r="DJ295" s="738"/>
      <c r="DK295" s="738"/>
      <c r="DL295" s="738"/>
      <c r="DM295" s="738"/>
      <c r="DN295" s="738"/>
      <c r="DO295" s="738"/>
      <c r="DP295" s="738"/>
      <c r="DQ295" s="738"/>
      <c r="DR295" s="738"/>
      <c r="DS295" s="738"/>
      <c r="DT295" s="738"/>
      <c r="DU295" s="738"/>
      <c r="DV295" s="738"/>
      <c r="DW295" s="738"/>
      <c r="DX295" s="738"/>
      <c r="DY295" s="738"/>
      <c r="DZ295" s="738"/>
      <c r="EA295" s="738"/>
      <c r="EB295" s="738"/>
      <c r="EC295" s="738"/>
      <c r="ED295" s="738"/>
      <c r="EE295" s="738"/>
      <c r="EF295" s="738"/>
      <c r="EG295" s="738"/>
      <c r="EH295" s="738"/>
      <c r="EI295" s="738"/>
      <c r="EJ295" s="738"/>
      <c r="EK295" s="738"/>
      <c r="EL295" s="738"/>
      <c r="EM295" s="738"/>
      <c r="EN295" s="738"/>
      <c r="EO295" s="738"/>
      <c r="EP295" s="738"/>
      <c r="EQ295" s="738"/>
      <c r="ER295" s="738"/>
      <c r="ES295" s="738"/>
      <c r="ET295" s="738"/>
      <c r="EU295" s="738"/>
      <c r="EV295" s="738"/>
      <c r="EW295" s="738"/>
      <c r="EX295" s="738"/>
      <c r="EY295" s="738"/>
      <c r="EZ295" s="738"/>
      <c r="FA295" s="738"/>
      <c r="FB295" s="738"/>
      <c r="FC295" s="738"/>
      <c r="FD295" s="738"/>
      <c r="FE295" s="738"/>
      <c r="FF295" s="738"/>
      <c r="FG295" s="738"/>
      <c r="FH295" s="738"/>
      <c r="FI295" s="738"/>
      <c r="FJ295" s="738"/>
      <c r="FK295" s="738"/>
      <c r="FL295" s="738"/>
      <c r="FM295" s="738"/>
      <c r="FN295" s="738"/>
      <c r="FO295" s="738"/>
      <c r="FP295" s="738"/>
      <c r="FQ295" s="738"/>
      <c r="FR295" s="738"/>
      <c r="FS295" s="738"/>
      <c r="FT295" s="738"/>
      <c r="FU295" s="738"/>
      <c r="FV295" s="738"/>
      <c r="FW295" s="738"/>
      <c r="FX295" s="738"/>
      <c r="FY295" s="738"/>
      <c r="FZ295" s="738"/>
      <c r="GA295" s="738"/>
      <c r="GB295" s="738"/>
      <c r="GC295" s="738"/>
      <c r="GD295" s="738"/>
      <c r="GE295" s="738"/>
      <c r="GF295" s="738"/>
      <c r="GG295" s="738"/>
      <c r="GH295" s="738"/>
      <c r="GI295" s="738"/>
      <c r="GJ295" s="738"/>
      <c r="GK295" s="738"/>
      <c r="GL295" s="738"/>
      <c r="GM295" s="738"/>
      <c r="GN295" s="738"/>
      <c r="GO295" s="738"/>
      <c r="GP295" s="738"/>
      <c r="GQ295" s="738"/>
      <c r="GR295" s="738"/>
      <c r="GS295" s="738"/>
      <c r="GT295" s="738"/>
      <c r="GU295" s="738"/>
      <c r="GV295" s="738"/>
      <c r="GW295" s="738"/>
      <c r="GX295" s="738"/>
      <c r="GY295" s="738"/>
      <c r="GZ295" s="738"/>
      <c r="HA295" s="738"/>
      <c r="HB295" s="738"/>
      <c r="HC295" s="738"/>
      <c r="HD295" s="738"/>
      <c r="HE295" s="738"/>
      <c r="HF295" s="738"/>
      <c r="HG295" s="738"/>
      <c r="HH295" s="738"/>
      <c r="HI295" s="738"/>
      <c r="HJ295" s="738"/>
      <c r="HK295" s="738"/>
      <c r="HL295" s="738"/>
      <c r="HM295" s="738"/>
      <c r="HN295" s="738"/>
      <c r="HO295" s="738"/>
      <c r="HP295" s="738"/>
      <c r="HQ295" s="738"/>
      <c r="HR295" s="738"/>
      <c r="HS295" s="738"/>
      <c r="HT295" s="738"/>
      <c r="HU295" s="738"/>
      <c r="HV295" s="738"/>
      <c r="HW295" s="738"/>
      <c r="HX295" s="738"/>
      <c r="HY295" s="738"/>
      <c r="HZ295" s="738"/>
      <c r="IA295" s="738"/>
      <c r="IB295" s="738"/>
      <c r="IC295" s="738"/>
      <c r="ID295" s="738"/>
      <c r="IE295" s="738"/>
      <c r="IF295" s="738"/>
      <c r="IG295" s="738"/>
      <c r="IH295" s="738"/>
      <c r="II295" s="738"/>
      <c r="IJ295" s="738"/>
      <c r="IK295" s="738"/>
      <c r="IL295" s="738"/>
      <c r="IM295" s="738"/>
      <c r="IN295" s="738"/>
      <c r="IO295" s="738"/>
      <c r="IP295" s="738"/>
      <c r="IQ295" s="738"/>
      <c r="IR295" s="738"/>
      <c r="IS295" s="738"/>
      <c r="IT295" s="738"/>
      <c r="IU295" s="738"/>
      <c r="IV295" s="738"/>
    </row>
    <row r="296" spans="1:256" ht="12.4" customHeight="1">
      <c r="B296" s="192" t="s">
        <v>3112</v>
      </c>
      <c r="C296" s="1010" t="s">
        <v>693</v>
      </c>
      <c r="D296" s="1010"/>
      <c r="E296" s="1010"/>
      <c r="F296" s="1010"/>
      <c r="G296" s="1010"/>
      <c r="H296" s="1010"/>
      <c r="I296" s="1010"/>
      <c r="J296" s="1010"/>
      <c r="K296" s="1010"/>
      <c r="L296" s="1010"/>
      <c r="M296" s="1010"/>
      <c r="O296" s="221" t="s">
        <v>3112</v>
      </c>
      <c r="P296" s="1166" t="s">
        <v>3834</v>
      </c>
      <c r="Q296" s="234"/>
    </row>
    <row r="297" spans="1:256" ht="24" customHeight="1">
      <c r="A297" s="194"/>
      <c r="C297" s="296" t="s">
        <v>2903</v>
      </c>
      <c r="D297" s="297" t="s">
        <v>1963</v>
      </c>
      <c r="E297" s="181"/>
      <c r="F297" s="181"/>
      <c r="G297" s="1253" t="s">
        <v>2206</v>
      </c>
      <c r="H297" s="1254"/>
      <c r="I297" s="1254"/>
      <c r="J297" s="1254"/>
      <c r="K297" s="1254"/>
      <c r="L297" s="1254"/>
      <c r="M297" s="1254"/>
      <c r="N297" s="1255"/>
      <c r="O297" s="301" t="s">
        <v>2903</v>
      </c>
      <c r="P297" s="1252" t="s">
        <v>3834</v>
      </c>
      <c r="Q297" s="353"/>
    </row>
    <row r="298" spans="1:256" ht="12.4" customHeight="1">
      <c r="A298" s="194"/>
      <c r="C298" s="296" t="s">
        <v>2904</v>
      </c>
      <c r="D298" s="297" t="s">
        <v>2114</v>
      </c>
      <c r="E298" s="181"/>
      <c r="F298" s="181"/>
      <c r="G298" s="1152" t="s">
        <v>1782</v>
      </c>
      <c r="H298" s="1256"/>
      <c r="I298" s="1256"/>
      <c r="J298" s="1256"/>
      <c r="K298" s="1256"/>
      <c r="L298" s="1256"/>
      <c r="M298" s="1256"/>
      <c r="N298" s="1257"/>
      <c r="O298" s="301" t="s">
        <v>2904</v>
      </c>
      <c r="P298" s="1183" t="s">
        <v>3834</v>
      </c>
      <c r="Q298" s="354"/>
    </row>
    <row r="299" spans="1:256" ht="12.4" customHeight="1">
      <c r="A299" s="194"/>
      <c r="C299" s="296"/>
      <c r="D299" s="298"/>
      <c r="E299" s="181"/>
      <c r="F299" s="181"/>
      <c r="G299" s="1258" t="s">
        <v>2918</v>
      </c>
      <c r="H299" s="1259"/>
      <c r="I299" s="1259"/>
      <c r="J299" s="1259"/>
      <c r="K299" s="1259"/>
      <c r="L299" s="1259"/>
      <c r="M299" s="1259"/>
      <c r="N299" s="1260"/>
      <c r="O299" s="301"/>
      <c r="P299" s="1184" t="s">
        <v>3834</v>
      </c>
      <c r="Q299" s="355"/>
    </row>
    <row r="300" spans="1:256" ht="24" customHeight="1">
      <c r="A300" s="194"/>
      <c r="C300" s="296" t="s">
        <v>2905</v>
      </c>
      <c r="D300" s="1003" t="s">
        <v>2113</v>
      </c>
      <c r="E300" s="1004"/>
      <c r="F300" s="1005"/>
      <c r="G300" s="1159" t="s">
        <v>3584</v>
      </c>
      <c r="H300" s="1261"/>
      <c r="I300" s="1261"/>
      <c r="J300" s="1261"/>
      <c r="K300" s="1261"/>
      <c r="L300" s="1261"/>
      <c r="M300" s="1261"/>
      <c r="N300" s="1262"/>
      <c r="O300" s="301" t="s">
        <v>2905</v>
      </c>
      <c r="P300" s="1252" t="s">
        <v>3834</v>
      </c>
      <c r="Q300" s="353"/>
    </row>
    <row r="301" spans="1:256" ht="12.4" customHeight="1">
      <c r="A301" s="194"/>
      <c r="C301" s="296" t="s">
        <v>3672</v>
      </c>
      <c r="D301" s="1003" t="s">
        <v>2115</v>
      </c>
      <c r="E301" s="1003"/>
      <c r="F301" s="1030"/>
      <c r="G301" s="1263" t="s">
        <v>3432</v>
      </c>
      <c r="H301" s="1264"/>
      <c r="I301" s="1264"/>
      <c r="J301" s="1264"/>
      <c r="K301" s="1264"/>
      <c r="L301" s="1264"/>
      <c r="M301" s="1264"/>
      <c r="N301" s="1265"/>
      <c r="O301" s="301" t="s">
        <v>3672</v>
      </c>
      <c r="P301" s="1266" t="s">
        <v>3834</v>
      </c>
      <c r="Q301" s="356"/>
    </row>
    <row r="302" spans="1:256" ht="12.4" customHeight="1">
      <c r="A302" s="194"/>
      <c r="C302" s="296"/>
      <c r="D302" s="1003"/>
      <c r="E302" s="1003"/>
      <c r="F302" s="1030"/>
      <c r="G302" s="1155" t="s">
        <v>465</v>
      </c>
      <c r="H302" s="1267"/>
      <c r="I302" s="1267"/>
      <c r="J302" s="1267"/>
      <c r="K302" s="1267"/>
      <c r="L302" s="1267"/>
      <c r="M302" s="1267"/>
      <c r="N302" s="1268"/>
      <c r="P302" s="1269" t="s">
        <v>3834</v>
      </c>
      <c r="Q302" s="357"/>
    </row>
    <row r="303" spans="1:256" ht="3" customHeight="1">
      <c r="A303" s="738"/>
      <c r="B303" s="738"/>
      <c r="C303" s="738"/>
      <c r="D303" s="738"/>
      <c r="E303" s="738"/>
      <c r="F303" s="738"/>
      <c r="G303" s="738"/>
      <c r="H303" s="738"/>
      <c r="I303" s="738"/>
      <c r="J303" s="738"/>
      <c r="K303" s="738"/>
      <c r="L303" s="738"/>
      <c r="M303" s="738"/>
      <c r="N303" s="738"/>
      <c r="O303" s="738"/>
      <c r="P303" s="738"/>
      <c r="Q303" s="738"/>
      <c r="R303" s="738"/>
      <c r="S303" s="738"/>
      <c r="T303" s="738"/>
      <c r="U303" s="738"/>
      <c r="V303" s="738"/>
      <c r="W303" s="738"/>
      <c r="X303" s="738"/>
      <c r="Y303" s="738"/>
      <c r="Z303" s="738"/>
      <c r="AA303" s="738"/>
      <c r="AB303" s="738"/>
      <c r="AC303" s="738"/>
      <c r="AD303" s="738"/>
      <c r="AE303" s="738"/>
      <c r="AF303" s="738"/>
      <c r="AG303" s="738"/>
      <c r="AH303" s="738"/>
      <c r="AI303" s="738"/>
      <c r="AJ303" s="738"/>
      <c r="AK303" s="738"/>
      <c r="AL303" s="738"/>
      <c r="AM303" s="738"/>
      <c r="AN303" s="738"/>
      <c r="AO303" s="738"/>
      <c r="AP303" s="738"/>
      <c r="AQ303" s="738"/>
      <c r="AR303" s="738"/>
      <c r="AS303" s="738"/>
      <c r="AT303" s="738"/>
      <c r="AU303" s="738"/>
      <c r="AV303" s="738"/>
      <c r="AW303" s="738"/>
      <c r="AX303" s="738"/>
      <c r="AY303" s="738"/>
      <c r="AZ303" s="738"/>
      <c r="BA303" s="738"/>
      <c r="BB303" s="738"/>
      <c r="BC303" s="738"/>
      <c r="BD303" s="738"/>
      <c r="BE303" s="738"/>
      <c r="BF303" s="738"/>
      <c r="BG303" s="738"/>
      <c r="BH303" s="738"/>
      <c r="BI303" s="738"/>
      <c r="BJ303" s="738"/>
      <c r="BK303" s="738"/>
      <c r="BL303" s="738"/>
      <c r="BM303" s="738"/>
      <c r="BN303" s="738"/>
      <c r="BO303" s="738"/>
      <c r="BP303" s="738"/>
      <c r="BQ303" s="738"/>
      <c r="BR303" s="738"/>
      <c r="BS303" s="738"/>
      <c r="BT303" s="738"/>
      <c r="BU303" s="738"/>
      <c r="BV303" s="738"/>
      <c r="BW303" s="738"/>
      <c r="BX303" s="738"/>
      <c r="BY303" s="738"/>
      <c r="BZ303" s="738"/>
      <c r="CA303" s="738"/>
      <c r="CB303" s="738"/>
      <c r="CC303" s="738"/>
      <c r="CD303" s="738"/>
      <c r="CE303" s="738"/>
      <c r="CF303" s="738"/>
      <c r="CG303" s="738"/>
      <c r="CH303" s="738"/>
      <c r="CI303" s="738"/>
      <c r="CJ303" s="738"/>
      <c r="CK303" s="738"/>
      <c r="CL303" s="738"/>
      <c r="CM303" s="738"/>
      <c r="CN303" s="738"/>
      <c r="CO303" s="738"/>
      <c r="CP303" s="738"/>
      <c r="CQ303" s="738"/>
      <c r="CR303" s="738"/>
      <c r="CS303" s="738"/>
      <c r="CT303" s="738"/>
      <c r="CU303" s="738"/>
      <c r="CV303" s="738"/>
      <c r="CW303" s="738"/>
      <c r="CX303" s="738"/>
      <c r="CY303" s="738"/>
      <c r="CZ303" s="738"/>
      <c r="DA303" s="738"/>
      <c r="DB303" s="738"/>
      <c r="DC303" s="738"/>
      <c r="DD303" s="738"/>
      <c r="DE303" s="738"/>
      <c r="DF303" s="738"/>
      <c r="DG303" s="738"/>
      <c r="DH303" s="738"/>
      <c r="DI303" s="738"/>
      <c r="DJ303" s="738"/>
      <c r="DK303" s="738"/>
      <c r="DL303" s="738"/>
      <c r="DM303" s="738"/>
      <c r="DN303" s="738"/>
      <c r="DO303" s="738"/>
      <c r="DP303" s="738"/>
      <c r="DQ303" s="738"/>
      <c r="DR303" s="738"/>
      <c r="DS303" s="738"/>
      <c r="DT303" s="738"/>
      <c r="DU303" s="738"/>
      <c r="DV303" s="738"/>
      <c r="DW303" s="738"/>
      <c r="DX303" s="738"/>
      <c r="DY303" s="738"/>
      <c r="DZ303" s="738"/>
      <c r="EA303" s="738"/>
      <c r="EB303" s="738"/>
      <c r="EC303" s="738"/>
      <c r="ED303" s="738"/>
      <c r="EE303" s="738"/>
      <c r="EF303" s="738"/>
      <c r="EG303" s="738"/>
      <c r="EH303" s="738"/>
      <c r="EI303" s="738"/>
      <c r="EJ303" s="738"/>
      <c r="EK303" s="738"/>
      <c r="EL303" s="738"/>
      <c r="EM303" s="738"/>
      <c r="EN303" s="738"/>
      <c r="EO303" s="738"/>
      <c r="EP303" s="738"/>
      <c r="EQ303" s="738"/>
      <c r="ER303" s="738"/>
      <c r="ES303" s="738"/>
      <c r="ET303" s="738"/>
      <c r="EU303" s="738"/>
      <c r="EV303" s="738"/>
      <c r="EW303" s="738"/>
      <c r="EX303" s="738"/>
      <c r="EY303" s="738"/>
      <c r="EZ303" s="738"/>
      <c r="FA303" s="738"/>
      <c r="FB303" s="738"/>
      <c r="FC303" s="738"/>
      <c r="FD303" s="738"/>
      <c r="FE303" s="738"/>
      <c r="FF303" s="738"/>
      <c r="FG303" s="738"/>
      <c r="FH303" s="738"/>
      <c r="FI303" s="738"/>
      <c r="FJ303" s="738"/>
      <c r="FK303" s="738"/>
      <c r="FL303" s="738"/>
      <c r="FM303" s="738"/>
      <c r="FN303" s="738"/>
      <c r="FO303" s="738"/>
      <c r="FP303" s="738"/>
      <c r="FQ303" s="738"/>
      <c r="FR303" s="738"/>
      <c r="FS303" s="738"/>
      <c r="FT303" s="738"/>
      <c r="FU303" s="738"/>
      <c r="FV303" s="738"/>
      <c r="FW303" s="738"/>
      <c r="FX303" s="738"/>
      <c r="FY303" s="738"/>
      <c r="FZ303" s="738"/>
      <c r="GA303" s="738"/>
      <c r="GB303" s="738"/>
      <c r="GC303" s="738"/>
      <c r="GD303" s="738"/>
      <c r="GE303" s="738"/>
      <c r="GF303" s="738"/>
      <c r="GG303" s="738"/>
      <c r="GH303" s="738"/>
      <c r="GI303" s="738"/>
      <c r="GJ303" s="738"/>
      <c r="GK303" s="738"/>
      <c r="GL303" s="738"/>
      <c r="GM303" s="738"/>
      <c r="GN303" s="738"/>
      <c r="GO303" s="738"/>
      <c r="GP303" s="738"/>
      <c r="GQ303" s="738"/>
      <c r="GR303" s="738"/>
      <c r="GS303" s="738"/>
      <c r="GT303" s="738"/>
      <c r="GU303" s="738"/>
      <c r="GV303" s="738"/>
      <c r="GW303" s="738"/>
      <c r="GX303" s="738"/>
      <c r="GY303" s="738"/>
      <c r="GZ303" s="738"/>
      <c r="HA303" s="738"/>
      <c r="HB303" s="738"/>
      <c r="HC303" s="738"/>
      <c r="HD303" s="738"/>
      <c r="HE303" s="738"/>
      <c r="HF303" s="738"/>
      <c r="HG303" s="738"/>
      <c r="HH303" s="738"/>
      <c r="HI303" s="738"/>
      <c r="HJ303" s="738"/>
      <c r="HK303" s="738"/>
      <c r="HL303" s="738"/>
      <c r="HM303" s="738"/>
      <c r="HN303" s="738"/>
      <c r="HO303" s="738"/>
      <c r="HP303" s="738"/>
      <c r="HQ303" s="738"/>
      <c r="HR303" s="738"/>
      <c r="HS303" s="738"/>
      <c r="HT303" s="738"/>
      <c r="HU303" s="738"/>
      <c r="HV303" s="738"/>
      <c r="HW303" s="738"/>
      <c r="HX303" s="738"/>
      <c r="HY303" s="738"/>
      <c r="HZ303" s="738"/>
      <c r="IA303" s="738"/>
      <c r="IB303" s="738"/>
      <c r="IC303" s="738"/>
      <c r="ID303" s="738"/>
      <c r="IE303" s="738"/>
      <c r="IF303" s="738"/>
      <c r="IG303" s="738"/>
      <c r="IH303" s="738"/>
      <c r="II303" s="738"/>
      <c r="IJ303" s="738"/>
      <c r="IK303" s="738"/>
      <c r="IL303" s="738"/>
      <c r="IM303" s="738"/>
      <c r="IN303" s="738"/>
      <c r="IO303" s="738"/>
      <c r="IP303" s="738"/>
      <c r="IQ303" s="738"/>
      <c r="IR303" s="738"/>
      <c r="IS303" s="738"/>
      <c r="IT303" s="738"/>
      <c r="IU303" s="738"/>
      <c r="IV303" s="738"/>
    </row>
    <row r="304" spans="1:256" ht="11.25" customHeight="1">
      <c r="B304" s="191" t="s">
        <v>3088</v>
      </c>
      <c r="D304" s="191"/>
      <c r="E304" s="191"/>
      <c r="F304" s="191"/>
      <c r="G304" s="191"/>
      <c r="H304" s="50"/>
      <c r="I304" s="179"/>
      <c r="J304" s="179"/>
      <c r="K304" s="179"/>
      <c r="L304" s="738"/>
      <c r="M304" s="738"/>
      <c r="N304" s="738"/>
      <c r="O304" s="738"/>
      <c r="P304" s="738"/>
      <c r="Q304" s="63"/>
    </row>
    <row r="305" spans="1:31" ht="11.65" customHeight="1">
      <c r="A305" s="1152" t="s">
        <v>4090</v>
      </c>
      <c r="B305" s="1153"/>
      <c r="C305" s="1153"/>
      <c r="D305" s="1153"/>
      <c r="E305" s="1153"/>
      <c r="F305" s="1153"/>
      <c r="G305" s="1153"/>
      <c r="H305" s="1153"/>
      <c r="I305" s="1153"/>
      <c r="J305" s="1153"/>
      <c r="K305" s="1153"/>
      <c r="L305" s="1153"/>
      <c r="M305" s="1153"/>
      <c r="N305" s="1153"/>
      <c r="O305" s="1153"/>
      <c r="P305" s="1153"/>
      <c r="Q305" s="1154"/>
      <c r="R305" s="1032" t="s">
        <v>1931</v>
      </c>
      <c r="S305" s="1032"/>
      <c r="U305" s="185"/>
      <c r="V305" s="185"/>
      <c r="W305" s="185"/>
      <c r="X305" s="185"/>
      <c r="Y305" s="185"/>
      <c r="Z305" s="185"/>
      <c r="AA305" s="185"/>
      <c r="AB305" s="185"/>
      <c r="AC305" s="185"/>
      <c r="AD305" s="185"/>
      <c r="AE305" s="186"/>
    </row>
    <row r="306" spans="1:31" ht="11.65" customHeight="1">
      <c r="A306" s="1155"/>
      <c r="B306" s="1156"/>
      <c r="C306" s="1156"/>
      <c r="D306" s="1156"/>
      <c r="E306" s="1156"/>
      <c r="F306" s="1156"/>
      <c r="G306" s="1156"/>
      <c r="H306" s="1156"/>
      <c r="I306" s="1156"/>
      <c r="J306" s="1156"/>
      <c r="K306" s="1156"/>
      <c r="L306" s="1156"/>
      <c r="M306" s="1156"/>
      <c r="N306" s="1156"/>
      <c r="O306" s="1156"/>
      <c r="P306" s="1156"/>
      <c r="Q306" s="1157"/>
      <c r="R306" s="1032"/>
      <c r="S306" s="1032"/>
    </row>
    <row r="307" spans="1:31" ht="11.25" customHeight="1">
      <c r="B307" s="187" t="s">
        <v>3089</v>
      </c>
      <c r="C307" s="188"/>
      <c r="D307" s="740"/>
      <c r="E307" s="740"/>
      <c r="F307" s="740"/>
      <c r="G307" s="740"/>
      <c r="H307" s="740"/>
      <c r="I307" s="740"/>
      <c r="J307" s="740"/>
      <c r="K307" s="740"/>
      <c r="L307" s="740"/>
      <c r="M307" s="740"/>
      <c r="N307" s="740"/>
      <c r="O307" s="740"/>
      <c r="P307" s="740"/>
      <c r="Q307" s="740"/>
    </row>
    <row r="308" spans="1:31" ht="11.65" customHeight="1">
      <c r="A308" s="991"/>
      <c r="B308" s="992"/>
      <c r="C308" s="992"/>
      <c r="D308" s="992"/>
      <c r="E308" s="992"/>
      <c r="F308" s="992"/>
      <c r="G308" s="992"/>
      <c r="H308" s="992"/>
      <c r="I308" s="992"/>
      <c r="J308" s="992"/>
      <c r="K308" s="992"/>
      <c r="L308" s="992"/>
      <c r="M308" s="992"/>
      <c r="N308" s="992"/>
      <c r="O308" s="992"/>
      <c r="P308" s="992"/>
      <c r="Q308" s="993"/>
    </row>
    <row r="309" spans="1:31" ht="11.6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8"/>
      <c r="B310" s="179"/>
      <c r="C310" s="740"/>
      <c r="D310" s="740"/>
      <c r="E310" s="740"/>
      <c r="F310" s="740"/>
      <c r="G310" s="740"/>
      <c r="H310" s="740"/>
      <c r="I310" s="740"/>
      <c r="J310" s="740"/>
      <c r="K310" s="740"/>
      <c r="L310" s="740"/>
      <c r="M310" s="740"/>
      <c r="N310" s="740"/>
      <c r="O310" s="740"/>
      <c r="P310" s="740"/>
      <c r="Q310" s="738"/>
    </row>
    <row r="311" spans="1:31" ht="13.9" customHeight="1">
      <c r="A311" s="742">
        <v>19</v>
      </c>
      <c r="B311" s="742" t="s">
        <v>3106</v>
      </c>
      <c r="C311" s="742"/>
      <c r="D311" s="740"/>
      <c r="E311" s="740"/>
      <c r="F311" s="740"/>
      <c r="G311" s="740"/>
      <c r="H311" s="740"/>
      <c r="O311" s="180" t="s">
        <v>3090</v>
      </c>
      <c r="P311" s="989"/>
      <c r="Q311" s="990"/>
    </row>
    <row r="312" spans="1:31" ht="3" customHeight="1"/>
    <row r="313" spans="1:31" ht="11.65" customHeight="1">
      <c r="B313" s="195" t="s">
        <v>3528</v>
      </c>
      <c r="P313" s="1166" t="s">
        <v>3834</v>
      </c>
      <c r="Q313" s="234"/>
    </row>
    <row r="314" spans="1:31" ht="11.65" customHeight="1">
      <c r="B314" s="195" t="s">
        <v>3604</v>
      </c>
      <c r="P314" s="1166" t="s">
        <v>139</v>
      </c>
      <c r="Q314" s="234"/>
    </row>
    <row r="315" spans="1:31" ht="11.65" customHeight="1">
      <c r="B315" s="195" t="s">
        <v>923</v>
      </c>
      <c r="L315" s="1270" t="s">
        <v>4091</v>
      </c>
      <c r="M315" s="1271"/>
      <c r="N315" s="1271"/>
      <c r="O315" s="1272"/>
      <c r="P315" s="1166" t="s">
        <v>3834</v>
      </c>
      <c r="Q315" s="234"/>
    </row>
    <row r="316" spans="1:31" ht="11.65" customHeight="1">
      <c r="B316" s="690" t="s">
        <v>3605</v>
      </c>
      <c r="L316" s="1006"/>
      <c r="M316" s="1007"/>
      <c r="N316" s="1007"/>
      <c r="O316" s="1008"/>
    </row>
    <row r="317" spans="1:31" ht="4.1500000000000004" customHeight="1">
      <c r="A317" s="189"/>
      <c r="C317" s="190"/>
    </row>
    <row r="318" spans="1:31" ht="11.25" customHeight="1">
      <c r="B318" s="191" t="s">
        <v>3088</v>
      </c>
      <c r="D318" s="191"/>
      <c r="E318" s="191"/>
      <c r="F318" s="191"/>
      <c r="G318" s="191"/>
      <c r="H318" s="50"/>
      <c r="I318" s="179"/>
      <c r="J318" s="179"/>
      <c r="K318" s="179"/>
      <c r="L318" s="738"/>
      <c r="M318" s="738"/>
      <c r="N318" s="738"/>
      <c r="O318" s="738"/>
      <c r="P318" s="738"/>
      <c r="Q318" s="63"/>
    </row>
    <row r="319" spans="1:31" ht="13.15" customHeight="1">
      <c r="A319" s="1152" t="s">
        <v>4099</v>
      </c>
      <c r="B319" s="1153"/>
      <c r="C319" s="1153"/>
      <c r="D319" s="1153"/>
      <c r="E319" s="1153"/>
      <c r="F319" s="1153"/>
      <c r="G319" s="1153"/>
      <c r="H319" s="1153"/>
      <c r="I319" s="1153"/>
      <c r="J319" s="1153"/>
      <c r="K319" s="1153"/>
      <c r="L319" s="1153"/>
      <c r="M319" s="1153"/>
      <c r="N319" s="1153"/>
      <c r="O319" s="1153"/>
      <c r="P319" s="1153"/>
      <c r="Q319" s="1154"/>
      <c r="R319" s="1029" t="s">
        <v>1931</v>
      </c>
      <c r="S319" s="1029"/>
      <c r="U319" s="185"/>
      <c r="V319" s="185"/>
      <c r="W319" s="185"/>
      <c r="X319" s="185"/>
      <c r="Y319" s="185"/>
      <c r="Z319" s="185"/>
      <c r="AA319" s="185"/>
      <c r="AB319" s="185"/>
      <c r="AC319" s="185"/>
      <c r="AD319" s="185"/>
      <c r="AE319" s="186"/>
    </row>
    <row r="320" spans="1:31" ht="13.15" customHeight="1">
      <c r="A320" s="1163" t="s">
        <v>4</v>
      </c>
      <c r="B320" s="1164"/>
      <c r="C320" s="1164"/>
      <c r="D320" s="1164"/>
      <c r="E320" s="1164"/>
      <c r="F320" s="1164"/>
      <c r="G320" s="1164"/>
      <c r="H320" s="1164"/>
      <c r="I320" s="1164"/>
      <c r="J320" s="1164"/>
      <c r="K320" s="1164"/>
      <c r="L320" s="1164"/>
      <c r="M320" s="1164"/>
      <c r="N320" s="1164"/>
      <c r="O320" s="1164"/>
      <c r="P320" s="1164"/>
      <c r="Q320" s="1165"/>
      <c r="R320" s="1029"/>
      <c r="S320" s="1029"/>
    </row>
    <row r="321" spans="1:31" ht="13.15" customHeight="1">
      <c r="A321" s="1155" t="s">
        <v>5</v>
      </c>
      <c r="B321" s="1156"/>
      <c r="C321" s="1156"/>
      <c r="D321" s="1156"/>
      <c r="E321" s="1156"/>
      <c r="F321" s="1156"/>
      <c r="G321" s="1156"/>
      <c r="H321" s="1156"/>
      <c r="I321" s="1156"/>
      <c r="J321" s="1156"/>
      <c r="K321" s="1156"/>
      <c r="L321" s="1156"/>
      <c r="M321" s="1156"/>
      <c r="N321" s="1156"/>
      <c r="O321" s="1156"/>
      <c r="P321" s="1156"/>
      <c r="Q321" s="1157"/>
      <c r="R321" s="1029"/>
      <c r="S321" s="1029"/>
    </row>
    <row r="322" spans="1:31" ht="11.25" customHeight="1">
      <c r="B322" s="187" t="s">
        <v>3089</v>
      </c>
      <c r="C322" s="188"/>
      <c r="D322" s="740"/>
      <c r="E322" s="740"/>
      <c r="F322" s="740"/>
      <c r="G322" s="740"/>
      <c r="H322" s="740"/>
      <c r="I322" s="740"/>
      <c r="J322" s="740"/>
      <c r="K322" s="740"/>
      <c r="L322" s="740"/>
      <c r="M322" s="740"/>
      <c r="N322" s="740"/>
      <c r="O322" s="740"/>
      <c r="P322" s="740"/>
      <c r="Q322" s="740"/>
    </row>
    <row r="323" spans="1:31" ht="13.15" customHeight="1">
      <c r="A323" s="991"/>
      <c r="B323" s="992"/>
      <c r="C323" s="992"/>
      <c r="D323" s="992"/>
      <c r="E323" s="992"/>
      <c r="F323" s="992"/>
      <c r="G323" s="992"/>
      <c r="H323" s="992"/>
      <c r="I323" s="992"/>
      <c r="J323" s="992"/>
      <c r="K323" s="992"/>
      <c r="L323" s="992"/>
      <c r="M323" s="992"/>
      <c r="N323" s="992"/>
      <c r="O323" s="992"/>
      <c r="P323" s="992"/>
      <c r="Q323" s="993"/>
    </row>
    <row r="324" spans="1:31" ht="13.15" customHeight="1">
      <c r="A324" s="1011"/>
      <c r="B324" s="1012"/>
      <c r="C324" s="1012"/>
      <c r="D324" s="1012"/>
      <c r="E324" s="1012"/>
      <c r="F324" s="1012"/>
      <c r="G324" s="1012"/>
      <c r="H324" s="1012"/>
      <c r="I324" s="1012"/>
      <c r="J324" s="1012"/>
      <c r="K324" s="1012"/>
      <c r="L324" s="1012"/>
      <c r="M324" s="1012"/>
      <c r="N324" s="1012"/>
      <c r="O324" s="1012"/>
      <c r="P324" s="1012"/>
      <c r="Q324" s="1013"/>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0"/>
      <c r="D326" s="740"/>
      <c r="E326" s="740"/>
      <c r="F326" s="740"/>
      <c r="G326" s="740"/>
      <c r="H326" s="740"/>
      <c r="I326" s="740"/>
      <c r="J326" s="740"/>
      <c r="K326" s="740"/>
      <c r="L326" s="740"/>
      <c r="M326" s="740"/>
      <c r="Q326" s="63"/>
    </row>
    <row r="327" spans="1:31" ht="13.9" customHeight="1">
      <c r="A327" s="742">
        <v>20</v>
      </c>
      <c r="B327" s="5" t="s">
        <v>611</v>
      </c>
      <c r="C327" s="5"/>
      <c r="D327" s="118"/>
      <c r="E327" s="740"/>
      <c r="F327" s="740"/>
      <c r="G327" s="740"/>
      <c r="H327" s="740"/>
      <c r="I327" s="740"/>
      <c r="J327" s="740"/>
      <c r="K327" s="740"/>
      <c r="L327" s="740"/>
      <c r="M327" s="740"/>
      <c r="O327" s="180" t="s">
        <v>3090</v>
      </c>
      <c r="P327" s="989"/>
      <c r="Q327" s="990"/>
    </row>
    <row r="328" spans="1:31" ht="3" customHeight="1"/>
    <row r="329" spans="1:31" ht="22.15" customHeight="1">
      <c r="B329" s="192" t="s">
        <v>3000</v>
      </c>
      <c r="C329" s="1002" t="s">
        <v>2528</v>
      </c>
      <c r="D329" s="1002"/>
      <c r="E329" s="1002"/>
      <c r="F329" s="1002"/>
      <c r="G329" s="1002"/>
      <c r="H329" s="1002"/>
      <c r="I329" s="1002"/>
      <c r="J329" s="1002"/>
      <c r="K329" s="1002"/>
      <c r="L329" s="1002"/>
      <c r="M329" s="1002"/>
      <c r="N329" s="1002"/>
      <c r="O329" s="221" t="s">
        <v>3000</v>
      </c>
      <c r="P329" s="1166" t="s">
        <v>3834</v>
      </c>
      <c r="Q329" s="234"/>
    </row>
    <row r="330" spans="1:31" ht="11.65" customHeight="1">
      <c r="B330" s="192" t="s">
        <v>3112</v>
      </c>
      <c r="C330" s="1002" t="s">
        <v>484</v>
      </c>
      <c r="D330" s="1002"/>
      <c r="E330" s="1002"/>
      <c r="F330" s="1002"/>
      <c r="G330" s="1002"/>
      <c r="H330" s="1002"/>
      <c r="I330" s="1002"/>
      <c r="J330" s="1002"/>
      <c r="K330" s="1002"/>
      <c r="L330" s="1002"/>
      <c r="M330" s="740"/>
      <c r="O330" s="221" t="s">
        <v>3112</v>
      </c>
      <c r="P330" s="1166"/>
      <c r="Q330" s="234"/>
    </row>
    <row r="331" spans="1:31" ht="11.65" customHeight="1">
      <c r="B331" s="192" t="s">
        <v>1517</v>
      </c>
      <c r="C331" s="197" t="s">
        <v>2222</v>
      </c>
      <c r="D331" s="197"/>
      <c r="E331" s="197"/>
      <c r="F331" s="197"/>
      <c r="G331" s="197"/>
      <c r="H331" s="197"/>
      <c r="I331" s="197"/>
      <c r="J331" s="197"/>
      <c r="K331" s="197"/>
      <c r="L331" s="197"/>
      <c r="M331" s="197"/>
      <c r="O331" s="221" t="s">
        <v>1517</v>
      </c>
      <c r="P331" s="1166" t="s">
        <v>3834</v>
      </c>
      <c r="Q331" s="234"/>
    </row>
    <row r="332" spans="1:31" ht="22.15" customHeight="1">
      <c r="B332" s="192" t="s">
        <v>3316</v>
      </c>
      <c r="C332" s="1002" t="s">
        <v>1071</v>
      </c>
      <c r="D332" s="1002"/>
      <c r="E332" s="1002"/>
      <c r="F332" s="1002"/>
      <c r="G332" s="1002"/>
      <c r="H332" s="1002"/>
      <c r="I332" s="1002"/>
      <c r="J332" s="1002"/>
      <c r="K332" s="1002"/>
      <c r="L332" s="1002"/>
      <c r="M332" s="1002"/>
      <c r="N332" s="1002"/>
      <c r="O332" s="221" t="s">
        <v>3316</v>
      </c>
      <c r="P332" s="1166"/>
      <c r="Q332" s="234"/>
    </row>
    <row r="333" spans="1:31" ht="11.25" customHeight="1">
      <c r="B333" s="191" t="s">
        <v>3088</v>
      </c>
      <c r="D333" s="191"/>
      <c r="E333" s="191"/>
      <c r="F333" s="191"/>
      <c r="G333" s="191"/>
      <c r="H333" s="50"/>
      <c r="I333" s="179"/>
      <c r="J333" s="179"/>
      <c r="K333" s="179"/>
      <c r="L333" s="738"/>
      <c r="M333" s="738"/>
      <c r="N333" s="738"/>
      <c r="O333" s="738"/>
      <c r="P333" s="738"/>
      <c r="Q333" s="63"/>
    </row>
    <row r="334" spans="1:31" ht="11.65" customHeight="1">
      <c r="A334" s="1152" t="s">
        <v>4103</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65" customHeight="1">
      <c r="A335" s="1155" t="s">
        <v>4102</v>
      </c>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3089</v>
      </c>
      <c r="C337" s="188"/>
      <c r="D337" s="740"/>
      <c r="E337" s="740"/>
      <c r="F337" s="740"/>
      <c r="G337" s="740"/>
      <c r="H337" s="740"/>
      <c r="I337" s="740"/>
      <c r="J337" s="740"/>
      <c r="K337" s="740"/>
      <c r="L337" s="740"/>
      <c r="M337" s="740"/>
      <c r="N337" s="740"/>
      <c r="O337" s="740"/>
      <c r="P337" s="740"/>
      <c r="Q337" s="740"/>
    </row>
    <row r="338" spans="1:31" ht="11.65" customHeight="1">
      <c r="A338" s="991"/>
      <c r="B338" s="992"/>
      <c r="C338" s="992"/>
      <c r="D338" s="992"/>
      <c r="E338" s="992"/>
      <c r="F338" s="992"/>
      <c r="G338" s="992"/>
      <c r="H338" s="992"/>
      <c r="I338" s="992"/>
      <c r="J338" s="992"/>
      <c r="K338" s="992"/>
      <c r="L338" s="992"/>
      <c r="M338" s="992"/>
      <c r="N338" s="992"/>
      <c r="O338" s="992"/>
      <c r="P338" s="992"/>
      <c r="Q338" s="993"/>
    </row>
    <row r="339" spans="1:31" ht="11.6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8"/>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2">
        <v>21</v>
      </c>
      <c r="B341" s="5" t="s">
        <v>1567</v>
      </c>
      <c r="C341" s="5"/>
      <c r="D341" s="5"/>
      <c r="E341" s="5"/>
      <c r="F341" s="5"/>
      <c r="G341" s="5"/>
      <c r="H341" s="740"/>
      <c r="I341" s="740"/>
      <c r="J341" s="740"/>
      <c r="K341" s="740"/>
      <c r="L341" s="740"/>
      <c r="M341" s="740"/>
      <c r="O341" s="180" t="s">
        <v>3090</v>
      </c>
      <c r="P341" s="989"/>
      <c r="Q341" s="990"/>
    </row>
    <row r="342" spans="1:31" ht="12" customHeight="1">
      <c r="B342" s="57" t="s">
        <v>3000</v>
      </c>
      <c r="C342" s="160" t="s">
        <v>1938</v>
      </c>
      <c r="D342" s="746"/>
      <c r="E342" s="746"/>
      <c r="F342" s="746"/>
      <c r="G342" s="746"/>
      <c r="H342" s="746"/>
      <c r="I342" s="52"/>
      <c r="J342" s="62" t="s">
        <v>3000</v>
      </c>
      <c r="K342" s="1224"/>
      <c r="L342" s="1225"/>
      <c r="M342" s="1225"/>
      <c r="N342" s="1225"/>
      <c r="O342" s="1226"/>
      <c r="P342" s="1166"/>
      <c r="Q342" s="234"/>
    </row>
    <row r="343" spans="1:31" ht="24" customHeight="1">
      <c r="B343" s="192" t="s">
        <v>3112</v>
      </c>
      <c r="C343" s="975" t="s">
        <v>3074</v>
      </c>
      <c r="D343" s="975"/>
      <c r="E343" s="975"/>
      <c r="F343" s="975"/>
      <c r="G343" s="975"/>
      <c r="H343" s="975"/>
      <c r="I343" s="975"/>
      <c r="J343" s="975"/>
      <c r="K343" s="975"/>
      <c r="L343" s="975"/>
      <c r="M343" s="975"/>
      <c r="O343" s="221" t="s">
        <v>3112</v>
      </c>
      <c r="P343" s="1252"/>
      <c r="Q343" s="234"/>
    </row>
    <row r="344" spans="1:31" ht="12" customHeight="1">
      <c r="B344" s="57" t="s">
        <v>1517</v>
      </c>
      <c r="C344" s="65" t="s">
        <v>1568</v>
      </c>
      <c r="D344" s="65"/>
      <c r="E344" s="65"/>
      <c r="F344" s="65"/>
      <c r="G344" s="65"/>
      <c r="H344" s="65"/>
      <c r="I344" s="65"/>
      <c r="J344" s="65"/>
      <c r="K344" s="65"/>
      <c r="L344" s="40"/>
      <c r="M344" s="40"/>
      <c r="O344" s="62" t="s">
        <v>1517</v>
      </c>
      <c r="P344" s="1166"/>
      <c r="Q344" s="234"/>
    </row>
    <row r="345" spans="1:31" ht="12" customHeight="1">
      <c r="B345" s="57" t="s">
        <v>3316</v>
      </c>
      <c r="C345" s="65" t="s">
        <v>483</v>
      </c>
      <c r="D345" s="65"/>
      <c r="E345" s="65"/>
      <c r="F345" s="65"/>
      <c r="G345" s="65"/>
      <c r="H345" s="65"/>
      <c r="I345" s="65"/>
      <c r="J345" s="65"/>
      <c r="K345" s="65"/>
      <c r="L345" s="65"/>
      <c r="M345" s="65"/>
      <c r="O345" s="62" t="s">
        <v>3316</v>
      </c>
      <c r="P345" s="1166"/>
      <c r="Q345" s="234"/>
    </row>
    <row r="346" spans="1:31" ht="22.9" customHeight="1">
      <c r="B346" s="192" t="s">
        <v>2901</v>
      </c>
      <c r="C346" s="1002" t="s">
        <v>435</v>
      </c>
      <c r="D346" s="1002"/>
      <c r="E346" s="1002"/>
      <c r="F346" s="1002"/>
      <c r="G346" s="1002"/>
      <c r="H346" s="1002"/>
      <c r="I346" s="1002"/>
      <c r="J346" s="1002"/>
      <c r="K346" s="1002"/>
      <c r="L346" s="1002"/>
      <c r="M346" s="1002"/>
      <c r="N346" s="1002"/>
      <c r="O346" s="221" t="s">
        <v>2901</v>
      </c>
      <c r="P346" s="1252"/>
      <c r="Q346" s="353"/>
    </row>
    <row r="347" spans="1:31" ht="12" customHeight="1">
      <c r="B347" s="57" t="s">
        <v>2902</v>
      </c>
      <c r="C347" s="65" t="s">
        <v>1997</v>
      </c>
      <c r="D347" s="65"/>
      <c r="E347" s="65"/>
      <c r="F347" s="65"/>
      <c r="G347" s="65"/>
      <c r="H347" s="65"/>
      <c r="I347" s="65"/>
      <c r="J347" s="65"/>
      <c r="K347" s="65"/>
      <c r="L347" s="65"/>
      <c r="M347" s="65"/>
      <c r="O347" s="62" t="s">
        <v>2902</v>
      </c>
      <c r="P347" s="1166"/>
      <c r="Q347" s="234"/>
    </row>
    <row r="348" spans="1:31" ht="11.25" customHeight="1">
      <c r="B348" s="191" t="s">
        <v>3088</v>
      </c>
      <c r="D348" s="191"/>
      <c r="E348" s="191"/>
      <c r="F348" s="191"/>
      <c r="G348" s="191"/>
      <c r="H348" s="50"/>
      <c r="I348" s="179"/>
      <c r="J348" s="179"/>
      <c r="K348" s="179"/>
      <c r="L348" s="738"/>
      <c r="M348" s="738"/>
      <c r="N348" s="738"/>
      <c r="O348" s="738"/>
      <c r="P348" s="738"/>
      <c r="Q348" s="63"/>
    </row>
    <row r="349" spans="1:31" ht="11.65" customHeight="1">
      <c r="A349" s="1159" t="s">
        <v>4073</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3089</v>
      </c>
      <c r="C350" s="188"/>
      <c r="D350" s="740"/>
      <c r="E350" s="740"/>
      <c r="F350" s="740"/>
      <c r="G350" s="740"/>
      <c r="H350" s="740"/>
      <c r="I350" s="740"/>
      <c r="J350" s="740"/>
      <c r="K350" s="740"/>
      <c r="L350" s="740"/>
      <c r="M350" s="740"/>
      <c r="N350" s="740"/>
      <c r="O350" s="740"/>
      <c r="P350" s="740"/>
      <c r="Q350" s="740"/>
    </row>
    <row r="351" spans="1:31" ht="11.65" customHeight="1">
      <c r="A351" s="998"/>
      <c r="B351" s="999"/>
      <c r="C351" s="999"/>
      <c r="D351" s="999"/>
      <c r="E351" s="999"/>
      <c r="F351" s="999"/>
      <c r="G351" s="999"/>
      <c r="H351" s="999"/>
      <c r="I351" s="999"/>
      <c r="J351" s="999"/>
      <c r="K351" s="999"/>
      <c r="L351" s="999"/>
      <c r="M351" s="999"/>
      <c r="N351" s="999"/>
      <c r="O351" s="999"/>
      <c r="P351" s="999"/>
      <c r="Q351" s="1000"/>
    </row>
    <row r="352" spans="1:31" ht="6" customHeight="1">
      <c r="A352" s="738"/>
      <c r="B352" s="179"/>
      <c r="C352" s="740"/>
      <c r="D352" s="740"/>
      <c r="E352" s="740"/>
      <c r="F352" s="740"/>
      <c r="G352" s="740"/>
      <c r="H352" s="740"/>
      <c r="I352" s="740"/>
      <c r="J352" s="740"/>
      <c r="K352" s="740"/>
      <c r="L352" s="740"/>
      <c r="M352" s="740"/>
      <c r="Q352" s="63"/>
    </row>
    <row r="353" spans="1:31" ht="13.9" customHeight="1">
      <c r="A353" s="742">
        <v>22</v>
      </c>
      <c r="B353" s="5" t="s">
        <v>3866</v>
      </c>
      <c r="C353" s="5"/>
      <c r="D353" s="5"/>
      <c r="E353" s="5"/>
      <c r="F353" s="5"/>
      <c r="G353" s="5"/>
      <c r="H353" s="740"/>
      <c r="I353" s="740"/>
      <c r="J353" s="740"/>
      <c r="O353" s="180" t="s">
        <v>3090</v>
      </c>
      <c r="P353" s="989"/>
      <c r="Q353" s="990"/>
    </row>
    <row r="354" spans="1:31" ht="11.65" customHeight="1">
      <c r="B354" s="57" t="s">
        <v>3000</v>
      </c>
      <c r="C354" s="160" t="s">
        <v>1676</v>
      </c>
      <c r="D354" s="746"/>
      <c r="E354" s="746"/>
      <c r="F354" s="746"/>
      <c r="G354" s="746"/>
      <c r="H354" s="746"/>
      <c r="I354" s="52"/>
      <c r="J354" s="62" t="s">
        <v>3000</v>
      </c>
      <c r="K354" s="1224"/>
      <c r="L354" s="1225"/>
      <c r="M354" s="1225"/>
      <c r="N354" s="1225"/>
      <c r="O354" s="1226"/>
      <c r="P354" s="1166"/>
      <c r="Q354" s="234"/>
    </row>
    <row r="355" spans="1:31" ht="11.65" customHeight="1">
      <c r="B355" s="57" t="s">
        <v>3112</v>
      </c>
      <c r="C355" s="65" t="s">
        <v>2907</v>
      </c>
      <c r="D355" s="65"/>
      <c r="E355" s="65"/>
      <c r="F355" s="65"/>
      <c r="G355" s="65"/>
      <c r="H355" s="65"/>
      <c r="I355" s="65"/>
      <c r="J355" s="65"/>
      <c r="K355" s="65"/>
      <c r="L355" s="40"/>
      <c r="M355" s="40"/>
      <c r="O355" s="62" t="s">
        <v>3112</v>
      </c>
      <c r="P355" s="1166"/>
      <c r="Q355" s="234"/>
    </row>
    <row r="356" spans="1:31" ht="11.65" customHeight="1">
      <c r="B356" s="57" t="s">
        <v>1517</v>
      </c>
      <c r="C356" s="65" t="s">
        <v>2303</v>
      </c>
      <c r="D356" s="65"/>
      <c r="E356" s="65"/>
      <c r="F356" s="65"/>
      <c r="G356" s="65"/>
      <c r="H356" s="65"/>
      <c r="I356" s="65"/>
      <c r="J356" s="65"/>
      <c r="K356" s="65"/>
      <c r="L356" s="65"/>
      <c r="M356" s="65"/>
      <c r="O356" s="62" t="s">
        <v>1517</v>
      </c>
      <c r="P356" s="1166"/>
      <c r="Q356" s="234"/>
    </row>
    <row r="357" spans="1:31" ht="11.65" customHeight="1">
      <c r="B357" s="57" t="s">
        <v>3316</v>
      </c>
      <c r="C357" s="65" t="s">
        <v>3203</v>
      </c>
      <c r="D357" s="65"/>
      <c r="E357" s="65"/>
      <c r="F357" s="65"/>
      <c r="G357" s="65"/>
      <c r="H357" s="65"/>
      <c r="I357" s="65"/>
      <c r="J357" s="65"/>
      <c r="K357" s="65"/>
      <c r="L357" s="65"/>
      <c r="M357" s="65"/>
      <c r="O357" s="62" t="s">
        <v>3316</v>
      </c>
      <c r="P357" s="1166"/>
      <c r="Q357" s="234"/>
    </row>
    <row r="358" spans="1:31" ht="22.15" customHeight="1">
      <c r="B358" s="192" t="s">
        <v>2901</v>
      </c>
      <c r="C358" s="1002" t="s">
        <v>629</v>
      </c>
      <c r="D358" s="1002"/>
      <c r="E358" s="1002"/>
      <c r="F358" s="1002"/>
      <c r="G358" s="1002"/>
      <c r="H358" s="1002"/>
      <c r="I358" s="1002"/>
      <c r="J358" s="1002"/>
      <c r="K358" s="1002"/>
      <c r="L358" s="1002"/>
      <c r="M358" s="1002"/>
      <c r="N358" s="1002"/>
      <c r="O358" s="221" t="s">
        <v>2901</v>
      </c>
      <c r="P358" s="1166"/>
      <c r="Q358" s="234"/>
    </row>
    <row r="359" spans="1:31" ht="20.65" customHeight="1">
      <c r="B359" s="192" t="s">
        <v>2902</v>
      </c>
      <c r="C359" s="975" t="s">
        <v>384</v>
      </c>
      <c r="D359" s="975"/>
      <c r="E359" s="975"/>
      <c r="F359" s="975"/>
      <c r="G359" s="975"/>
      <c r="H359" s="975"/>
      <c r="I359" s="975"/>
      <c r="J359" s="975"/>
      <c r="K359" s="975"/>
      <c r="L359" s="975"/>
      <c r="M359" s="975"/>
      <c r="N359" s="975"/>
      <c r="O359" s="221" t="s">
        <v>2902</v>
      </c>
      <c r="P359" s="1252"/>
      <c r="Q359" s="234"/>
    </row>
    <row r="360" spans="1:31" ht="11.65" customHeight="1">
      <c r="B360" s="57" t="s">
        <v>3251</v>
      </c>
      <c r="C360" s="40" t="s">
        <v>1088</v>
      </c>
      <c r="D360" s="204"/>
      <c r="E360" s="204"/>
      <c r="F360" s="204"/>
      <c r="G360" s="204"/>
      <c r="H360" s="204"/>
      <c r="I360" s="204"/>
      <c r="J360" s="204"/>
      <c r="K360" s="204"/>
      <c r="L360" s="204"/>
      <c r="M360" s="204"/>
      <c r="O360" s="62" t="s">
        <v>3251</v>
      </c>
      <c r="P360" s="1166"/>
      <c r="Q360" s="234"/>
    </row>
    <row r="361" spans="1:31" ht="11.25" customHeight="1">
      <c r="B361" s="191" t="s">
        <v>3088</v>
      </c>
      <c r="D361" s="191"/>
      <c r="E361" s="191"/>
      <c r="F361" s="191"/>
      <c r="G361" s="191"/>
      <c r="H361" s="50"/>
      <c r="I361" s="179"/>
      <c r="J361" s="179"/>
      <c r="K361" s="179"/>
      <c r="L361" s="738"/>
      <c r="M361" s="738"/>
      <c r="N361" s="738"/>
      <c r="O361" s="738"/>
      <c r="P361" s="738"/>
      <c r="Q361" s="63"/>
    </row>
    <row r="362" spans="1:31" ht="11.65" customHeight="1">
      <c r="A362" s="1159" t="s">
        <v>4073</v>
      </c>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3089</v>
      </c>
      <c r="C363" s="188"/>
      <c r="D363" s="740"/>
      <c r="E363" s="740"/>
      <c r="F363" s="740"/>
      <c r="G363" s="740"/>
      <c r="H363" s="740"/>
      <c r="I363" s="740"/>
      <c r="J363" s="740"/>
      <c r="K363" s="740"/>
      <c r="L363" s="740"/>
      <c r="M363" s="740"/>
      <c r="N363" s="740"/>
      <c r="O363" s="740"/>
      <c r="P363" s="740"/>
      <c r="Q363" s="740"/>
    </row>
    <row r="364" spans="1:31" ht="11.65" customHeight="1">
      <c r="A364" s="998"/>
      <c r="B364" s="999"/>
      <c r="C364" s="999"/>
      <c r="D364" s="999"/>
      <c r="E364" s="999"/>
      <c r="F364" s="999"/>
      <c r="G364" s="999"/>
      <c r="H364" s="999"/>
      <c r="I364" s="999"/>
      <c r="J364" s="999"/>
      <c r="K364" s="999"/>
      <c r="L364" s="999"/>
      <c r="M364" s="999"/>
      <c r="N364" s="999"/>
      <c r="O364" s="999"/>
      <c r="P364" s="999"/>
      <c r="Q364" s="1000"/>
    </row>
    <row r="365" spans="1:31" ht="3.4" customHeight="1">
      <c r="A365" s="738"/>
      <c r="B365" s="179"/>
      <c r="C365" s="740"/>
      <c r="D365" s="740"/>
      <c r="E365" s="740"/>
      <c r="F365" s="740"/>
      <c r="G365" s="740"/>
      <c r="H365" s="740"/>
      <c r="I365" s="740"/>
      <c r="J365" s="740"/>
      <c r="K365" s="740"/>
      <c r="L365" s="740"/>
      <c r="M365" s="740"/>
      <c r="Q365" s="63"/>
    </row>
    <row r="366" spans="1:31" ht="13.9" customHeight="1">
      <c r="A366" s="742">
        <v>23</v>
      </c>
      <c r="B366" s="5" t="s">
        <v>1106</v>
      </c>
      <c r="C366" s="5"/>
      <c r="D366" s="118"/>
      <c r="E366" s="740"/>
      <c r="F366" s="740"/>
      <c r="G366" s="740"/>
      <c r="H366" s="740"/>
      <c r="I366" s="740"/>
      <c r="J366" s="740"/>
      <c r="K366" s="740"/>
      <c r="L366" s="740"/>
      <c r="M366" s="740"/>
      <c r="O366" s="180" t="s">
        <v>3090</v>
      </c>
      <c r="P366" s="989"/>
      <c r="Q366" s="990"/>
    </row>
    <row r="367" spans="1:31" s="2" customFormat="1" ht="23.65" customHeight="1">
      <c r="B367" s="192" t="s">
        <v>3000</v>
      </c>
      <c r="C367" s="1002" t="s">
        <v>247</v>
      </c>
      <c r="D367" s="1002"/>
      <c r="E367" s="1002"/>
      <c r="F367" s="1002"/>
      <c r="G367" s="1002"/>
      <c r="H367" s="1002"/>
      <c r="I367" s="1002"/>
      <c r="J367" s="1002"/>
      <c r="K367" s="1002"/>
      <c r="L367" s="1002"/>
      <c r="M367" s="221" t="s">
        <v>3000</v>
      </c>
      <c r="N367" s="1273" t="s">
        <v>4092</v>
      </c>
      <c r="O367" s="1274"/>
      <c r="P367" s="1040" t="s">
        <v>2803</v>
      </c>
      <c r="Q367" s="1041"/>
    </row>
    <row r="368" spans="1:31" s="2" customFormat="1" ht="12" customHeight="1">
      <c r="B368" s="57" t="s">
        <v>3112</v>
      </c>
      <c r="C368" s="157" t="s">
        <v>152</v>
      </c>
      <c r="D368" s="204"/>
      <c r="E368" s="204"/>
      <c r="G368" s="62" t="s">
        <v>3112</v>
      </c>
      <c r="H368" s="1236" t="s">
        <v>4072</v>
      </c>
      <c r="I368" s="1237"/>
      <c r="J368" s="1237"/>
      <c r="K368" s="1237"/>
      <c r="L368" s="1237"/>
      <c r="M368" s="1237"/>
      <c r="N368" s="1237"/>
      <c r="O368" s="1238"/>
      <c r="P368" s="1166" t="s">
        <v>3834</v>
      </c>
      <c r="Q368" s="234"/>
    </row>
    <row r="369" spans="1:31" s="2" customFormat="1" ht="12" customHeight="1">
      <c r="B369" s="57" t="s">
        <v>1517</v>
      </c>
      <c r="C369" s="40" t="s">
        <v>1989</v>
      </c>
      <c r="D369" s="12"/>
      <c r="E369" s="12"/>
      <c r="F369" s="12"/>
      <c r="G369" s="8"/>
      <c r="H369" s="8"/>
      <c r="I369" s="40"/>
      <c r="K369" s="8"/>
      <c r="L369" s="8"/>
      <c r="M369" s="8"/>
      <c r="O369" s="62" t="s">
        <v>1517</v>
      </c>
      <c r="P369" s="1166" t="s">
        <v>3834</v>
      </c>
      <c r="Q369" s="234"/>
    </row>
    <row r="370" spans="1:31" ht="11.25" customHeight="1">
      <c r="B370" s="191" t="s">
        <v>3088</v>
      </c>
      <c r="D370" s="191"/>
      <c r="E370" s="191"/>
      <c r="F370" s="191"/>
      <c r="G370" s="191"/>
      <c r="H370" s="50"/>
      <c r="I370" s="179"/>
      <c r="J370" s="179"/>
      <c r="K370" s="179"/>
      <c r="L370" s="738"/>
      <c r="M370" s="738"/>
      <c r="N370" s="738"/>
      <c r="O370" s="738"/>
      <c r="P370" s="738"/>
      <c r="Q370" s="63"/>
    </row>
    <row r="371" spans="1:31" ht="11.65" customHeight="1">
      <c r="A371" s="1152" t="s">
        <v>20</v>
      </c>
      <c r="B371" s="1153"/>
      <c r="C371" s="1153"/>
      <c r="D371" s="1153"/>
      <c r="E371" s="1153"/>
      <c r="F371" s="1153"/>
      <c r="G371" s="1153"/>
      <c r="H371" s="1153"/>
      <c r="I371" s="1153"/>
      <c r="J371" s="1153"/>
      <c r="K371" s="1153"/>
      <c r="L371" s="1153"/>
      <c r="M371" s="1153"/>
      <c r="N371" s="1153"/>
      <c r="O371" s="1153"/>
      <c r="P371" s="1153"/>
      <c r="Q371" s="1154"/>
      <c r="R371" s="1029" t="s">
        <v>1931</v>
      </c>
      <c r="S371" s="1029"/>
      <c r="U371" s="185"/>
      <c r="V371" s="185"/>
      <c r="W371" s="185"/>
      <c r="X371" s="185"/>
      <c r="Y371" s="185"/>
      <c r="Z371" s="185"/>
      <c r="AA371" s="185"/>
      <c r="AB371" s="185"/>
      <c r="AC371" s="185"/>
      <c r="AD371" s="185"/>
      <c r="AE371" s="186"/>
    </row>
    <row r="372" spans="1:31" ht="11.65" customHeight="1">
      <c r="A372" s="1155"/>
      <c r="B372" s="1156"/>
      <c r="C372" s="1156"/>
      <c r="D372" s="1156"/>
      <c r="E372" s="1156"/>
      <c r="F372" s="1156"/>
      <c r="G372" s="1156"/>
      <c r="H372" s="1156"/>
      <c r="I372" s="1156"/>
      <c r="J372" s="1156"/>
      <c r="K372" s="1156"/>
      <c r="L372" s="1156"/>
      <c r="M372" s="1156"/>
      <c r="N372" s="1156"/>
      <c r="O372" s="1156"/>
      <c r="P372" s="1156"/>
      <c r="Q372" s="1157"/>
      <c r="R372" s="1029"/>
      <c r="S372" s="1029"/>
    </row>
    <row r="373" spans="1:31" s="31" customFormat="1" ht="3" customHeight="1">
      <c r="C373" s="134"/>
      <c r="D373" s="134"/>
      <c r="R373" s="1029"/>
      <c r="S373" s="1029"/>
    </row>
    <row r="374" spans="1:31" ht="11.25" customHeight="1">
      <c r="B374" s="187" t="s">
        <v>3089</v>
      </c>
      <c r="C374" s="188"/>
      <c r="D374" s="740"/>
      <c r="E374" s="740"/>
      <c r="F374" s="740"/>
      <c r="G374" s="740"/>
      <c r="H374" s="740"/>
      <c r="I374" s="740"/>
      <c r="J374" s="740"/>
      <c r="K374" s="740"/>
      <c r="L374" s="740"/>
      <c r="M374" s="740"/>
      <c r="N374" s="740"/>
      <c r="O374" s="740"/>
      <c r="P374" s="740"/>
      <c r="Q374" s="740"/>
    </row>
    <row r="375" spans="1:31" ht="11.65" customHeight="1">
      <c r="A375" s="991"/>
      <c r="B375" s="992"/>
      <c r="C375" s="992"/>
      <c r="D375" s="992"/>
      <c r="E375" s="992"/>
      <c r="F375" s="992"/>
      <c r="G375" s="992"/>
      <c r="H375" s="992"/>
      <c r="I375" s="992"/>
      <c r="J375" s="992"/>
      <c r="K375" s="992"/>
      <c r="L375" s="992"/>
      <c r="M375" s="992"/>
      <c r="N375" s="992"/>
      <c r="O375" s="992"/>
      <c r="P375" s="992"/>
      <c r="Q375" s="993"/>
    </row>
    <row r="376" spans="1:31" ht="11.6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8"/>
      <c r="B377" s="179"/>
      <c r="C377" s="740"/>
      <c r="D377" s="740"/>
      <c r="E377" s="740"/>
      <c r="F377" s="740"/>
      <c r="G377" s="740"/>
      <c r="H377" s="740"/>
      <c r="I377" s="740"/>
      <c r="J377" s="740"/>
      <c r="K377" s="740"/>
      <c r="L377" s="740"/>
      <c r="M377" s="740"/>
      <c r="N377" s="740"/>
      <c r="O377" s="740"/>
      <c r="P377" s="740"/>
      <c r="Q377" s="738"/>
    </row>
    <row r="378" spans="1:31" ht="13.9" customHeight="1">
      <c r="A378" s="742">
        <v>24</v>
      </c>
      <c r="B378" s="5" t="s">
        <v>2643</v>
      </c>
      <c r="C378" s="5"/>
      <c r="D378" s="5"/>
      <c r="E378" s="740"/>
      <c r="F378" s="190" t="s">
        <v>1070</v>
      </c>
      <c r="G378" s="740"/>
      <c r="H378" s="740"/>
      <c r="I378" s="740"/>
      <c r="J378" s="740"/>
      <c r="K378" s="740"/>
      <c r="L378" s="740"/>
      <c r="M378" s="740"/>
      <c r="O378" s="180" t="s">
        <v>3090</v>
      </c>
      <c r="P378" s="989"/>
      <c r="Q378" s="1039"/>
    </row>
    <row r="379" spans="1:31" ht="12" customHeight="1">
      <c r="A379" s="194"/>
      <c r="B379" s="57" t="s">
        <v>3000</v>
      </c>
      <c r="C379" s="65" t="s">
        <v>1990</v>
      </c>
      <c r="D379" s="743"/>
      <c r="E379" s="743"/>
      <c r="H379" s="190"/>
      <c r="O379" s="62" t="s">
        <v>3000</v>
      </c>
      <c r="P379" s="1166"/>
      <c r="Q379" s="234"/>
    </row>
    <row r="380" spans="1:31" ht="12" customHeight="1">
      <c r="A380" s="194"/>
      <c r="B380" s="57" t="s">
        <v>3112</v>
      </c>
      <c r="C380" s="65" t="s">
        <v>1520</v>
      </c>
      <c r="D380" s="743"/>
      <c r="E380" s="743"/>
      <c r="O380" s="62" t="s">
        <v>3112</v>
      </c>
      <c r="P380" s="1166"/>
      <c r="Q380" s="234"/>
    </row>
    <row r="381" spans="1:31" ht="12" customHeight="1">
      <c r="A381" s="194"/>
      <c r="B381" s="57" t="s">
        <v>1517</v>
      </c>
      <c r="C381" s="65" t="s">
        <v>1521</v>
      </c>
      <c r="D381" s="743"/>
      <c r="E381" s="743"/>
      <c r="O381" s="62" t="s">
        <v>1517</v>
      </c>
      <c r="P381" s="1166"/>
      <c r="Q381" s="234"/>
    </row>
    <row r="382" spans="1:31" ht="12" customHeight="1">
      <c r="A382" s="194"/>
      <c r="B382" s="57" t="s">
        <v>3316</v>
      </c>
      <c r="C382" s="65" t="s">
        <v>939</v>
      </c>
      <c r="E382" s="190"/>
      <c r="O382" s="62" t="s">
        <v>3316</v>
      </c>
      <c r="P382" s="1166"/>
      <c r="Q382" s="234"/>
    </row>
    <row r="383" spans="1:31" ht="12" customHeight="1">
      <c r="B383" s="57" t="s">
        <v>2901</v>
      </c>
      <c r="C383" s="65" t="s">
        <v>3343</v>
      </c>
      <c r="E383" s="190"/>
      <c r="G383" s="62" t="s">
        <v>2901</v>
      </c>
      <c r="H383" s="1236"/>
      <c r="I383" s="1237"/>
      <c r="J383" s="1237"/>
      <c r="K383" s="1237"/>
      <c r="L383" s="1237"/>
      <c r="M383" s="1237"/>
      <c r="N383" s="1237"/>
      <c r="O383" s="1238"/>
      <c r="P383" s="1166"/>
      <c r="Q383" s="234"/>
    </row>
    <row r="384" spans="1:31" ht="11.25" customHeight="1">
      <c r="B384" s="191" t="s">
        <v>3088</v>
      </c>
      <c r="D384" s="191"/>
      <c r="E384" s="191"/>
      <c r="F384" s="191"/>
      <c r="G384" s="191"/>
      <c r="H384" s="50"/>
      <c r="I384" s="179"/>
      <c r="J384" s="179"/>
      <c r="K384" s="179"/>
      <c r="L384" s="738"/>
      <c r="M384" s="738"/>
      <c r="N384" s="738"/>
      <c r="O384" s="738"/>
      <c r="P384" s="738"/>
      <c r="Q384" s="63"/>
    </row>
    <row r="385" spans="1:31" ht="11.65" customHeight="1">
      <c r="A385" s="1159" t="s">
        <v>21</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3089</v>
      </c>
      <c r="C386" s="188"/>
      <c r="D386" s="740"/>
      <c r="E386" s="740"/>
      <c r="F386" s="740"/>
      <c r="G386" s="740"/>
      <c r="H386" s="740"/>
      <c r="I386" s="740"/>
      <c r="J386" s="740"/>
      <c r="K386" s="740"/>
      <c r="L386" s="740"/>
      <c r="M386" s="740"/>
      <c r="N386" s="740"/>
      <c r="O386" s="740"/>
      <c r="P386" s="740"/>
      <c r="Q386" s="740"/>
    </row>
    <row r="387" spans="1:31" ht="11.65" customHeight="1">
      <c r="A387" s="998"/>
      <c r="B387" s="999"/>
      <c r="C387" s="999"/>
      <c r="D387" s="999"/>
      <c r="E387" s="999"/>
      <c r="F387" s="999"/>
      <c r="G387" s="999"/>
      <c r="H387" s="999"/>
      <c r="I387" s="999"/>
      <c r="J387" s="999"/>
      <c r="K387" s="999"/>
      <c r="L387" s="999"/>
      <c r="M387" s="999"/>
      <c r="N387" s="999"/>
      <c r="O387" s="999"/>
      <c r="P387" s="999"/>
      <c r="Q387" s="1000"/>
    </row>
    <row r="388" spans="1:31" ht="6" customHeight="1">
      <c r="A388" s="738"/>
      <c r="B388" s="179"/>
      <c r="C388" s="740"/>
      <c r="D388" s="740"/>
      <c r="E388" s="740"/>
      <c r="F388" s="740"/>
      <c r="G388" s="740"/>
      <c r="H388" s="740"/>
      <c r="I388" s="740"/>
      <c r="J388" s="740"/>
      <c r="K388" s="740"/>
      <c r="L388" s="740"/>
      <c r="M388" s="740"/>
      <c r="N388" s="740"/>
      <c r="O388" s="740"/>
      <c r="P388" s="740"/>
      <c r="Q388" s="738"/>
    </row>
    <row r="389" spans="1:31" ht="13.9" customHeight="1">
      <c r="A389" s="742">
        <v>25</v>
      </c>
      <c r="B389" s="1009" t="s">
        <v>3867</v>
      </c>
      <c r="C389" s="1009"/>
      <c r="D389" s="1009"/>
      <c r="E389" s="1009"/>
      <c r="F389" s="1009"/>
      <c r="G389" s="1009"/>
      <c r="H389" s="740"/>
      <c r="I389" s="740"/>
      <c r="J389" s="740"/>
      <c r="K389" s="740"/>
      <c r="L389" s="740"/>
      <c r="M389" s="740"/>
      <c r="O389" s="180" t="s">
        <v>3090</v>
      </c>
      <c r="P389" s="989"/>
      <c r="Q389" s="1039"/>
    </row>
    <row r="390" spans="1:31" ht="23.65" customHeight="1">
      <c r="A390" s="189"/>
      <c r="B390" s="192" t="s">
        <v>3000</v>
      </c>
      <c r="C390" s="1002" t="s">
        <v>984</v>
      </c>
      <c r="D390" s="1002"/>
      <c r="E390" s="1002"/>
      <c r="F390" s="1002"/>
      <c r="G390" s="1002"/>
      <c r="H390" s="1002"/>
      <c r="I390" s="1002"/>
      <c r="J390" s="1002"/>
      <c r="K390" s="1002"/>
      <c r="L390" s="1002"/>
      <c r="M390" s="1002"/>
      <c r="N390" s="1002"/>
      <c r="O390" s="221" t="s">
        <v>3000</v>
      </c>
      <c r="P390" s="1166" t="s">
        <v>66</v>
      </c>
      <c r="Q390" s="234"/>
    </row>
    <row r="391" spans="1:31" ht="12" customHeight="1">
      <c r="A391" s="189"/>
      <c r="B391" s="57" t="s">
        <v>3112</v>
      </c>
      <c r="C391" s="197" t="s">
        <v>1089</v>
      </c>
      <c r="D391" s="740"/>
      <c r="E391" s="740"/>
      <c r="F391" s="740"/>
      <c r="G391" s="740"/>
      <c r="H391" s="740"/>
      <c r="I391" s="740"/>
      <c r="J391" s="740"/>
      <c r="K391" s="740"/>
      <c r="L391" s="740"/>
      <c r="M391" s="740"/>
      <c r="O391" s="62" t="s">
        <v>3112</v>
      </c>
      <c r="P391" s="1166" t="s">
        <v>3834</v>
      </c>
      <c r="Q391" s="234"/>
    </row>
    <row r="392" spans="1:31" ht="11.25" customHeight="1">
      <c r="B392" s="131" t="s">
        <v>3088</v>
      </c>
      <c r="D392" s="131"/>
      <c r="E392" s="131"/>
      <c r="F392" s="131"/>
      <c r="G392" s="131"/>
      <c r="H392" s="50"/>
      <c r="I392" s="179"/>
      <c r="J392" s="179"/>
      <c r="K392" s="187" t="s">
        <v>3089</v>
      </c>
      <c r="L392" s="738"/>
      <c r="M392" s="738"/>
      <c r="N392" s="738"/>
      <c r="O392" s="237"/>
      <c r="P392" s="738"/>
      <c r="Q392" s="63"/>
    </row>
    <row r="393" spans="1:31" ht="11.65" customHeight="1">
      <c r="A393" s="1159"/>
      <c r="B393" s="1160"/>
      <c r="C393" s="1160"/>
      <c r="D393" s="1160"/>
      <c r="E393" s="1160"/>
      <c r="F393" s="1160"/>
      <c r="G393" s="1160"/>
      <c r="H393" s="1160"/>
      <c r="I393" s="1160"/>
      <c r="J393" s="1161"/>
      <c r="K393" s="998"/>
      <c r="L393" s="999"/>
      <c r="M393" s="999"/>
      <c r="N393" s="999"/>
      <c r="O393" s="999"/>
      <c r="P393" s="999"/>
      <c r="Q393" s="1000"/>
      <c r="U393" s="185"/>
      <c r="V393" s="185"/>
      <c r="W393" s="185"/>
      <c r="X393" s="185"/>
      <c r="Y393" s="185"/>
      <c r="Z393" s="185"/>
      <c r="AA393" s="185"/>
      <c r="AB393" s="185"/>
      <c r="AC393" s="185"/>
      <c r="AD393" s="185"/>
      <c r="AE393" s="186"/>
    </row>
    <row r="394" spans="1:31" ht="6" customHeight="1">
      <c r="A394" s="738"/>
      <c r="B394" s="179"/>
      <c r="C394" s="740"/>
      <c r="D394" s="740"/>
      <c r="E394" s="740"/>
      <c r="F394" s="740"/>
      <c r="G394" s="740"/>
      <c r="H394" s="740"/>
      <c r="I394" s="740"/>
      <c r="J394" s="740"/>
      <c r="K394" s="740"/>
      <c r="L394" s="740"/>
      <c r="M394" s="740"/>
      <c r="N394" s="740"/>
      <c r="O394" s="740"/>
      <c r="P394" s="180"/>
      <c r="Q394" s="63"/>
    </row>
    <row r="395" spans="1:31" ht="13.9" customHeight="1">
      <c r="A395" s="742">
        <v>26</v>
      </c>
      <c r="B395" s="1009" t="s">
        <v>1889</v>
      </c>
      <c r="C395" s="1009"/>
      <c r="D395" s="1009"/>
      <c r="E395" s="1009"/>
      <c r="F395" s="1009"/>
      <c r="G395" s="1009"/>
      <c r="H395" s="740"/>
      <c r="I395" s="740"/>
      <c r="J395" s="740"/>
      <c r="K395" s="740"/>
      <c r="L395" s="740"/>
      <c r="M395" s="740"/>
      <c r="O395" s="180" t="s">
        <v>3090</v>
      </c>
      <c r="P395" s="989"/>
      <c r="Q395" s="1039"/>
    </row>
    <row r="396" spans="1:31" ht="12" customHeight="1">
      <c r="A396" s="52"/>
      <c r="B396" s="57" t="s">
        <v>3000</v>
      </c>
      <c r="C396" s="49" t="s">
        <v>1522</v>
      </c>
      <c r="D396" s="52"/>
      <c r="E396" s="52"/>
      <c r="F396" s="52"/>
      <c r="G396" s="52"/>
      <c r="H396" s="52"/>
      <c r="I396" s="52"/>
      <c r="J396" s="52"/>
      <c r="K396" s="52"/>
      <c r="L396" s="52"/>
      <c r="M396" s="52"/>
      <c r="N396" s="52"/>
      <c r="O396" s="62" t="s">
        <v>3000</v>
      </c>
      <c r="P396" s="1166" t="s">
        <v>139</v>
      </c>
      <c r="Q396" s="234"/>
    </row>
    <row r="397" spans="1:31" ht="12" customHeight="1">
      <c r="A397" s="52"/>
      <c r="B397" s="57" t="s">
        <v>3112</v>
      </c>
      <c r="C397" s="49" t="s">
        <v>3418</v>
      </c>
      <c r="D397" s="52"/>
      <c r="E397" s="52"/>
      <c r="F397" s="52"/>
      <c r="G397" s="52"/>
      <c r="H397" s="52"/>
      <c r="I397" s="52"/>
      <c r="J397" s="52"/>
      <c r="K397" s="52"/>
      <c r="L397" s="52"/>
      <c r="M397" s="52"/>
      <c r="N397" s="52"/>
      <c r="O397" s="62" t="s">
        <v>2209</v>
      </c>
      <c r="P397" s="1166"/>
      <c r="Q397" s="234"/>
    </row>
    <row r="398" spans="1:31" ht="12" customHeight="1">
      <c r="A398" s="52"/>
      <c r="B398" s="57"/>
      <c r="C398" s="65" t="s">
        <v>2155</v>
      </c>
      <c r="D398" s="65"/>
      <c r="E398" s="65"/>
      <c r="F398" s="65"/>
      <c r="G398" s="65"/>
      <c r="H398" s="65"/>
      <c r="I398" s="65"/>
      <c r="J398" s="65"/>
      <c r="K398" s="65"/>
      <c r="L398" s="65"/>
      <c r="M398" s="65"/>
      <c r="N398" s="52"/>
    </row>
    <row r="399" spans="1:31" ht="12" customHeight="1">
      <c r="A399" s="52"/>
      <c r="B399" s="57"/>
      <c r="C399" s="65" t="s">
        <v>3419</v>
      </c>
      <c r="D399" s="65"/>
      <c r="E399" s="65"/>
      <c r="F399" s="65"/>
      <c r="G399" s="65"/>
      <c r="H399" s="65"/>
      <c r="I399" s="65"/>
      <c r="J399" s="65"/>
      <c r="K399" s="65"/>
      <c r="L399" s="65"/>
      <c r="M399" s="65"/>
      <c r="N399" s="52"/>
      <c r="O399" s="62" t="s">
        <v>2904</v>
      </c>
      <c r="P399" s="1166"/>
      <c r="Q399" s="234"/>
    </row>
    <row r="400" spans="1:31" ht="12" customHeight="1">
      <c r="A400" s="52"/>
      <c r="B400" s="57" t="s">
        <v>1517</v>
      </c>
      <c r="C400" s="975" t="s">
        <v>3518</v>
      </c>
      <c r="D400" s="975"/>
      <c r="E400" s="975"/>
      <c r="F400" s="975"/>
      <c r="G400" s="975"/>
      <c r="H400" s="975"/>
      <c r="I400" s="975"/>
      <c r="J400" s="975"/>
      <c r="K400" s="975"/>
      <c r="L400" s="975"/>
      <c r="M400" s="975"/>
      <c r="N400" s="975"/>
      <c r="O400" s="62" t="s">
        <v>1517</v>
      </c>
      <c r="P400" s="1166"/>
      <c r="Q400" s="234"/>
    </row>
    <row r="401" spans="1:31" ht="12" customHeight="1">
      <c r="A401" s="52"/>
      <c r="B401" s="57" t="s">
        <v>3316</v>
      </c>
      <c r="C401" s="40" t="s">
        <v>294</v>
      </c>
      <c r="D401" s="40"/>
      <c r="E401" s="40"/>
      <c r="F401" s="40"/>
      <c r="G401" s="40"/>
      <c r="H401" s="40"/>
      <c r="I401" s="40"/>
      <c r="J401" s="40"/>
      <c r="K401" s="40"/>
      <c r="L401" s="40"/>
      <c r="M401" s="40"/>
      <c r="N401" s="52"/>
      <c r="O401" s="62" t="s">
        <v>3316</v>
      </c>
      <c r="P401" s="52"/>
      <c r="Q401" s="52"/>
    </row>
    <row r="402" spans="1:31" ht="12" customHeight="1">
      <c r="A402" s="52"/>
      <c r="B402" s="57"/>
      <c r="C402" s="183" t="s">
        <v>3420</v>
      </c>
      <c r="D402" s="52"/>
      <c r="E402" s="52"/>
      <c r="F402" s="40"/>
      <c r="G402" s="40"/>
      <c r="H402" s="52"/>
      <c r="K402" s="40"/>
      <c r="L402" s="40"/>
      <c r="M402" s="40"/>
      <c r="N402" s="52"/>
      <c r="O402" s="62" t="s">
        <v>2903</v>
      </c>
      <c r="P402" s="1275"/>
      <c r="Q402" s="706" t="s">
        <v>434</v>
      </c>
    </row>
    <row r="403" spans="1:31" ht="12" customHeight="1">
      <c r="A403" s="52"/>
      <c r="B403" s="57"/>
      <c r="C403" s="183" t="s">
        <v>3525</v>
      </c>
      <c r="D403" s="52"/>
      <c r="E403" s="52"/>
      <c r="F403" s="40"/>
      <c r="G403" s="40"/>
      <c r="H403" s="52"/>
      <c r="K403" s="40"/>
      <c r="L403" s="40"/>
      <c r="M403" s="40"/>
      <c r="N403" s="52"/>
      <c r="O403" s="62" t="s">
        <v>2904</v>
      </c>
      <c r="P403" s="1275"/>
      <c r="Q403" s="706"/>
    </row>
    <row r="404" spans="1:31" ht="12" customHeight="1">
      <c r="A404" s="52"/>
      <c r="B404" s="57"/>
      <c r="C404" s="183" t="s">
        <v>3526</v>
      </c>
      <c r="D404" s="52"/>
      <c r="E404" s="52"/>
      <c r="F404" s="40"/>
      <c r="G404" s="40"/>
      <c r="H404" s="52"/>
      <c r="K404" s="40"/>
      <c r="L404" s="40"/>
      <c r="M404" s="40"/>
      <c r="N404" s="52"/>
      <c r="O404" s="62" t="s">
        <v>2905</v>
      </c>
      <c r="P404" s="1275"/>
      <c r="Q404" s="706" t="s">
        <v>434</v>
      </c>
    </row>
    <row r="405" spans="1:31" ht="12" customHeight="1">
      <c r="A405" s="52"/>
      <c r="B405" s="57"/>
      <c r="C405" s="183" t="s">
        <v>3421</v>
      </c>
      <c r="D405" s="52"/>
      <c r="E405" s="52"/>
      <c r="F405" s="40"/>
      <c r="G405" s="40"/>
      <c r="H405" s="52"/>
      <c r="K405" s="40"/>
      <c r="L405" s="40"/>
      <c r="M405" s="40"/>
      <c r="N405" s="52"/>
      <c r="O405" s="62" t="s">
        <v>3672</v>
      </c>
      <c r="P405" s="1275"/>
      <c r="Q405" s="706" t="s">
        <v>434</v>
      </c>
    </row>
    <row r="406" spans="1:31" ht="12" customHeight="1">
      <c r="A406" s="52"/>
      <c r="B406" s="57"/>
      <c r="C406" s="183" t="s">
        <v>3422</v>
      </c>
      <c r="D406" s="52"/>
      <c r="E406" s="52"/>
      <c r="F406" s="40"/>
      <c r="G406" s="40"/>
      <c r="H406" s="52"/>
      <c r="K406" s="40"/>
      <c r="L406" s="40"/>
      <c r="M406" s="40"/>
      <c r="N406" s="52"/>
      <c r="O406" s="62" t="s">
        <v>2445</v>
      </c>
      <c r="P406" s="1275"/>
      <c r="Q406" s="706" t="s">
        <v>434</v>
      </c>
    </row>
    <row r="407" spans="1:31" ht="12" customHeight="1">
      <c r="A407" s="52"/>
      <c r="B407" s="57" t="s">
        <v>2901</v>
      </c>
      <c r="C407" s="40" t="s">
        <v>3733</v>
      </c>
      <c r="D407" s="40"/>
      <c r="E407" s="40"/>
      <c r="F407" s="40"/>
      <c r="G407" s="40"/>
      <c r="J407" s="52"/>
      <c r="K407" s="40"/>
      <c r="L407" s="40"/>
      <c r="M407" s="40"/>
      <c r="N407" s="52"/>
      <c r="O407" s="62" t="s">
        <v>2901</v>
      </c>
      <c r="P407" s="62"/>
      <c r="Q407" s="62"/>
    </row>
    <row r="408" spans="1:31" ht="12" customHeight="1">
      <c r="A408" s="52"/>
      <c r="B408" s="57"/>
      <c r="C408" s="1276" t="s">
        <v>3423</v>
      </c>
      <c r="D408" s="40"/>
      <c r="E408" s="40"/>
      <c r="F408" s="40"/>
      <c r="G408" s="40"/>
      <c r="J408" s="52"/>
      <c r="K408" s="40"/>
      <c r="L408" s="40"/>
      <c r="M408" s="40"/>
      <c r="N408" s="52"/>
      <c r="O408" s="62" t="s">
        <v>2903</v>
      </c>
      <c r="P408" s="1166"/>
      <c r="Q408" s="234"/>
    </row>
    <row r="409" spans="1:31" ht="12" customHeight="1">
      <c r="A409" s="52"/>
      <c r="B409" s="57"/>
      <c r="C409" s="1276" t="s">
        <v>1814</v>
      </c>
      <c r="D409" s="40"/>
      <c r="E409" s="40"/>
      <c r="F409" s="40"/>
      <c r="G409" s="40"/>
      <c r="N409" s="52"/>
      <c r="O409" s="62" t="s">
        <v>2904</v>
      </c>
      <c r="P409" s="1166"/>
      <c r="Q409" s="234"/>
    </row>
    <row r="410" spans="1:31" ht="12" customHeight="1">
      <c r="A410" s="52"/>
      <c r="C410" s="1276" t="s">
        <v>1815</v>
      </c>
      <c r="D410" s="65"/>
      <c r="E410" s="65"/>
      <c r="F410" s="65"/>
      <c r="G410" s="65"/>
      <c r="J410" s="52"/>
      <c r="K410" s="65"/>
      <c r="L410" s="65"/>
      <c r="M410" s="65"/>
      <c r="N410" s="52"/>
      <c r="O410" s="62" t="s">
        <v>2905</v>
      </c>
      <c r="P410" s="1166"/>
      <c r="Q410" s="234"/>
    </row>
    <row r="411" spans="1:31" ht="12" customHeight="1">
      <c r="A411" s="52"/>
      <c r="B411" s="57"/>
      <c r="C411" s="1276" t="s">
        <v>3491</v>
      </c>
      <c r="D411" s="65"/>
      <c r="E411" s="65"/>
      <c r="F411" s="65"/>
      <c r="G411" s="62" t="s">
        <v>3672</v>
      </c>
      <c r="H411" s="1277"/>
      <c r="I411" s="1278"/>
      <c r="J411" s="1278"/>
      <c r="K411" s="1278"/>
      <c r="L411" s="1278"/>
      <c r="M411" s="1278"/>
      <c r="N411" s="1278"/>
      <c r="O411" s="1242"/>
      <c r="P411" s="1166"/>
      <c r="Q411" s="234"/>
    </row>
    <row r="412" spans="1:31" ht="12" customHeight="1">
      <c r="B412" s="191" t="s">
        <v>3088</v>
      </c>
      <c r="D412" s="191"/>
      <c r="E412" s="191"/>
      <c r="F412" s="191"/>
      <c r="G412" s="191"/>
      <c r="H412" s="50"/>
      <c r="I412" s="179"/>
      <c r="J412" s="179"/>
      <c r="K412" s="179"/>
      <c r="L412" s="738"/>
      <c r="M412" s="738"/>
      <c r="N412" s="738"/>
      <c r="O412" s="738"/>
      <c r="P412" s="738"/>
      <c r="Q412" s="63"/>
    </row>
    <row r="413" spans="1:31" ht="12" customHeight="1">
      <c r="A413" s="1152" t="s">
        <v>51</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3089</v>
      </c>
      <c r="C415" s="188"/>
      <c r="D415" s="740"/>
      <c r="E415" s="740"/>
      <c r="F415" s="740"/>
      <c r="G415" s="740"/>
      <c r="H415" s="740"/>
      <c r="I415" s="740"/>
      <c r="J415" s="740"/>
      <c r="K415" s="740"/>
      <c r="L415" s="740"/>
      <c r="M415" s="740"/>
      <c r="N415" s="740"/>
      <c r="O415" s="740"/>
      <c r="P415" s="740"/>
      <c r="Q415" s="740"/>
    </row>
    <row r="416" spans="1:31" ht="12" customHeight="1">
      <c r="A416" s="991"/>
      <c r="B416" s="992"/>
      <c r="C416" s="992"/>
      <c r="D416" s="992"/>
      <c r="E416" s="992"/>
      <c r="F416" s="992"/>
      <c r="G416" s="992"/>
      <c r="H416" s="992"/>
      <c r="I416" s="992"/>
      <c r="J416" s="992"/>
      <c r="K416" s="992"/>
      <c r="L416" s="992"/>
      <c r="M416" s="992"/>
      <c r="N416" s="992"/>
      <c r="O416" s="992"/>
      <c r="P416" s="992"/>
      <c r="Q416" s="993"/>
    </row>
    <row r="417" spans="1:31" ht="12" customHeight="1">
      <c r="A417" s="1011"/>
      <c r="B417" s="1012"/>
      <c r="C417" s="1012"/>
      <c r="D417" s="1012"/>
      <c r="E417" s="1012"/>
      <c r="F417" s="1012"/>
      <c r="G417" s="1012"/>
      <c r="H417" s="1012"/>
      <c r="I417" s="1012"/>
      <c r="J417" s="1012"/>
      <c r="K417" s="1012"/>
      <c r="L417" s="1012"/>
      <c r="M417" s="1012"/>
      <c r="N417" s="1012"/>
      <c r="O417" s="1012"/>
      <c r="P417" s="1012"/>
      <c r="Q417" s="1013"/>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38"/>
      <c r="B419" s="179"/>
      <c r="C419" s="740"/>
      <c r="D419" s="740"/>
      <c r="E419" s="740"/>
      <c r="F419" s="740"/>
      <c r="G419" s="740"/>
      <c r="H419" s="740"/>
      <c r="I419" s="740"/>
      <c r="J419" s="740"/>
      <c r="K419" s="740"/>
      <c r="L419" s="740"/>
      <c r="M419" s="740"/>
      <c r="Q419" s="63"/>
    </row>
    <row r="420" spans="1:31" ht="13.9" customHeight="1">
      <c r="A420" s="742">
        <v>27</v>
      </c>
      <c r="B420" s="5" t="s">
        <v>3107</v>
      </c>
      <c r="C420" s="5"/>
      <c r="D420" s="118"/>
      <c r="E420" s="740"/>
      <c r="F420" s="740"/>
      <c r="G420" s="740"/>
      <c r="H420" s="740"/>
      <c r="O420" s="180" t="s">
        <v>3090</v>
      </c>
      <c r="P420" s="989"/>
      <c r="Q420" s="990"/>
    </row>
    <row r="421" spans="1:31" ht="13.15" customHeight="1">
      <c r="B421" s="57" t="s">
        <v>3000</v>
      </c>
      <c r="C421" s="49" t="s">
        <v>1039</v>
      </c>
      <c r="D421" s="52"/>
      <c r="E421" s="52"/>
      <c r="F421" s="52"/>
      <c r="G421" s="52"/>
      <c r="H421" s="52"/>
      <c r="I421" s="52"/>
      <c r="J421" s="52"/>
      <c r="K421" s="52"/>
      <c r="L421" s="52"/>
      <c r="M421" s="52"/>
      <c r="O421" s="62" t="s">
        <v>3000</v>
      </c>
      <c r="P421" s="1166" t="s">
        <v>66</v>
      </c>
      <c r="Q421" s="234"/>
    </row>
    <row r="422" spans="1:31" ht="13.15" customHeight="1">
      <c r="B422" s="57" t="s">
        <v>3112</v>
      </c>
      <c r="C422" s="49" t="s">
        <v>962</v>
      </c>
      <c r="D422" s="52"/>
      <c r="E422" s="52"/>
      <c r="F422" s="52"/>
      <c r="G422" s="52"/>
      <c r="H422" s="52"/>
      <c r="I422" s="52"/>
      <c r="J422" s="52"/>
      <c r="K422" s="52"/>
      <c r="L422" s="52"/>
      <c r="M422" s="52"/>
      <c r="O422" s="62" t="s">
        <v>3112</v>
      </c>
      <c r="P422" s="1166" t="s">
        <v>66</v>
      </c>
      <c r="Q422" s="234"/>
    </row>
    <row r="423" spans="1:31" ht="24" customHeight="1">
      <c r="B423" s="192" t="s">
        <v>1517</v>
      </c>
      <c r="C423" s="1014" t="s">
        <v>866</v>
      </c>
      <c r="D423" s="1014"/>
      <c r="E423" s="1014"/>
      <c r="F423" s="1014"/>
      <c r="G423" s="1014"/>
      <c r="H423" s="1014"/>
      <c r="I423" s="1014"/>
      <c r="J423" s="1014"/>
      <c r="K423" s="1014"/>
      <c r="L423" s="1014"/>
      <c r="M423" s="1014"/>
      <c r="N423" s="1014"/>
      <c r="O423" s="221" t="s">
        <v>1517</v>
      </c>
      <c r="P423" s="1252" t="s">
        <v>66</v>
      </c>
      <c r="Q423" s="353"/>
    </row>
    <row r="424" spans="1:31" ht="11.25" customHeight="1">
      <c r="B424" s="191" t="s">
        <v>3088</v>
      </c>
      <c r="D424" s="191"/>
      <c r="E424" s="191"/>
      <c r="F424" s="191"/>
      <c r="G424" s="191"/>
      <c r="H424" s="50"/>
      <c r="I424" s="179"/>
      <c r="J424" s="179"/>
      <c r="K424" s="179"/>
      <c r="L424" s="738"/>
      <c r="M424" s="738"/>
      <c r="N424" s="738"/>
      <c r="O424" s="738"/>
      <c r="P424" s="738"/>
      <c r="Q424" s="63"/>
    </row>
    <row r="425" spans="1:31" ht="11.65" customHeight="1">
      <c r="A425" s="1152"/>
      <c r="B425" s="1153"/>
      <c r="C425" s="1153"/>
      <c r="D425" s="1153"/>
      <c r="E425" s="1153"/>
      <c r="F425" s="1153"/>
      <c r="G425" s="1153"/>
      <c r="H425" s="1153"/>
      <c r="I425" s="1153"/>
      <c r="J425" s="1153"/>
      <c r="K425" s="1153"/>
      <c r="L425" s="1153"/>
      <c r="M425" s="1153"/>
      <c r="N425" s="1153"/>
      <c r="O425" s="1153"/>
      <c r="P425" s="1153"/>
      <c r="Q425" s="1154"/>
      <c r="R425" s="1029" t="s">
        <v>1931</v>
      </c>
      <c r="S425" s="1029"/>
      <c r="U425" s="185"/>
      <c r="V425" s="185"/>
      <c r="W425" s="185"/>
      <c r="X425" s="185"/>
      <c r="Y425" s="185"/>
      <c r="Z425" s="185"/>
      <c r="AA425" s="185"/>
      <c r="AB425" s="185"/>
      <c r="AC425" s="185"/>
      <c r="AD425" s="185"/>
      <c r="AE425" s="186"/>
    </row>
    <row r="426" spans="1:31" ht="11.65" customHeight="1">
      <c r="A426" s="1163"/>
      <c r="B426" s="1164"/>
      <c r="C426" s="1164"/>
      <c r="D426" s="1164"/>
      <c r="E426" s="1164"/>
      <c r="F426" s="1164"/>
      <c r="G426" s="1164"/>
      <c r="H426" s="1164"/>
      <c r="I426" s="1164"/>
      <c r="J426" s="1164"/>
      <c r="K426" s="1164"/>
      <c r="L426" s="1164"/>
      <c r="M426" s="1164"/>
      <c r="N426" s="1164"/>
      <c r="O426" s="1164"/>
      <c r="P426" s="1164"/>
      <c r="Q426" s="1165"/>
      <c r="R426" s="1029"/>
      <c r="S426" s="1029"/>
    </row>
    <row r="427" spans="1:31" ht="11.65" customHeight="1">
      <c r="A427" s="1155"/>
      <c r="B427" s="1156"/>
      <c r="C427" s="1156"/>
      <c r="D427" s="1156"/>
      <c r="E427" s="1156"/>
      <c r="F427" s="1156"/>
      <c r="G427" s="1156"/>
      <c r="H427" s="1156"/>
      <c r="I427" s="1156"/>
      <c r="J427" s="1156"/>
      <c r="K427" s="1156"/>
      <c r="L427" s="1156"/>
      <c r="M427" s="1156"/>
      <c r="N427" s="1156"/>
      <c r="O427" s="1156"/>
      <c r="P427" s="1156"/>
      <c r="Q427" s="1157"/>
      <c r="R427" s="1029"/>
      <c r="S427" s="1029"/>
    </row>
    <row r="428" spans="1:31" ht="11.25" customHeight="1">
      <c r="B428" s="187" t="s">
        <v>3089</v>
      </c>
      <c r="C428" s="188"/>
      <c r="D428" s="740"/>
      <c r="E428" s="740"/>
      <c r="F428" s="740"/>
      <c r="G428" s="740"/>
      <c r="H428" s="740"/>
      <c r="I428" s="740"/>
      <c r="J428" s="740"/>
      <c r="K428" s="740"/>
      <c r="L428" s="740"/>
      <c r="M428" s="740"/>
      <c r="N428" s="740"/>
      <c r="O428" s="740"/>
      <c r="P428" s="740"/>
      <c r="Q428" s="740"/>
    </row>
    <row r="429" spans="1:31" ht="11.65" customHeight="1">
      <c r="A429" s="991"/>
      <c r="B429" s="992"/>
      <c r="C429" s="992"/>
      <c r="D429" s="992"/>
      <c r="E429" s="992"/>
      <c r="F429" s="992"/>
      <c r="G429" s="992"/>
      <c r="H429" s="992"/>
      <c r="I429" s="992"/>
      <c r="J429" s="992"/>
      <c r="K429" s="992"/>
      <c r="L429" s="992"/>
      <c r="M429" s="992"/>
      <c r="N429" s="992"/>
      <c r="O429" s="992"/>
      <c r="P429" s="992"/>
      <c r="Q429" s="993"/>
    </row>
    <row r="430" spans="1:31" ht="11.65" customHeight="1">
      <c r="A430" s="1011"/>
      <c r="B430" s="1012"/>
      <c r="C430" s="1012"/>
      <c r="D430" s="1012"/>
      <c r="E430" s="1012"/>
      <c r="F430" s="1012"/>
      <c r="G430" s="1012"/>
      <c r="H430" s="1012"/>
      <c r="I430" s="1012"/>
      <c r="J430" s="1012"/>
      <c r="K430" s="1012"/>
      <c r="L430" s="1012"/>
      <c r="M430" s="1012"/>
      <c r="N430" s="1012"/>
      <c r="O430" s="1012"/>
      <c r="P430" s="1012"/>
      <c r="Q430" s="1013"/>
    </row>
    <row r="431" spans="1:31" ht="11.65" customHeight="1">
      <c r="A431" s="995"/>
      <c r="B431" s="996"/>
      <c r="C431" s="996"/>
      <c r="D431" s="996"/>
      <c r="E431" s="996"/>
      <c r="F431" s="996"/>
      <c r="G431" s="996"/>
      <c r="H431" s="996"/>
      <c r="I431" s="996"/>
      <c r="J431" s="996"/>
      <c r="K431" s="996"/>
      <c r="L431" s="996"/>
      <c r="M431" s="996"/>
      <c r="N431" s="996"/>
      <c r="O431" s="996"/>
      <c r="P431" s="996"/>
      <c r="Q431" s="997"/>
    </row>
    <row r="432" spans="1:31" ht="7.15" customHeight="1">
      <c r="A432" s="738"/>
      <c r="B432" s="179"/>
      <c r="C432" s="740"/>
      <c r="D432" s="740"/>
      <c r="E432" s="740"/>
      <c r="F432" s="740"/>
      <c r="G432" s="740"/>
      <c r="H432" s="740"/>
      <c r="I432" s="740"/>
      <c r="J432" s="740"/>
      <c r="K432" s="740"/>
      <c r="L432" s="740"/>
      <c r="M432" s="740"/>
      <c r="Q432" s="63"/>
    </row>
    <row r="433" spans="1:31" ht="13.9" customHeight="1">
      <c r="A433" s="742">
        <v>28</v>
      </c>
      <c r="B433" s="5" t="s">
        <v>1546</v>
      </c>
      <c r="C433" s="5"/>
      <c r="D433" s="118"/>
      <c r="E433" s="740"/>
      <c r="F433" s="740"/>
      <c r="G433" s="740"/>
      <c r="H433" s="740"/>
      <c r="I433" s="740"/>
      <c r="J433" s="740"/>
      <c r="K433" s="740"/>
      <c r="L433" s="740"/>
      <c r="M433" s="740"/>
      <c r="O433" s="180" t="s">
        <v>3090</v>
      </c>
      <c r="P433" s="989"/>
      <c r="Q433" s="990"/>
    </row>
    <row r="434" spans="1:31" ht="11.25" customHeight="1">
      <c r="A434" s="742"/>
      <c r="B434" s="191" t="s">
        <v>3088</v>
      </c>
      <c r="D434" s="191"/>
      <c r="E434" s="191"/>
      <c r="F434" s="191"/>
      <c r="G434" s="191"/>
      <c r="H434" s="50"/>
      <c r="I434" s="179"/>
      <c r="J434" s="179"/>
      <c r="K434" s="179"/>
      <c r="L434" s="738"/>
      <c r="M434" s="738"/>
      <c r="N434" s="738"/>
      <c r="O434" s="738"/>
      <c r="P434" s="738"/>
      <c r="Q434" s="63"/>
    </row>
    <row r="435" spans="1:31" ht="11.65" customHeight="1">
      <c r="A435" s="1152" t="s">
        <v>16</v>
      </c>
      <c r="B435" s="1153"/>
      <c r="C435" s="1153"/>
      <c r="D435" s="1153"/>
      <c r="E435" s="1153"/>
      <c r="F435" s="1153"/>
      <c r="G435" s="1153"/>
      <c r="H435" s="1153"/>
      <c r="I435" s="1153"/>
      <c r="J435" s="1153"/>
      <c r="K435" s="1153"/>
      <c r="L435" s="1153"/>
      <c r="M435" s="1153"/>
      <c r="N435" s="1153"/>
      <c r="O435" s="1153"/>
      <c r="P435" s="1153"/>
      <c r="Q435" s="1154"/>
      <c r="R435" s="1029" t="s">
        <v>1931</v>
      </c>
      <c r="S435" s="1029"/>
      <c r="U435" s="185"/>
      <c r="V435" s="185"/>
      <c r="W435" s="185"/>
      <c r="X435" s="185"/>
      <c r="Y435" s="185"/>
      <c r="Z435" s="185"/>
      <c r="AA435" s="185"/>
      <c r="AB435" s="185"/>
      <c r="AC435" s="185"/>
      <c r="AD435" s="185"/>
      <c r="AE435" s="186"/>
    </row>
    <row r="436" spans="1:31" ht="11.65" customHeight="1">
      <c r="A436" s="1155" t="s">
        <v>14</v>
      </c>
      <c r="B436" s="1156"/>
      <c r="C436" s="1156"/>
      <c r="D436" s="1156"/>
      <c r="E436" s="1156"/>
      <c r="F436" s="1156"/>
      <c r="G436" s="1156"/>
      <c r="H436" s="1156"/>
      <c r="I436" s="1156"/>
      <c r="J436" s="1156"/>
      <c r="K436" s="1156"/>
      <c r="L436" s="1156"/>
      <c r="M436" s="1156"/>
      <c r="N436" s="1156"/>
      <c r="O436" s="1156"/>
      <c r="P436" s="1156"/>
      <c r="Q436" s="1157"/>
      <c r="R436" s="1029"/>
      <c r="S436" s="1029"/>
    </row>
    <row r="437" spans="1:31" ht="11.25" customHeight="1">
      <c r="B437" s="187" t="s">
        <v>3089</v>
      </c>
      <c r="C437" s="188"/>
      <c r="D437" s="740"/>
      <c r="E437" s="740"/>
      <c r="F437" s="740"/>
      <c r="G437" s="740"/>
      <c r="H437" s="740"/>
      <c r="I437" s="740"/>
      <c r="J437" s="740"/>
      <c r="K437" s="740"/>
      <c r="L437" s="740"/>
      <c r="M437" s="740"/>
      <c r="N437" s="740"/>
      <c r="O437" s="740"/>
      <c r="P437" s="740"/>
      <c r="Q437" s="740"/>
    </row>
    <row r="438" spans="1:31" ht="37.15" customHeight="1">
      <c r="A438" s="991"/>
      <c r="B438" s="992"/>
      <c r="C438" s="992"/>
      <c r="D438" s="992"/>
      <c r="E438" s="992"/>
      <c r="F438" s="992"/>
      <c r="G438" s="992"/>
      <c r="H438" s="992"/>
      <c r="I438" s="992"/>
      <c r="J438" s="992"/>
      <c r="K438" s="992"/>
      <c r="L438" s="992"/>
      <c r="M438" s="992"/>
      <c r="N438" s="992"/>
      <c r="O438" s="992"/>
      <c r="P438" s="992"/>
      <c r="Q438" s="993"/>
    </row>
    <row r="439" spans="1:31" ht="37.15" customHeight="1">
      <c r="A439" s="1011"/>
      <c r="B439" s="1012"/>
      <c r="C439" s="1012"/>
      <c r="D439" s="1012"/>
      <c r="E439" s="1012"/>
      <c r="F439" s="1012"/>
      <c r="G439" s="1012"/>
      <c r="H439" s="1012"/>
      <c r="I439" s="1012"/>
      <c r="J439" s="1012"/>
      <c r="K439" s="1012"/>
      <c r="L439" s="1012"/>
      <c r="M439" s="1012"/>
      <c r="N439" s="1012"/>
      <c r="O439" s="1012"/>
      <c r="P439" s="1012"/>
      <c r="Q439" s="1013"/>
    </row>
    <row r="440" spans="1:31" ht="37.15" customHeight="1">
      <c r="A440" s="1011"/>
      <c r="B440" s="1012"/>
      <c r="C440" s="1012"/>
      <c r="D440" s="1012"/>
      <c r="E440" s="1012"/>
      <c r="F440" s="1012"/>
      <c r="G440" s="1012"/>
      <c r="H440" s="1012"/>
      <c r="I440" s="1012"/>
      <c r="J440" s="1012"/>
      <c r="K440" s="1012"/>
      <c r="L440" s="1012"/>
      <c r="M440" s="1012"/>
      <c r="N440" s="1012"/>
      <c r="O440" s="1012"/>
      <c r="P440" s="1012"/>
      <c r="Q440" s="1013"/>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8"/>
      <c r="B442" s="179"/>
      <c r="C442" s="740"/>
      <c r="D442" s="740"/>
      <c r="E442" s="740"/>
      <c r="F442" s="740"/>
      <c r="G442" s="740"/>
      <c r="H442" s="740"/>
      <c r="I442" s="740"/>
      <c r="J442" s="740"/>
      <c r="K442" s="740"/>
      <c r="L442" s="740"/>
      <c r="M442" s="740"/>
      <c r="N442" s="740"/>
      <c r="O442" s="740"/>
      <c r="P442" s="740"/>
      <c r="Q442" s="738"/>
    </row>
    <row r="443" spans="1:31" ht="8.65" customHeight="1">
      <c r="A443" s="738"/>
      <c r="B443" s="179"/>
      <c r="C443" s="740"/>
      <c r="D443" s="740"/>
      <c r="E443" s="740"/>
      <c r="F443" s="740"/>
      <c r="G443" s="740"/>
      <c r="H443" s="740"/>
      <c r="I443" s="740"/>
      <c r="J443" s="740"/>
      <c r="K443" s="740"/>
      <c r="L443" s="740"/>
      <c r="M443" s="740"/>
    </row>
    <row r="444" spans="1:31" ht="3" customHeight="1">
      <c r="A444" s="738"/>
      <c r="B444" s="179"/>
      <c r="C444" s="740"/>
      <c r="D444" s="740"/>
      <c r="E444" s="740"/>
      <c r="F444" s="740"/>
      <c r="G444" s="740"/>
      <c r="H444" s="740"/>
      <c r="I444" s="740"/>
      <c r="J444" s="740"/>
      <c r="K444" s="740"/>
      <c r="L444" s="740"/>
      <c r="M444" s="740"/>
      <c r="N444" s="740"/>
      <c r="O444" s="740"/>
      <c r="P444" s="740"/>
      <c r="Q444" s="738"/>
    </row>
    <row r="445" spans="1:31" ht="12" customHeight="1">
      <c r="A445" s="1279"/>
      <c r="B445" s="1279" t="s">
        <v>1517</v>
      </c>
      <c r="C445" s="1279" t="s">
        <v>830</v>
      </c>
      <c r="D445" s="1279"/>
      <c r="E445" s="1279"/>
      <c r="F445" s="1279"/>
      <c r="G445" s="1279"/>
      <c r="H445" s="1279"/>
      <c r="I445" s="1279"/>
      <c r="J445" s="1279"/>
      <c r="K445" s="1279"/>
      <c r="L445" s="1279"/>
      <c r="M445" s="1279"/>
      <c r="N445" s="1279"/>
      <c r="O445" s="1279" t="s">
        <v>1517</v>
      </c>
      <c r="P445" s="1279"/>
      <c r="Q445" s="1279"/>
    </row>
    <row r="446" spans="1:31" ht="12" customHeight="1">
      <c r="A446" s="1279"/>
      <c r="B446" s="1279"/>
      <c r="C446" s="1279" t="s">
        <v>2903</v>
      </c>
      <c r="D446" s="1279" t="s">
        <v>1135</v>
      </c>
      <c r="E446" s="1279"/>
      <c r="F446" s="1279"/>
      <c r="G446" s="1279"/>
      <c r="H446" s="1279"/>
      <c r="I446" s="1279"/>
      <c r="J446" s="1279"/>
      <c r="K446" s="1279"/>
      <c r="L446" s="1279"/>
      <c r="M446" s="1279"/>
      <c r="N446" s="1279"/>
      <c r="O446" s="1279" t="s">
        <v>2903</v>
      </c>
      <c r="P446" s="1279"/>
      <c r="Q446" s="1279"/>
    </row>
    <row r="447" spans="1:31" ht="12" customHeight="1">
      <c r="A447" s="1279"/>
      <c r="B447" s="1279"/>
      <c r="C447" s="1279" t="s">
        <v>2904</v>
      </c>
      <c r="D447" s="1279" t="s">
        <v>150</v>
      </c>
      <c r="E447" s="1279"/>
      <c r="F447" s="1279"/>
      <c r="G447" s="1279"/>
      <c r="H447" s="1279"/>
      <c r="I447" s="1279"/>
      <c r="J447" s="1279"/>
      <c r="K447" s="1279"/>
      <c r="L447" s="1279"/>
      <c r="M447" s="1279"/>
      <c r="N447" s="1279"/>
      <c r="O447" s="1279" t="s">
        <v>2904</v>
      </c>
      <c r="P447" s="1279"/>
      <c r="Q447" s="1279"/>
    </row>
    <row r="448" spans="1:31" ht="12" customHeight="1">
      <c r="A448" s="1279"/>
      <c r="B448" s="1279"/>
      <c r="C448" s="1279" t="s">
        <v>2905</v>
      </c>
      <c r="D448" s="1279" t="s">
        <v>831</v>
      </c>
      <c r="E448" s="1279"/>
      <c r="F448" s="1279"/>
      <c r="G448" s="1279"/>
      <c r="H448" s="1279"/>
      <c r="I448" s="1279"/>
      <c r="J448" s="1279"/>
      <c r="K448" s="1279"/>
      <c r="L448" s="1279"/>
      <c r="M448" s="1279"/>
      <c r="N448" s="1279"/>
      <c r="O448" s="1279" t="s">
        <v>2905</v>
      </c>
      <c r="P448" s="1279"/>
      <c r="Q448" s="1279"/>
    </row>
    <row r="449" spans="1:19" ht="12" customHeight="1">
      <c r="A449" s="1279"/>
      <c r="B449" s="1279"/>
      <c r="C449" s="1279" t="s">
        <v>3672</v>
      </c>
      <c r="D449" s="1279" t="s">
        <v>956</v>
      </c>
      <c r="E449" s="1279"/>
      <c r="F449" s="1279"/>
      <c r="G449" s="1279"/>
      <c r="H449" s="1279"/>
      <c r="I449" s="1279"/>
      <c r="J449" s="1279"/>
      <c r="K449" s="1279"/>
      <c r="L449" s="1279"/>
      <c r="M449" s="1279"/>
      <c r="N449" s="1279"/>
      <c r="O449" s="1279" t="s">
        <v>3672</v>
      </c>
      <c r="P449" s="1279"/>
      <c r="Q449" s="1279"/>
    </row>
    <row r="450" spans="1:19" ht="12" customHeight="1">
      <c r="A450" s="1279"/>
      <c r="B450" s="1279"/>
      <c r="C450" s="1279" t="s">
        <v>2445</v>
      </c>
      <c r="D450" s="1279" t="s">
        <v>957</v>
      </c>
      <c r="E450" s="1279"/>
      <c r="F450" s="1279"/>
      <c r="G450" s="1279"/>
      <c r="H450" s="1279"/>
      <c r="I450" s="1279"/>
      <c r="J450" s="1279"/>
      <c r="K450" s="1279"/>
      <c r="L450" s="1279"/>
      <c r="M450" s="1279"/>
      <c r="N450" s="1279"/>
      <c r="O450" s="1279" t="s">
        <v>2445</v>
      </c>
      <c r="P450" s="1279"/>
      <c r="Q450" s="1279"/>
    </row>
    <row r="451" spans="1:19" ht="12" customHeight="1">
      <c r="A451" s="1279"/>
      <c r="B451" s="1279"/>
      <c r="C451" s="1279" t="s">
        <v>2446</v>
      </c>
      <c r="D451" s="1279" t="s">
        <v>2514</v>
      </c>
      <c r="E451" s="1279"/>
      <c r="F451" s="1279"/>
      <c r="G451" s="1279"/>
      <c r="H451" s="1279"/>
      <c r="I451" s="1279"/>
      <c r="J451" s="1279"/>
      <c r="K451" s="1279"/>
      <c r="L451" s="1279"/>
      <c r="M451" s="1279"/>
      <c r="N451" s="1279"/>
      <c r="O451" s="1279" t="s">
        <v>2446</v>
      </c>
      <c r="P451" s="1279"/>
      <c r="Q451" s="1279"/>
    </row>
    <row r="452" spans="1:19" ht="12" customHeight="1">
      <c r="A452" s="1279"/>
      <c r="B452" s="1279"/>
      <c r="C452" s="1279" t="s">
        <v>91</v>
      </c>
      <c r="D452" s="1279" t="s">
        <v>1036</v>
      </c>
      <c r="E452" s="1279"/>
      <c r="F452" s="1279"/>
      <c r="G452" s="1279"/>
      <c r="H452" s="1279"/>
      <c r="I452" s="1279"/>
      <c r="J452" s="1279"/>
      <c r="K452" s="1279"/>
      <c r="L452" s="1279"/>
      <c r="M452" s="1279"/>
      <c r="N452" s="1279"/>
      <c r="O452" s="1279" t="s">
        <v>91</v>
      </c>
      <c r="P452" s="1279"/>
      <c r="Q452" s="1279"/>
    </row>
    <row r="453" spans="1:19" ht="12" customHeight="1">
      <c r="A453" s="1279"/>
      <c r="B453" s="1279"/>
      <c r="C453" s="1279" t="s">
        <v>824</v>
      </c>
      <c r="D453" s="1279" t="s">
        <v>1037</v>
      </c>
      <c r="E453" s="1279"/>
      <c r="F453" s="1279"/>
      <c r="G453" s="1279"/>
      <c r="H453" s="1279"/>
      <c r="I453" s="1279"/>
      <c r="J453" s="1279"/>
      <c r="K453" s="1279"/>
      <c r="L453" s="1279"/>
      <c r="M453" s="1279"/>
      <c r="N453" s="1279"/>
      <c r="O453" s="1279" t="s">
        <v>824</v>
      </c>
      <c r="P453" s="1279"/>
      <c r="Q453" s="1279"/>
    </row>
    <row r="454" spans="1:19" ht="12" customHeight="1">
      <c r="A454" s="1279"/>
      <c r="B454" s="1279"/>
      <c r="C454" s="1279" t="s">
        <v>825</v>
      </c>
      <c r="D454" s="1279" t="s">
        <v>2906</v>
      </c>
      <c r="E454" s="1279"/>
      <c r="F454" s="1279"/>
      <c r="G454" s="1279"/>
      <c r="H454" s="1279"/>
      <c r="I454" s="1279"/>
      <c r="J454" s="1279"/>
      <c r="K454" s="1279"/>
      <c r="L454" s="1279"/>
      <c r="M454" s="1279"/>
      <c r="N454" s="1279"/>
      <c r="O454" s="1279" t="s">
        <v>825</v>
      </c>
      <c r="P454" s="1279"/>
      <c r="Q454" s="1279"/>
    </row>
    <row r="455" spans="1:19" ht="12" customHeight="1">
      <c r="A455" s="1279"/>
      <c r="B455" s="1279"/>
      <c r="C455" s="1279" t="s">
        <v>826</v>
      </c>
      <c r="D455" s="1279" t="s">
        <v>3157</v>
      </c>
      <c r="E455" s="1279"/>
      <c r="F455" s="1279"/>
      <c r="G455" s="1279"/>
      <c r="H455" s="1279"/>
      <c r="I455" s="1279"/>
      <c r="J455" s="1279"/>
      <c r="K455" s="1279"/>
      <c r="L455" s="1279"/>
      <c r="M455" s="1279"/>
      <c r="N455" s="1279"/>
      <c r="O455" s="1279" t="s">
        <v>3159</v>
      </c>
      <c r="P455" s="1279"/>
      <c r="Q455" s="1279"/>
    </row>
    <row r="456" spans="1:19" ht="12" customHeight="1">
      <c r="A456" s="1279"/>
      <c r="B456" s="1279"/>
      <c r="C456" s="1279" t="s">
        <v>826</v>
      </c>
      <c r="D456" s="1279" t="s">
        <v>3158</v>
      </c>
      <c r="E456" s="1279"/>
      <c r="F456" s="1279"/>
      <c r="G456" s="1279"/>
      <c r="H456" s="1279"/>
      <c r="I456" s="1279"/>
      <c r="J456" s="1279"/>
      <c r="K456" s="1279"/>
      <c r="L456" s="1279"/>
      <c r="M456" s="1279"/>
      <c r="N456" s="1279"/>
      <c r="O456" s="1279"/>
      <c r="P456" s="1279"/>
      <c r="Q456" s="1279"/>
    </row>
    <row r="457" spans="1:19" ht="12" customHeight="1">
      <c r="A457" s="1279"/>
      <c r="B457" s="1279"/>
      <c r="C457" s="1279" t="s">
        <v>827</v>
      </c>
      <c r="D457" s="1279" t="s">
        <v>3033</v>
      </c>
      <c r="E457" s="1279"/>
      <c r="F457" s="1279"/>
      <c r="G457" s="1279"/>
      <c r="H457" s="1279"/>
      <c r="I457" s="1279"/>
      <c r="J457" s="1279"/>
      <c r="K457" s="1279"/>
      <c r="L457" s="1279"/>
      <c r="M457" s="1279"/>
      <c r="N457" s="1279"/>
      <c r="O457" s="1279" t="s">
        <v>827</v>
      </c>
      <c r="P457" s="1279"/>
      <c r="Q457" s="1279"/>
    </row>
    <row r="458" spans="1:19" ht="12" customHeight="1">
      <c r="A458" s="1279"/>
      <c r="B458" s="1279"/>
      <c r="C458" s="1279" t="s">
        <v>828</v>
      </c>
      <c r="D458" s="1279" t="s">
        <v>2932</v>
      </c>
      <c r="E458" s="1279"/>
      <c r="F458" s="1279"/>
      <c r="G458" s="1279"/>
      <c r="H458" s="1279"/>
      <c r="I458" s="1279"/>
      <c r="J458" s="1279"/>
      <c r="K458" s="1279"/>
      <c r="L458" s="1279"/>
      <c r="M458" s="1279"/>
      <c r="N458" s="1279"/>
      <c r="O458" s="1279" t="s">
        <v>828</v>
      </c>
      <c r="P458" s="1279"/>
      <c r="Q458" s="1279"/>
    </row>
    <row r="459" spans="1:19" ht="12" customHeight="1">
      <c r="A459" s="1279"/>
      <c r="B459" s="1279"/>
      <c r="C459" s="1279" t="s">
        <v>829</v>
      </c>
      <c r="D459" s="1279" t="s">
        <v>3039</v>
      </c>
      <c r="E459" s="1279"/>
      <c r="F459" s="1279"/>
      <c r="G459" s="1279"/>
      <c r="H459" s="1279" t="s">
        <v>2803</v>
      </c>
      <c r="I459" s="1279"/>
      <c r="J459" s="1279"/>
      <c r="K459" s="1279"/>
      <c r="L459" s="1279"/>
      <c r="M459" s="1279"/>
      <c r="N459" s="1279"/>
      <c r="O459" s="1279" t="s">
        <v>829</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2612</v>
      </c>
      <c r="D462" s="113"/>
      <c r="E462" s="113"/>
      <c r="F462" s="113"/>
      <c r="G462" s="113"/>
      <c r="H462" s="113"/>
      <c r="I462" s="113"/>
      <c r="J462" s="113" t="s">
        <v>1969</v>
      </c>
      <c r="K462" s="209"/>
      <c r="L462" s="166"/>
      <c r="M462" s="166"/>
      <c r="N462" s="364"/>
      <c r="O462" s="363"/>
      <c r="P462" s="363"/>
      <c r="Q462" s="218"/>
      <c r="R462" s="218"/>
      <c r="S462" s="218"/>
    </row>
    <row r="463" spans="1:19" s="31" customFormat="1">
      <c r="A463" s="218"/>
      <c r="B463" s="166"/>
      <c r="C463" s="166" t="s">
        <v>3353</v>
      </c>
      <c r="D463" s="166"/>
      <c r="E463" s="166"/>
      <c r="F463" s="166"/>
      <c r="G463" s="166"/>
      <c r="H463" s="166"/>
      <c r="I463" s="166"/>
      <c r="J463" s="166" t="s">
        <v>2803</v>
      </c>
      <c r="K463" s="166"/>
      <c r="L463" s="166"/>
      <c r="M463" s="166"/>
      <c r="N463" s="364"/>
      <c r="O463" s="363"/>
      <c r="P463" s="363"/>
      <c r="Q463" s="218"/>
      <c r="R463" s="218"/>
      <c r="S463" s="218"/>
    </row>
    <row r="464" spans="1:19" s="31" customFormat="1" ht="15">
      <c r="A464" s="218"/>
      <c r="B464" s="166"/>
      <c r="C464" s="113" t="s">
        <v>3942</v>
      </c>
      <c r="D464" s="113"/>
      <c r="E464" s="113"/>
      <c r="F464" s="113"/>
      <c r="G464" s="113"/>
      <c r="H464" s="113"/>
      <c r="I464" s="113"/>
      <c r="J464" s="358" t="s">
        <v>2889</v>
      </c>
      <c r="K464" s="209"/>
      <c r="L464" s="166"/>
      <c r="M464" s="166"/>
      <c r="N464" s="364"/>
      <c r="O464" s="363"/>
      <c r="P464" s="363"/>
      <c r="Q464" s="218"/>
      <c r="R464" s="218"/>
      <c r="S464" s="218"/>
    </row>
    <row r="465" spans="1:19" s="31" customFormat="1" ht="15">
      <c r="A465" s="218"/>
      <c r="B465" s="166"/>
      <c r="C465" s="113" t="s">
        <v>3354</v>
      </c>
      <c r="D465" s="113"/>
      <c r="E465" s="113"/>
      <c r="F465" s="113"/>
      <c r="G465" s="113"/>
      <c r="H465" s="113"/>
      <c r="I465" s="113"/>
      <c r="J465" s="358" t="s">
        <v>516</v>
      </c>
      <c r="K465" s="209"/>
      <c r="L465" s="166"/>
      <c r="M465" s="166"/>
      <c r="N465" s="364"/>
      <c r="O465" s="363"/>
      <c r="P465" s="363"/>
      <c r="Q465" s="218"/>
      <c r="R465" s="218"/>
      <c r="S465" s="218"/>
    </row>
    <row r="466" spans="1:19" s="31" customFormat="1" ht="15">
      <c r="A466" s="218"/>
      <c r="B466" s="166"/>
      <c r="C466" s="113" t="s">
        <v>3355</v>
      </c>
      <c r="D466" s="113"/>
      <c r="E466" s="113"/>
      <c r="F466" s="113"/>
      <c r="G466" s="113"/>
      <c r="H466" s="113"/>
      <c r="I466" s="113"/>
      <c r="J466" s="362" t="s">
        <v>1836</v>
      </c>
      <c r="K466" s="209"/>
      <c r="L466" s="166"/>
      <c r="M466" s="166"/>
      <c r="N466" s="364"/>
      <c r="O466" s="363"/>
      <c r="P466" s="363"/>
      <c r="Q466" s="218"/>
      <c r="R466" s="218"/>
      <c r="S466" s="218"/>
    </row>
    <row r="467" spans="1:19" s="31" customFormat="1" ht="15">
      <c r="A467" s="218"/>
      <c r="B467" s="166"/>
      <c r="C467" s="359" t="s">
        <v>3356</v>
      </c>
      <c r="D467" s="113"/>
      <c r="E467" s="113"/>
      <c r="F467" s="113"/>
      <c r="G467" s="113"/>
      <c r="H467" s="113"/>
      <c r="I467" s="113"/>
      <c r="J467" s="365" t="s">
        <v>3280</v>
      </c>
      <c r="K467" s="209"/>
      <c r="L467" s="166"/>
      <c r="M467" s="166"/>
      <c r="N467" s="364"/>
      <c r="O467" s="363"/>
      <c r="P467" s="363"/>
      <c r="Q467" s="218"/>
      <c r="R467" s="218"/>
      <c r="S467" s="218"/>
    </row>
    <row r="468" spans="1:19" s="31" customFormat="1" ht="15">
      <c r="A468" s="218"/>
      <c r="B468" s="166"/>
      <c r="C468" s="359" t="s">
        <v>3357</v>
      </c>
      <c r="D468" s="113"/>
      <c r="E468" s="113"/>
      <c r="F468" s="113"/>
      <c r="G468" s="113"/>
      <c r="H468" s="113"/>
      <c r="I468" s="113"/>
      <c r="J468" s="358" t="s">
        <v>2760</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1844</v>
      </c>
      <c r="K469" s="209"/>
      <c r="L469" s="166"/>
      <c r="M469" s="166"/>
      <c r="N469" s="364"/>
      <c r="O469" s="363"/>
      <c r="P469" s="363"/>
      <c r="Q469" s="218"/>
      <c r="R469" s="218"/>
      <c r="S469" s="218"/>
    </row>
    <row r="470" spans="1:19" s="31" customFormat="1" ht="15">
      <c r="A470" s="218"/>
      <c r="B470" s="166"/>
      <c r="C470" s="166" t="s">
        <v>2803</v>
      </c>
      <c r="D470" s="113"/>
      <c r="E470" s="113"/>
      <c r="F470" s="113"/>
      <c r="G470" s="113"/>
      <c r="H470" s="113"/>
      <c r="I470" s="113"/>
      <c r="J470" s="358" t="s">
        <v>2757</v>
      </c>
      <c r="K470" s="209"/>
      <c r="L470" s="166"/>
      <c r="M470" s="166"/>
      <c r="N470" s="364"/>
      <c r="O470" s="363"/>
      <c r="P470" s="363"/>
      <c r="Q470" s="218"/>
      <c r="R470" s="218"/>
      <c r="S470" s="218"/>
    </row>
    <row r="471" spans="1:19" s="31" customFormat="1" ht="15">
      <c r="A471" s="218"/>
      <c r="B471" s="166"/>
      <c r="C471" s="360" t="s">
        <v>2226</v>
      </c>
      <c r="D471" s="113"/>
      <c r="E471" s="113"/>
      <c r="F471" s="113"/>
      <c r="G471" s="113"/>
      <c r="H471" s="113"/>
      <c r="I471" s="113"/>
      <c r="J471" s="358" t="s">
        <v>3281</v>
      </c>
      <c r="K471" s="209"/>
      <c r="L471" s="166"/>
      <c r="M471" s="166"/>
      <c r="N471" s="364"/>
      <c r="O471" s="363"/>
      <c r="P471" s="363"/>
      <c r="Q471" s="218"/>
      <c r="R471" s="218"/>
      <c r="S471" s="218"/>
    </row>
    <row r="472" spans="1:19" s="31" customFormat="1" ht="15">
      <c r="A472" s="218"/>
      <c r="B472" s="166"/>
      <c r="C472" s="360" t="s">
        <v>2227</v>
      </c>
      <c r="D472" s="113"/>
      <c r="E472" s="113"/>
      <c r="F472" s="113"/>
      <c r="G472" s="113"/>
      <c r="H472" s="113"/>
      <c r="I472" s="113"/>
      <c r="J472" s="358" t="s">
        <v>2614</v>
      </c>
      <c r="K472" s="209"/>
      <c r="L472" s="166"/>
      <c r="M472" s="166"/>
      <c r="N472" s="364"/>
      <c r="O472" s="363"/>
      <c r="P472" s="363"/>
      <c r="Q472" s="218"/>
      <c r="R472" s="218"/>
      <c r="S472" s="218"/>
    </row>
    <row r="473" spans="1:19" s="31" customFormat="1" ht="15">
      <c r="A473" s="218"/>
      <c r="B473" s="166"/>
      <c r="C473" s="361" t="s">
        <v>3285</v>
      </c>
      <c r="D473" s="113"/>
      <c r="E473" s="113"/>
      <c r="F473" s="113"/>
      <c r="G473" s="113"/>
      <c r="H473" s="113"/>
      <c r="I473" s="113"/>
      <c r="J473" s="358" t="s">
        <v>1845</v>
      </c>
      <c r="K473" s="209"/>
      <c r="L473" s="166"/>
      <c r="M473" s="166"/>
      <c r="N473" s="364"/>
      <c r="O473" s="363"/>
      <c r="P473" s="363"/>
      <c r="Q473" s="218"/>
      <c r="R473" s="218"/>
      <c r="S473" s="218"/>
    </row>
    <row r="474" spans="1:19" s="31" customFormat="1" ht="15">
      <c r="A474" s="218"/>
      <c r="B474" s="166"/>
      <c r="C474" s="361" t="s">
        <v>2216</v>
      </c>
      <c r="D474" s="113"/>
      <c r="E474" s="113"/>
      <c r="F474" s="113"/>
      <c r="G474" s="113"/>
      <c r="H474" s="113"/>
      <c r="I474" s="113"/>
      <c r="J474" s="358" t="s">
        <v>1077</v>
      </c>
      <c r="K474" s="209"/>
      <c r="L474" s="166"/>
      <c r="M474" s="166"/>
      <c r="N474" s="364"/>
      <c r="O474" s="363"/>
      <c r="P474" s="363"/>
      <c r="Q474" s="218"/>
      <c r="R474" s="218"/>
      <c r="S474" s="218"/>
    </row>
    <row r="475" spans="1:19" s="31" customFormat="1" ht="15">
      <c r="A475" s="218"/>
      <c r="B475" s="166"/>
      <c r="C475" s="361" t="s">
        <v>2338</v>
      </c>
      <c r="D475" s="113"/>
      <c r="E475" s="113"/>
      <c r="F475" s="113"/>
      <c r="G475" s="113"/>
      <c r="H475" s="113"/>
      <c r="I475" s="113"/>
      <c r="J475" s="358" t="s">
        <v>2756</v>
      </c>
      <c r="K475" s="209"/>
      <c r="L475" s="166"/>
      <c r="M475" s="166"/>
      <c r="N475" s="364"/>
      <c r="O475" s="363"/>
      <c r="P475" s="363"/>
      <c r="Q475" s="218"/>
      <c r="R475" s="218"/>
      <c r="S475" s="218"/>
    </row>
    <row r="476" spans="1:19" s="31" customFormat="1" ht="15">
      <c r="A476" s="218"/>
      <c r="B476" s="166"/>
      <c r="C476" s="360" t="s">
        <v>3267</v>
      </c>
      <c r="D476" s="113"/>
      <c r="E476" s="113"/>
      <c r="F476" s="113"/>
      <c r="G476" s="113"/>
      <c r="H476" s="113"/>
      <c r="I476" s="113"/>
      <c r="J476" s="358" t="s">
        <v>1838</v>
      </c>
      <c r="K476" s="209"/>
      <c r="L476" s="166"/>
      <c r="M476" s="166"/>
      <c r="N476" s="364"/>
      <c r="O476" s="363"/>
      <c r="P476" s="363"/>
      <c r="Q476" s="218"/>
      <c r="R476" s="218"/>
      <c r="S476" s="218"/>
    </row>
    <row r="477" spans="1:19" s="31" customFormat="1" ht="15">
      <c r="A477" s="218"/>
      <c r="B477" s="166"/>
      <c r="C477" s="360" t="s">
        <v>3335</v>
      </c>
      <c r="D477" s="113"/>
      <c r="E477" s="113"/>
      <c r="F477" s="113"/>
      <c r="G477" s="113"/>
      <c r="H477" s="113"/>
      <c r="I477" s="113"/>
      <c r="J477" s="358" t="s">
        <v>1837</v>
      </c>
      <c r="K477" s="166"/>
      <c r="L477" s="166"/>
      <c r="M477" s="166"/>
      <c r="N477" s="364"/>
      <c r="O477" s="363"/>
      <c r="P477" s="363"/>
      <c r="Q477" s="218"/>
      <c r="R477" s="218"/>
      <c r="S477" s="218"/>
    </row>
    <row r="478" spans="1:19" s="31" customFormat="1" ht="15">
      <c r="A478" s="218"/>
      <c r="B478" s="166"/>
      <c r="C478" s="360" t="s">
        <v>3336</v>
      </c>
      <c r="D478" s="166"/>
      <c r="E478" s="166"/>
      <c r="F478" s="166"/>
      <c r="G478" s="166"/>
      <c r="H478" s="166"/>
      <c r="I478" s="166"/>
      <c r="J478" s="358" t="s">
        <v>2890</v>
      </c>
      <c r="K478" s="166"/>
      <c r="L478" s="166"/>
      <c r="M478" s="166"/>
      <c r="N478" s="364"/>
      <c r="O478" s="363"/>
      <c r="P478" s="363"/>
      <c r="Q478" s="218"/>
      <c r="R478" s="218"/>
      <c r="S478" s="218"/>
    </row>
    <row r="479" spans="1:19" s="31" customFormat="1" ht="15">
      <c r="A479" s="218"/>
      <c r="B479" s="166"/>
      <c r="C479" s="360" t="s">
        <v>3283</v>
      </c>
      <c r="D479" s="166"/>
      <c r="E479" s="166"/>
      <c r="F479" s="166"/>
      <c r="G479" s="166"/>
      <c r="H479" s="166"/>
      <c r="I479" s="166"/>
      <c r="J479" s="358" t="s">
        <v>2759</v>
      </c>
      <c r="K479" s="166"/>
      <c r="L479" s="166"/>
      <c r="M479" s="166"/>
      <c r="N479" s="364"/>
      <c r="O479" s="363"/>
      <c r="P479" s="363"/>
      <c r="Q479" s="218"/>
      <c r="R479" s="218"/>
      <c r="S479" s="218"/>
    </row>
    <row r="480" spans="1:19" s="31" customFormat="1" ht="15">
      <c r="A480" s="218"/>
      <c r="B480" s="166"/>
      <c r="C480" s="360" t="s">
        <v>3284</v>
      </c>
      <c r="D480" s="166"/>
      <c r="E480" s="166"/>
      <c r="F480" s="166"/>
      <c r="G480" s="166"/>
      <c r="H480" s="166"/>
      <c r="I480" s="166"/>
      <c r="J480" s="358" t="s">
        <v>2615</v>
      </c>
      <c r="K480" s="166"/>
      <c r="L480" s="166"/>
      <c r="M480" s="166"/>
      <c r="N480" s="364"/>
      <c r="O480" s="363"/>
      <c r="P480" s="363"/>
      <c r="Q480" s="218"/>
      <c r="R480" s="218"/>
      <c r="S480" s="218"/>
    </row>
    <row r="481" spans="1:19" s="31" customFormat="1" ht="15">
      <c r="A481" s="218"/>
      <c r="B481" s="166"/>
      <c r="C481" s="360" t="s">
        <v>2339</v>
      </c>
      <c r="D481" s="166"/>
      <c r="E481" s="166"/>
      <c r="F481" s="166"/>
      <c r="G481" s="166"/>
      <c r="H481" s="166"/>
      <c r="I481" s="166"/>
      <c r="J481" s="358" t="s">
        <v>3279</v>
      </c>
      <c r="K481" s="166"/>
      <c r="L481" s="166"/>
      <c r="M481" s="166"/>
      <c r="N481" s="364"/>
      <c r="O481" s="363"/>
      <c r="P481" s="363"/>
      <c r="Q481" s="218"/>
      <c r="R481" s="218"/>
      <c r="S481" s="218"/>
    </row>
    <row r="482" spans="1:19" s="31" customFormat="1">
      <c r="A482" s="218"/>
      <c r="B482" s="166"/>
      <c r="C482" s="360" t="s">
        <v>3601</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2627</v>
      </c>
      <c r="D486" s="113"/>
      <c r="E486" s="113"/>
      <c r="F486" s="113"/>
      <c r="G486" s="113"/>
      <c r="H486" s="113"/>
      <c r="I486" s="113"/>
      <c r="J486" s="113"/>
      <c r="K486" s="113"/>
      <c r="L486" s="113"/>
      <c r="M486" s="113"/>
      <c r="N486" s="113"/>
      <c r="O486" s="113"/>
      <c r="P486" s="113"/>
      <c r="Q486" s="9"/>
      <c r="R486" s="9"/>
      <c r="S486" s="9"/>
    </row>
    <row r="487" spans="1:19">
      <c r="A487" s="9"/>
      <c r="B487" s="113"/>
      <c r="C487" s="113" t="s">
        <v>2803</v>
      </c>
      <c r="D487" s="113"/>
      <c r="E487" s="113"/>
      <c r="F487" s="113"/>
      <c r="G487" s="113"/>
      <c r="H487" s="113"/>
      <c r="I487" s="113"/>
      <c r="J487" s="113"/>
      <c r="K487" s="113"/>
      <c r="L487" s="113"/>
      <c r="M487" s="113"/>
      <c r="N487" s="113"/>
      <c r="O487" s="113"/>
      <c r="P487" s="113"/>
      <c r="Q487" s="9"/>
      <c r="R487" s="9"/>
      <c r="S487" s="9"/>
    </row>
    <row r="488" spans="1:19">
      <c r="A488" s="9"/>
      <c r="B488" s="113"/>
      <c r="C488" s="113" t="s">
        <v>3353</v>
      </c>
      <c r="D488" s="113"/>
      <c r="E488" s="123"/>
      <c r="F488" s="123"/>
      <c r="G488" s="123"/>
      <c r="H488" s="123"/>
      <c r="I488" s="123"/>
      <c r="J488" s="123"/>
      <c r="K488" s="123"/>
      <c r="L488" s="123"/>
      <c r="M488" s="123"/>
      <c r="N488" s="113"/>
      <c r="O488" s="113"/>
      <c r="P488" s="113"/>
      <c r="Q488" s="9"/>
      <c r="R488" s="9"/>
      <c r="S488" s="9"/>
    </row>
    <row r="489" spans="1:19">
      <c r="A489" s="9"/>
      <c r="B489" s="113"/>
      <c r="C489" s="113" t="s">
        <v>3942</v>
      </c>
      <c r="D489" s="123"/>
      <c r="E489" s="123"/>
      <c r="F489" s="123"/>
      <c r="G489" s="123"/>
      <c r="H489" s="113"/>
      <c r="I489" s="123"/>
      <c r="J489" s="123"/>
      <c r="K489" s="123"/>
      <c r="L489" s="123"/>
      <c r="M489" s="123"/>
      <c r="N489" s="113"/>
      <c r="O489" s="113"/>
      <c r="P489" s="113"/>
      <c r="Q489" s="9"/>
      <c r="R489" s="9"/>
      <c r="S489" s="9"/>
    </row>
    <row r="490" spans="1:19">
      <c r="A490" s="9"/>
      <c r="B490" s="113"/>
      <c r="C490" s="113" t="s">
        <v>3354</v>
      </c>
      <c r="D490" s="123"/>
      <c r="E490" s="123"/>
      <c r="F490" s="123"/>
      <c r="G490" s="123"/>
      <c r="H490" s="123"/>
      <c r="I490" s="123"/>
      <c r="J490" s="123"/>
      <c r="K490" s="123"/>
      <c r="L490" s="123"/>
      <c r="M490" s="123"/>
      <c r="N490" s="113"/>
      <c r="O490" s="113"/>
      <c r="P490" s="113"/>
      <c r="Q490" s="9"/>
      <c r="R490" s="9"/>
      <c r="S490" s="9"/>
    </row>
    <row r="491" spans="1:19">
      <c r="A491" s="9"/>
      <c r="B491" s="113"/>
      <c r="C491" s="113" t="s">
        <v>2613</v>
      </c>
      <c r="D491" s="123"/>
      <c r="E491" s="123"/>
      <c r="F491" s="123"/>
      <c r="G491" s="123"/>
      <c r="H491" s="113"/>
      <c r="I491" s="123"/>
      <c r="J491" s="123"/>
      <c r="K491" s="123"/>
      <c r="L491" s="123"/>
      <c r="M491" s="123"/>
      <c r="N491" s="113"/>
      <c r="O491" s="113"/>
      <c r="P491" s="113"/>
      <c r="Q491" s="9"/>
      <c r="R491" s="9"/>
      <c r="S491" s="9"/>
    </row>
    <row r="492" spans="1:19">
      <c r="A492" s="9"/>
      <c r="B492" s="113"/>
      <c r="C492" s="359" t="s">
        <v>3205</v>
      </c>
      <c r="D492" s="123"/>
      <c r="E492" s="123"/>
      <c r="F492" s="123"/>
      <c r="G492" s="123"/>
      <c r="H492" s="113"/>
      <c r="I492" s="123"/>
      <c r="J492" s="123"/>
      <c r="K492" s="123"/>
      <c r="L492" s="123"/>
      <c r="M492" s="123"/>
      <c r="N492" s="113"/>
      <c r="O492" s="113"/>
      <c r="P492" s="113"/>
      <c r="Q492" s="9"/>
      <c r="R492" s="9"/>
      <c r="S492" s="9"/>
    </row>
    <row r="493" spans="1:19">
      <c r="A493" s="9"/>
      <c r="B493" s="113"/>
      <c r="C493" s="113" t="s">
        <v>516</v>
      </c>
      <c r="D493" s="123"/>
      <c r="E493" s="123"/>
      <c r="F493" s="123"/>
      <c r="G493" s="123"/>
      <c r="H493" s="113"/>
      <c r="I493" s="123"/>
      <c r="J493" s="113"/>
      <c r="K493" s="123"/>
      <c r="L493" s="123"/>
      <c r="M493" s="123"/>
      <c r="N493" s="113"/>
      <c r="O493" s="113"/>
      <c r="P493" s="113"/>
      <c r="Q493" s="9"/>
      <c r="R493" s="9"/>
      <c r="S493" s="9"/>
    </row>
    <row r="494" spans="1:19">
      <c r="A494" s="9"/>
      <c r="B494" s="113"/>
      <c r="C494" s="113" t="s">
        <v>2614</v>
      </c>
      <c r="D494" s="123"/>
      <c r="E494" s="123"/>
      <c r="F494" s="123"/>
      <c r="G494" s="123"/>
      <c r="H494" s="113"/>
      <c r="I494" s="123"/>
      <c r="J494" s="113"/>
      <c r="K494" s="123"/>
      <c r="L494" s="123"/>
      <c r="M494" s="123"/>
      <c r="N494" s="113"/>
      <c r="O494" s="113"/>
      <c r="P494" s="113"/>
      <c r="Q494" s="9"/>
      <c r="R494" s="9"/>
      <c r="S494" s="9"/>
    </row>
    <row r="495" spans="1:19">
      <c r="A495" s="9"/>
      <c r="B495" s="113"/>
      <c r="C495" s="113" t="s">
        <v>2615</v>
      </c>
      <c r="D495" s="123"/>
      <c r="E495" s="123"/>
      <c r="F495" s="123"/>
      <c r="G495" s="123"/>
      <c r="H495" s="113"/>
      <c r="I495" s="123"/>
      <c r="J495" s="113"/>
      <c r="K495" s="123"/>
      <c r="L495" s="123"/>
      <c r="M495" s="123"/>
      <c r="N495" s="113"/>
      <c r="O495" s="113"/>
      <c r="P495" s="113"/>
      <c r="Q495" s="9"/>
      <c r="R495" s="9"/>
      <c r="S495" s="9"/>
    </row>
    <row r="496" spans="1:19">
      <c r="A496" s="9"/>
      <c r="B496" s="113"/>
      <c r="C496" s="113" t="s">
        <v>3802</v>
      </c>
      <c r="D496" s="123"/>
      <c r="E496" s="123"/>
      <c r="F496" s="123"/>
      <c r="G496" s="123"/>
      <c r="H496" s="123"/>
      <c r="I496" s="123"/>
      <c r="J496" s="123"/>
      <c r="K496" s="123"/>
      <c r="L496" s="123"/>
      <c r="M496" s="123"/>
      <c r="N496" s="113"/>
      <c r="O496" s="113"/>
      <c r="P496" s="113"/>
      <c r="Q496" s="9"/>
      <c r="R496" s="9"/>
      <c r="S496" s="9"/>
    </row>
    <row r="497" spans="1:19">
      <c r="A497" s="9"/>
      <c r="B497" s="113"/>
      <c r="C497" s="113" t="s">
        <v>2628</v>
      </c>
      <c r="D497" s="123"/>
      <c r="E497" s="123"/>
      <c r="F497" s="123"/>
      <c r="G497" s="123"/>
      <c r="H497" s="123"/>
      <c r="I497" s="123"/>
      <c r="J497" s="123"/>
      <c r="K497" s="123"/>
      <c r="L497" s="123"/>
      <c r="M497" s="123"/>
      <c r="N497" s="113"/>
      <c r="O497" s="113"/>
      <c r="P497" s="113"/>
      <c r="Q497" s="9"/>
      <c r="R497" s="9"/>
      <c r="S497" s="9"/>
    </row>
    <row r="498" spans="1:19">
      <c r="A498" s="9"/>
      <c r="B498" s="113"/>
      <c r="C498" s="113" t="s">
        <v>2753</v>
      </c>
      <c r="D498" s="123"/>
      <c r="E498" s="123"/>
      <c r="F498" s="123"/>
      <c r="G498" s="123"/>
      <c r="H498" s="123"/>
      <c r="I498" s="123"/>
      <c r="J498" s="123"/>
      <c r="K498" s="123"/>
      <c r="L498" s="123"/>
      <c r="M498" s="123"/>
      <c r="N498" s="113"/>
      <c r="O498" s="113"/>
      <c r="P498" s="113"/>
      <c r="Q498" s="9"/>
      <c r="R498" s="9"/>
      <c r="S498" s="9"/>
    </row>
    <row r="499" spans="1:19">
      <c r="A499" s="9"/>
      <c r="B499" s="113"/>
      <c r="C499" s="113" t="s">
        <v>3891</v>
      </c>
      <c r="D499" s="123"/>
      <c r="E499" s="123"/>
      <c r="F499" s="123"/>
      <c r="G499" s="123"/>
      <c r="H499" s="123"/>
      <c r="I499" s="123"/>
      <c r="J499" s="123"/>
      <c r="K499" s="123"/>
      <c r="L499" s="123"/>
      <c r="M499" s="123"/>
      <c r="N499" s="113"/>
      <c r="O499" s="113"/>
      <c r="P499" s="113"/>
      <c r="Q499" s="9"/>
      <c r="R499" s="9"/>
      <c r="S499" s="9"/>
    </row>
    <row r="500" spans="1:19">
      <c r="A500" s="9"/>
      <c r="B500" s="113"/>
      <c r="C500" s="113" t="s">
        <v>2755</v>
      </c>
      <c r="D500" s="123"/>
      <c r="E500" s="123"/>
      <c r="F500" s="123"/>
      <c r="G500" s="123"/>
      <c r="H500" s="123"/>
      <c r="I500" s="123"/>
      <c r="J500" s="123"/>
      <c r="K500" s="123"/>
      <c r="L500" s="123"/>
      <c r="M500" s="123"/>
      <c r="N500" s="113" t="s">
        <v>3803</v>
      </c>
      <c r="O500" s="113"/>
      <c r="P500" s="113"/>
      <c r="Q500" s="9"/>
      <c r="R500" s="9"/>
      <c r="S500" s="9"/>
    </row>
    <row r="501" spans="1:19">
      <c r="A501" s="9"/>
      <c r="B501" s="113"/>
      <c r="C501" s="113" t="s">
        <v>2756</v>
      </c>
      <c r="D501" s="123"/>
      <c r="E501" s="123"/>
      <c r="F501" s="123"/>
      <c r="G501" s="123"/>
      <c r="H501" s="123"/>
      <c r="I501" s="123"/>
      <c r="J501" s="123"/>
      <c r="K501" s="123"/>
      <c r="L501" s="123"/>
      <c r="M501" s="123"/>
      <c r="N501" s="113"/>
      <c r="O501" s="113"/>
      <c r="P501" s="113"/>
      <c r="Q501" s="9"/>
      <c r="R501" s="9"/>
      <c r="S501" s="9"/>
    </row>
    <row r="502" spans="1:19">
      <c r="A502" s="9"/>
      <c r="B502" s="113"/>
      <c r="C502" s="113" t="s">
        <v>2757</v>
      </c>
      <c r="D502" s="123"/>
      <c r="E502" s="123"/>
      <c r="F502" s="123"/>
      <c r="G502" s="123"/>
      <c r="H502" s="123"/>
      <c r="I502" s="123"/>
      <c r="J502" s="123"/>
      <c r="K502" s="123"/>
      <c r="L502" s="123"/>
      <c r="M502" s="123"/>
      <c r="N502" s="113"/>
      <c r="O502" s="113"/>
      <c r="P502" s="113"/>
      <c r="Q502" s="9"/>
      <c r="R502" s="9"/>
      <c r="S502" s="9"/>
    </row>
    <row r="503" spans="1:19">
      <c r="A503" s="9"/>
      <c r="B503" s="113"/>
      <c r="C503" s="113" t="s">
        <v>1077</v>
      </c>
      <c r="D503" s="123"/>
      <c r="E503" s="123"/>
      <c r="F503" s="123"/>
      <c r="G503" s="123"/>
      <c r="H503" s="123"/>
      <c r="I503" s="123"/>
      <c r="J503" s="123"/>
      <c r="K503" s="123"/>
      <c r="L503" s="123"/>
      <c r="M503" s="123"/>
      <c r="N503" s="113"/>
      <c r="O503" s="113"/>
      <c r="P503" s="113"/>
      <c r="Q503" s="9"/>
      <c r="R503" s="9"/>
      <c r="S503" s="9"/>
    </row>
    <row r="504" spans="1:19">
      <c r="A504" s="9"/>
      <c r="B504" s="113"/>
      <c r="C504" s="113" t="s">
        <v>2758</v>
      </c>
      <c r="D504" s="123"/>
      <c r="E504" s="123"/>
      <c r="F504" s="123"/>
      <c r="G504" s="123"/>
      <c r="H504" s="123"/>
      <c r="I504" s="123"/>
      <c r="J504" s="123"/>
      <c r="K504" s="123"/>
      <c r="L504" s="123"/>
      <c r="M504" s="123"/>
      <c r="N504" s="113"/>
      <c r="O504" s="113"/>
      <c r="P504" s="113"/>
      <c r="Q504" s="9"/>
      <c r="R504" s="9"/>
      <c r="S504" s="9"/>
    </row>
    <row r="505" spans="1:19">
      <c r="A505" s="9"/>
      <c r="B505" s="113"/>
      <c r="C505" s="113" t="s">
        <v>2874</v>
      </c>
      <c r="D505" s="123"/>
      <c r="E505" s="123"/>
      <c r="F505" s="123"/>
      <c r="G505" s="123"/>
      <c r="H505" s="123"/>
      <c r="I505" s="123"/>
      <c r="J505" s="123"/>
      <c r="K505" s="123"/>
      <c r="L505" s="123"/>
      <c r="M505" s="123"/>
      <c r="N505" s="113"/>
      <c r="O505" s="113"/>
      <c r="P505" s="113"/>
      <c r="Q505" s="9"/>
      <c r="R505" s="9"/>
      <c r="S505" s="9"/>
    </row>
    <row r="506" spans="1:19">
      <c r="A506" s="9"/>
      <c r="B506" s="113"/>
      <c r="C506" s="113" t="s">
        <v>515</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2947</v>
      </c>
      <c r="D510" s="113"/>
      <c r="E510" s="113"/>
      <c r="F510" s="113"/>
      <c r="G510" s="113"/>
      <c r="H510" s="113"/>
      <c r="I510" s="113"/>
      <c r="J510" s="113"/>
      <c r="K510" s="113"/>
      <c r="L510" s="113"/>
      <c r="M510" s="113"/>
      <c r="N510" s="113"/>
      <c r="O510" s="113"/>
      <c r="P510" s="113"/>
      <c r="Q510" s="9"/>
      <c r="R510" s="9"/>
      <c r="S510" s="9"/>
    </row>
    <row r="511" spans="1:19">
      <c r="A511" s="9"/>
      <c r="B511" s="113"/>
      <c r="C511" s="113" t="s">
        <v>1637</v>
      </c>
      <c r="D511" s="113"/>
      <c r="E511" s="113"/>
      <c r="F511" s="113"/>
      <c r="G511" s="113"/>
      <c r="H511" s="113"/>
      <c r="I511" s="113"/>
      <c r="J511" s="113"/>
      <c r="K511" s="113"/>
      <c r="L511" s="113"/>
      <c r="M511" s="113"/>
      <c r="N511" s="113"/>
      <c r="O511" s="113"/>
      <c r="P511" s="113"/>
      <c r="Q511" s="9"/>
      <c r="R511" s="9"/>
      <c r="S511" s="9"/>
    </row>
    <row r="512" spans="1:19">
      <c r="A512" s="9"/>
      <c r="B512" s="113"/>
      <c r="C512" s="360" t="s">
        <v>2398</v>
      </c>
      <c r="D512" s="113"/>
      <c r="E512" s="113"/>
      <c r="F512" s="113"/>
      <c r="G512" s="113"/>
      <c r="H512" s="113"/>
      <c r="I512" s="113"/>
      <c r="J512" s="113"/>
      <c r="K512" s="113"/>
      <c r="L512" s="113"/>
      <c r="M512" s="113"/>
      <c r="N512" s="113"/>
      <c r="O512" s="113"/>
      <c r="P512" s="113"/>
      <c r="Q512" s="9"/>
      <c r="R512" s="9"/>
      <c r="S512" s="9"/>
    </row>
    <row r="513" spans="1:19">
      <c r="A513" s="9"/>
      <c r="B513" s="113"/>
      <c r="C513" s="360" t="s">
        <v>1111</v>
      </c>
      <c r="D513" s="113"/>
      <c r="E513" s="113"/>
      <c r="F513" s="113"/>
      <c r="G513" s="113"/>
      <c r="H513" s="113"/>
      <c r="I513" s="113"/>
      <c r="J513" s="113"/>
      <c r="K513" s="113"/>
      <c r="L513" s="360"/>
      <c r="M513" s="113"/>
      <c r="N513" s="113"/>
      <c r="O513" s="113"/>
      <c r="P513" s="113"/>
      <c r="Q513" s="9"/>
      <c r="R513" s="9"/>
      <c r="S513" s="9"/>
    </row>
    <row r="514" spans="1:19">
      <c r="A514" s="9"/>
      <c r="B514" s="113"/>
      <c r="C514" s="360" t="s">
        <v>1112</v>
      </c>
      <c r="D514" s="113"/>
      <c r="E514" s="113"/>
      <c r="F514" s="113"/>
      <c r="G514" s="113"/>
      <c r="H514" s="113"/>
      <c r="I514" s="113"/>
      <c r="J514" s="113"/>
      <c r="K514" s="113"/>
      <c r="L514" s="360"/>
      <c r="M514" s="113"/>
      <c r="N514" s="113"/>
      <c r="O514" s="113"/>
      <c r="P514" s="113"/>
      <c r="Q514" s="9"/>
      <c r="R514" s="9"/>
      <c r="S514" s="9"/>
    </row>
    <row r="515" spans="1:19">
      <c r="A515" s="9"/>
      <c r="B515" s="113"/>
      <c r="C515" s="360" t="s">
        <v>3288</v>
      </c>
      <c r="D515" s="113"/>
      <c r="E515" s="113"/>
      <c r="F515" s="113"/>
      <c r="G515" s="113"/>
      <c r="H515" s="113"/>
      <c r="I515" s="113"/>
      <c r="J515" s="113"/>
      <c r="K515" s="113"/>
      <c r="L515" s="360"/>
      <c r="M515" s="113"/>
      <c r="N515" s="113"/>
      <c r="O515" s="113"/>
      <c r="P515" s="113"/>
      <c r="Q515" s="9"/>
      <c r="R515" s="9"/>
      <c r="S515" s="9"/>
    </row>
    <row r="516" spans="1:19">
      <c r="A516" s="9"/>
      <c r="B516" s="113"/>
      <c r="C516" s="360" t="s">
        <v>376</v>
      </c>
      <c r="D516" s="113"/>
      <c r="E516" s="113"/>
      <c r="F516" s="113"/>
      <c r="G516" s="113"/>
      <c r="H516" s="113"/>
      <c r="I516" s="113"/>
      <c r="J516" s="113"/>
      <c r="K516" s="113"/>
      <c r="L516" s="360"/>
      <c r="M516" s="113"/>
      <c r="N516" s="113"/>
      <c r="O516" s="113"/>
      <c r="P516" s="113"/>
      <c r="Q516" s="9"/>
      <c r="R516" s="9"/>
      <c r="S516" s="9"/>
    </row>
    <row r="517" spans="1:19">
      <c r="A517" s="9"/>
      <c r="B517" s="113"/>
      <c r="C517" s="207" t="s">
        <v>286</v>
      </c>
      <c r="D517" s="113"/>
      <c r="E517" s="113"/>
      <c r="F517" s="113"/>
      <c r="G517" s="113"/>
      <c r="H517" s="113"/>
      <c r="I517" s="113"/>
      <c r="J517" s="113"/>
      <c r="K517" s="113"/>
      <c r="L517" s="360"/>
      <c r="M517" s="113"/>
      <c r="N517" s="113"/>
      <c r="O517" s="113"/>
      <c r="P517" s="113"/>
      <c r="Q517" s="9"/>
      <c r="R517" s="9"/>
      <c r="S517" s="9"/>
    </row>
    <row r="518" spans="1:19">
      <c r="A518" s="9"/>
      <c r="B518" s="113"/>
      <c r="C518" s="207" t="s">
        <v>2879</v>
      </c>
      <c r="D518" s="113"/>
      <c r="E518" s="113"/>
      <c r="F518" s="113"/>
      <c r="G518" s="113"/>
      <c r="H518" s="113"/>
      <c r="I518" s="113"/>
      <c r="J518" s="113"/>
      <c r="K518" s="113"/>
      <c r="L518" s="113"/>
      <c r="M518" s="113"/>
      <c r="N518" s="113"/>
      <c r="O518" s="113"/>
      <c r="P518" s="113"/>
      <c r="Q518" s="9"/>
      <c r="R518" s="9"/>
      <c r="S518" s="9"/>
    </row>
    <row r="519" spans="1:19">
      <c r="A519" s="9"/>
      <c r="B519" s="113"/>
      <c r="C519" s="360" t="s">
        <v>1771</v>
      </c>
      <c r="D519" s="113"/>
      <c r="E519" s="113"/>
      <c r="F519" s="113"/>
      <c r="G519" s="113"/>
      <c r="H519" s="113"/>
      <c r="I519" s="113"/>
      <c r="J519" s="113"/>
      <c r="K519" s="113"/>
      <c r="L519" s="360"/>
      <c r="M519" s="113"/>
      <c r="N519" s="113"/>
      <c r="O519" s="113"/>
      <c r="P519" s="113"/>
      <c r="Q519" s="9"/>
      <c r="R519" s="9"/>
      <c r="S519" s="9"/>
    </row>
    <row r="520" spans="1:19">
      <c r="A520" s="9"/>
      <c r="B520" s="113"/>
      <c r="C520" s="207" t="s">
        <v>287</v>
      </c>
      <c r="D520" s="113"/>
      <c r="E520" s="113"/>
      <c r="F520" s="113"/>
      <c r="G520" s="113"/>
      <c r="H520" s="113"/>
      <c r="I520" s="113"/>
      <c r="J520" s="113"/>
      <c r="K520" s="113"/>
      <c r="L520" s="360"/>
      <c r="M520" s="113"/>
      <c r="N520" s="113"/>
      <c r="O520" s="113"/>
      <c r="P520" s="113"/>
      <c r="Q520" s="9"/>
      <c r="R520" s="9"/>
      <c r="S520" s="9"/>
    </row>
    <row r="521" spans="1:19">
      <c r="A521" s="9"/>
      <c r="B521" s="113"/>
      <c r="C521" s="207" t="s">
        <v>376</v>
      </c>
      <c r="D521" s="113"/>
      <c r="E521" s="113"/>
      <c r="F521" s="113"/>
      <c r="G521" s="113"/>
      <c r="H521" s="113"/>
      <c r="I521" s="113"/>
      <c r="J521" s="113"/>
      <c r="K521" s="113"/>
      <c r="L521" s="360"/>
      <c r="M521" s="113"/>
      <c r="N521" s="113"/>
      <c r="O521" s="113"/>
      <c r="P521" s="113"/>
      <c r="Q521" s="9"/>
      <c r="R521" s="9"/>
      <c r="S521" s="9"/>
    </row>
    <row r="522" spans="1:19">
      <c r="A522" s="9"/>
      <c r="B522" s="113"/>
      <c r="C522" s="207" t="s">
        <v>377</v>
      </c>
      <c r="D522" s="113"/>
      <c r="E522" s="113"/>
      <c r="F522" s="113"/>
      <c r="G522" s="113"/>
      <c r="H522" s="113"/>
      <c r="I522" s="113"/>
      <c r="J522" s="113"/>
      <c r="K522" s="113"/>
      <c r="L522" s="360"/>
      <c r="M522" s="113"/>
      <c r="N522" s="113"/>
      <c r="O522" s="113"/>
      <c r="P522" s="113"/>
      <c r="Q522" s="9"/>
      <c r="R522" s="9"/>
      <c r="S522" s="9"/>
    </row>
    <row r="523" spans="1:19">
      <c r="A523" s="9"/>
      <c r="B523" s="113"/>
      <c r="C523" s="207" t="s">
        <v>1004</v>
      </c>
      <c r="D523" s="113"/>
      <c r="E523" s="113"/>
      <c r="F523" s="113"/>
      <c r="G523" s="113"/>
      <c r="H523" s="113"/>
      <c r="I523" s="113"/>
      <c r="J523" s="113"/>
      <c r="K523" s="113"/>
      <c r="L523" s="113"/>
      <c r="M523" s="113"/>
      <c r="N523" s="113"/>
      <c r="O523" s="113"/>
      <c r="P523" s="113"/>
      <c r="Q523" s="9"/>
      <c r="R523" s="9"/>
      <c r="S523" s="9"/>
    </row>
    <row r="524" spans="1:19">
      <c r="A524" s="9"/>
      <c r="B524" s="113"/>
      <c r="C524" s="360" t="s">
        <v>3204</v>
      </c>
      <c r="D524" s="113"/>
      <c r="E524" s="113"/>
      <c r="F524" s="113"/>
      <c r="G524" s="113"/>
      <c r="H524" s="113"/>
      <c r="I524" s="113"/>
      <c r="J524" s="113"/>
      <c r="K524" s="113"/>
      <c r="L524" s="360"/>
      <c r="M524" s="113"/>
      <c r="N524" s="113"/>
      <c r="O524" s="113"/>
      <c r="P524" s="113"/>
      <c r="Q524" s="9"/>
      <c r="R524" s="9"/>
      <c r="S524" s="9"/>
    </row>
    <row r="525" spans="1:19">
      <c r="A525" s="9"/>
      <c r="B525" s="113"/>
      <c r="C525" s="207" t="s">
        <v>4012</v>
      </c>
      <c r="D525" s="113"/>
      <c r="E525" s="113"/>
      <c r="F525" s="113"/>
      <c r="G525" s="113"/>
      <c r="H525" s="113"/>
      <c r="I525" s="113"/>
      <c r="J525" s="113"/>
      <c r="K525" s="113"/>
      <c r="L525" s="360"/>
      <c r="M525" s="113"/>
      <c r="N525" s="113"/>
      <c r="O525" s="113"/>
      <c r="P525" s="113"/>
      <c r="Q525" s="9"/>
      <c r="R525" s="9"/>
      <c r="S525" s="9"/>
    </row>
    <row r="526" spans="1:19">
      <c r="A526" s="9"/>
      <c r="B526" s="113"/>
      <c r="C526" s="207" t="s">
        <v>2337</v>
      </c>
      <c r="D526" s="113"/>
      <c r="E526" s="113"/>
      <c r="F526" s="113"/>
      <c r="G526" s="113"/>
      <c r="H526" s="113"/>
      <c r="I526" s="113"/>
      <c r="J526" s="113"/>
      <c r="K526" s="113"/>
      <c r="L526" s="360"/>
      <c r="M526" s="113"/>
      <c r="N526" s="113"/>
      <c r="O526" s="113"/>
      <c r="P526" s="113"/>
      <c r="Q526" s="9"/>
      <c r="R526" s="9"/>
      <c r="S526" s="9"/>
    </row>
    <row r="527" spans="1:19">
      <c r="A527" s="9"/>
      <c r="B527" s="113"/>
      <c r="C527" s="207" t="s">
        <v>2626</v>
      </c>
      <c r="D527" s="113"/>
      <c r="E527" s="113"/>
      <c r="F527" s="113"/>
      <c r="G527" s="113"/>
      <c r="H527" s="113"/>
      <c r="I527" s="113"/>
      <c r="J527" s="113"/>
      <c r="K527" s="367" t="s">
        <v>807</v>
      </c>
      <c r="L527" s="360"/>
      <c r="M527" s="113"/>
      <c r="N527" s="113"/>
      <c r="O527" s="113"/>
      <c r="P527" s="113"/>
      <c r="Q527" s="9"/>
      <c r="R527" s="9"/>
      <c r="S527" s="9"/>
    </row>
    <row r="528" spans="1:19">
      <c r="A528" s="9"/>
      <c r="B528" s="113"/>
      <c r="C528" s="207" t="s">
        <v>2399</v>
      </c>
      <c r="D528" s="113"/>
      <c r="E528" s="113"/>
      <c r="F528" s="113"/>
      <c r="G528" s="113"/>
      <c r="H528" s="113"/>
      <c r="I528" s="113"/>
      <c r="J528" s="113"/>
      <c r="K528" s="113" t="s">
        <v>1730</v>
      </c>
      <c r="L528" s="360"/>
      <c r="M528" s="113"/>
      <c r="N528" s="113"/>
      <c r="O528" s="113"/>
      <c r="P528" s="113"/>
      <c r="Q528" s="9"/>
      <c r="R528" s="9"/>
      <c r="S528" s="9"/>
    </row>
    <row r="529" spans="1:19">
      <c r="A529" s="9"/>
      <c r="B529" s="113"/>
      <c r="C529" s="207" t="s">
        <v>1345</v>
      </c>
      <c r="D529" s="113"/>
      <c r="E529" s="113"/>
      <c r="F529" s="113"/>
      <c r="G529" s="113"/>
      <c r="H529" s="113"/>
      <c r="I529" s="113"/>
      <c r="J529" s="113"/>
      <c r="K529" s="113" t="s">
        <v>1806</v>
      </c>
      <c r="L529" s="113"/>
      <c r="M529" s="113"/>
      <c r="N529" s="113"/>
      <c r="O529" s="113"/>
      <c r="P529" s="113"/>
      <c r="Q529" s="9"/>
      <c r="R529" s="9"/>
      <c r="S529" s="9"/>
    </row>
    <row r="530" spans="1:19">
      <c r="A530" s="9"/>
      <c r="B530" s="113"/>
      <c r="C530" s="360" t="s">
        <v>2125</v>
      </c>
      <c r="D530" s="113"/>
      <c r="E530" s="113"/>
      <c r="F530" s="113"/>
      <c r="G530" s="113"/>
      <c r="H530" s="113"/>
      <c r="I530" s="113"/>
      <c r="J530" s="113"/>
      <c r="K530" s="113" t="s">
        <v>3584</v>
      </c>
      <c r="L530" s="113"/>
      <c r="M530" s="113"/>
      <c r="N530" s="113"/>
      <c r="O530" s="113"/>
      <c r="P530" s="113"/>
      <c r="Q530" s="9"/>
      <c r="R530" s="9"/>
      <c r="S530" s="9"/>
    </row>
    <row r="531" spans="1:19">
      <c r="A531" s="9"/>
      <c r="B531" s="113"/>
      <c r="C531" s="113"/>
      <c r="D531" s="113"/>
      <c r="E531" s="113"/>
      <c r="F531" s="113"/>
      <c r="G531" s="113"/>
      <c r="H531" s="113"/>
      <c r="I531" s="113"/>
      <c r="J531" s="113"/>
      <c r="K531" s="113" t="s">
        <v>1731</v>
      </c>
      <c r="L531" s="113"/>
      <c r="M531" s="113"/>
      <c r="N531" s="113"/>
      <c r="O531" s="113"/>
      <c r="P531" s="113"/>
      <c r="Q531" s="9"/>
      <c r="R531" s="9"/>
      <c r="S531" s="9"/>
    </row>
    <row r="532" spans="1:19">
      <c r="A532" s="9"/>
      <c r="B532" s="113"/>
      <c r="C532" s="366" t="s">
        <v>458</v>
      </c>
      <c r="D532" s="113"/>
      <c r="E532" s="113"/>
      <c r="F532" s="113"/>
      <c r="G532" s="113"/>
      <c r="H532" s="113"/>
      <c r="I532" s="113"/>
      <c r="J532" s="113"/>
      <c r="K532" s="367" t="s">
        <v>3583</v>
      </c>
      <c r="L532" s="113"/>
      <c r="M532" s="113"/>
      <c r="N532" s="113"/>
      <c r="O532" s="113"/>
      <c r="P532" s="113"/>
      <c r="Q532" s="9"/>
      <c r="R532" s="9"/>
      <c r="S532" s="9"/>
    </row>
    <row r="533" spans="1:19">
      <c r="A533" s="9"/>
      <c r="B533" s="113"/>
      <c r="C533" s="113" t="s">
        <v>1732</v>
      </c>
      <c r="D533" s="113"/>
      <c r="E533" s="113"/>
      <c r="F533" s="113"/>
      <c r="G533" s="113"/>
      <c r="H533" s="113"/>
      <c r="I533" s="113"/>
      <c r="J533" s="113"/>
      <c r="K533" s="113" t="s">
        <v>3553</v>
      </c>
      <c r="L533" s="113"/>
      <c r="M533" s="113"/>
      <c r="N533" s="113"/>
      <c r="O533" s="113"/>
      <c r="P533" s="113"/>
      <c r="Q533" s="9"/>
      <c r="R533" s="9"/>
      <c r="S533" s="9"/>
    </row>
    <row r="534" spans="1:19">
      <c r="A534" s="9"/>
      <c r="B534" s="113"/>
      <c r="C534" s="113" t="s">
        <v>465</v>
      </c>
      <c r="D534" s="113"/>
      <c r="E534" s="113"/>
      <c r="F534" s="113"/>
      <c r="G534" s="113"/>
      <c r="H534" s="113"/>
      <c r="I534" s="113"/>
      <c r="J534" s="113"/>
      <c r="K534" s="209" t="s">
        <v>2206</v>
      </c>
      <c r="L534" s="113"/>
      <c r="M534" s="113"/>
      <c r="N534" s="113"/>
      <c r="O534" s="113"/>
      <c r="P534" s="113"/>
      <c r="Q534" s="9"/>
      <c r="R534" s="9"/>
      <c r="S534" s="9"/>
    </row>
    <row r="535" spans="1:19">
      <c r="A535" s="9"/>
      <c r="B535" s="113"/>
      <c r="C535" s="113" t="s">
        <v>2332</v>
      </c>
      <c r="D535" s="113"/>
      <c r="E535" s="113"/>
      <c r="F535" s="113"/>
      <c r="G535" s="113"/>
      <c r="H535" s="113"/>
      <c r="I535" s="113"/>
      <c r="J535" s="113"/>
      <c r="K535" s="209" t="s">
        <v>1781</v>
      </c>
      <c r="L535" s="113"/>
      <c r="M535" s="113"/>
      <c r="N535" s="113"/>
      <c r="O535" s="113"/>
      <c r="P535" s="113"/>
      <c r="Q535" s="9"/>
      <c r="R535" s="9"/>
      <c r="S535" s="9"/>
    </row>
    <row r="536" spans="1:19">
      <c r="A536" s="9"/>
      <c r="B536" s="113"/>
      <c r="C536" s="113" t="s">
        <v>3432</v>
      </c>
      <c r="D536" s="113"/>
      <c r="E536" s="113"/>
      <c r="F536" s="113"/>
      <c r="G536" s="113"/>
      <c r="H536" s="113"/>
      <c r="I536" s="113"/>
      <c r="J536" s="113"/>
      <c r="K536" s="209" t="s">
        <v>1864</v>
      </c>
      <c r="L536" s="113"/>
      <c r="M536" s="113"/>
      <c r="N536" s="113"/>
      <c r="O536" s="113"/>
      <c r="P536" s="113"/>
      <c r="Q536" s="9"/>
      <c r="R536" s="9"/>
      <c r="S536" s="9"/>
    </row>
    <row r="537" spans="1:19">
      <c r="A537" s="9"/>
      <c r="B537" s="113"/>
      <c r="C537" s="113" t="s">
        <v>464</v>
      </c>
      <c r="D537" s="113"/>
      <c r="E537" s="113"/>
      <c r="F537" s="113"/>
      <c r="G537" s="113"/>
      <c r="H537" s="113"/>
      <c r="I537" s="113"/>
      <c r="J537" s="113"/>
      <c r="K537" s="209" t="s">
        <v>1962</v>
      </c>
      <c r="L537" s="113"/>
      <c r="M537" s="113"/>
      <c r="N537" s="113"/>
      <c r="O537" s="113"/>
      <c r="P537" s="113"/>
      <c r="Q537" s="9"/>
      <c r="R537" s="9"/>
      <c r="S537" s="9"/>
    </row>
    <row r="538" spans="1:19">
      <c r="A538" s="9"/>
      <c r="B538" s="113"/>
      <c r="C538" s="209"/>
      <c r="D538" s="113"/>
      <c r="E538" s="113"/>
      <c r="F538" s="113"/>
      <c r="G538" s="113"/>
      <c r="H538" s="113"/>
      <c r="I538" s="113"/>
      <c r="J538" s="113"/>
      <c r="K538" s="367" t="s">
        <v>3252</v>
      </c>
      <c r="L538" s="113"/>
      <c r="M538" s="113"/>
      <c r="N538" s="113"/>
      <c r="O538" s="113"/>
      <c r="P538" s="113"/>
      <c r="Q538" s="9"/>
      <c r="R538" s="9"/>
      <c r="S538" s="9"/>
    </row>
    <row r="539" spans="1:19">
      <c r="A539" s="9"/>
      <c r="B539" s="113"/>
      <c r="C539" s="209"/>
      <c r="D539" s="113"/>
      <c r="E539" s="113"/>
      <c r="F539" s="113"/>
      <c r="G539" s="113"/>
      <c r="H539" s="113"/>
      <c r="I539" s="113"/>
      <c r="J539" s="113"/>
      <c r="K539" s="113" t="s">
        <v>1921</v>
      </c>
      <c r="L539" s="113"/>
      <c r="M539" s="113"/>
      <c r="N539" s="113"/>
      <c r="O539" s="113"/>
      <c r="P539" s="113"/>
      <c r="Q539" s="9"/>
      <c r="R539" s="9"/>
      <c r="S539" s="9"/>
    </row>
    <row r="540" spans="1:19">
      <c r="A540" s="9"/>
      <c r="B540" s="113"/>
      <c r="C540" s="113"/>
      <c r="D540" s="113"/>
      <c r="E540" s="113"/>
      <c r="F540" s="113"/>
      <c r="G540" s="113"/>
      <c r="H540" s="113"/>
      <c r="I540" s="113"/>
      <c r="J540" s="113"/>
      <c r="K540" s="113" t="s">
        <v>2917</v>
      </c>
      <c r="L540" s="113"/>
      <c r="M540" s="113"/>
      <c r="N540" s="113"/>
      <c r="O540" s="113"/>
      <c r="P540" s="113"/>
      <c r="Q540" s="9"/>
      <c r="R540" s="9"/>
      <c r="S540" s="9"/>
    </row>
    <row r="541" spans="1:19">
      <c r="A541" s="9"/>
      <c r="B541" s="113"/>
      <c r="C541" s="113"/>
      <c r="D541" s="113"/>
      <c r="E541" s="113"/>
      <c r="F541" s="113"/>
      <c r="G541" s="113"/>
      <c r="H541" s="113"/>
      <c r="I541" s="113"/>
      <c r="J541" s="113"/>
      <c r="K541" s="113" t="s">
        <v>1782</v>
      </c>
      <c r="L541" s="113"/>
      <c r="M541" s="113"/>
      <c r="N541" s="113"/>
      <c r="O541" s="113"/>
      <c r="P541" s="113"/>
      <c r="Q541" s="9"/>
      <c r="R541" s="9"/>
      <c r="S541" s="9"/>
    </row>
    <row r="542" spans="1:19">
      <c r="A542" s="9"/>
      <c r="B542" s="113"/>
      <c r="C542" s="113"/>
      <c r="D542" s="113"/>
      <c r="E542" s="113"/>
      <c r="F542" s="113"/>
      <c r="G542" s="113"/>
      <c r="H542" s="113"/>
      <c r="I542" s="113"/>
      <c r="J542" s="113"/>
      <c r="K542" s="113" t="s">
        <v>2918</v>
      </c>
      <c r="L542" s="113"/>
      <c r="M542" s="113"/>
      <c r="N542" s="113"/>
      <c r="O542" s="113"/>
      <c r="P542" s="113"/>
      <c r="Q542" s="9"/>
      <c r="R542" s="9"/>
      <c r="S542" s="9"/>
    </row>
    <row r="543" spans="1:19">
      <c r="A543" s="9"/>
      <c r="B543" s="113"/>
      <c r="C543" s="113"/>
      <c r="D543" s="113"/>
      <c r="E543" s="113"/>
      <c r="F543" s="113"/>
      <c r="G543" s="113"/>
      <c r="H543" s="113"/>
      <c r="I543" s="113"/>
      <c r="J543" s="113"/>
      <c r="K543" s="113" t="s">
        <v>3603</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1861</v>
      </c>
      <c r="D545" s="113"/>
      <c r="E545" s="113"/>
      <c r="F545" s="113"/>
      <c r="G545" s="113"/>
      <c r="H545" s="113"/>
      <c r="I545" s="113"/>
      <c r="J545" s="113"/>
      <c r="K545" s="366" t="s">
        <v>1862</v>
      </c>
      <c r="L545" s="113"/>
      <c r="M545" s="113"/>
      <c r="N545" s="113"/>
      <c r="O545" s="113"/>
      <c r="P545" s="113"/>
      <c r="Q545" s="9"/>
      <c r="R545" s="9"/>
      <c r="S545" s="9"/>
    </row>
    <row r="546" spans="1:19">
      <c r="A546" s="9"/>
      <c r="B546" s="113"/>
      <c r="C546" s="113" t="s">
        <v>1969</v>
      </c>
      <c r="D546" s="113"/>
      <c r="E546" s="113"/>
      <c r="F546" s="113"/>
      <c r="G546" s="113"/>
      <c r="H546" s="113"/>
      <c r="I546" s="113"/>
      <c r="J546" s="113"/>
      <c r="K546" s="113" t="s">
        <v>1969</v>
      </c>
      <c r="L546" s="113"/>
      <c r="M546" s="113"/>
      <c r="N546" s="113"/>
      <c r="O546" s="113"/>
      <c r="P546" s="113"/>
      <c r="Q546" s="9"/>
      <c r="R546" s="9"/>
      <c r="S546" s="9"/>
    </row>
    <row r="547" spans="1:19">
      <c r="A547" s="9"/>
      <c r="B547" s="113"/>
      <c r="C547" s="113" t="s">
        <v>3353</v>
      </c>
      <c r="D547" s="113"/>
      <c r="E547" s="113"/>
      <c r="F547" s="113"/>
      <c r="G547" s="113"/>
      <c r="H547" s="113"/>
      <c r="I547" s="113"/>
      <c r="J547" s="113"/>
      <c r="K547" s="113" t="s">
        <v>516</v>
      </c>
      <c r="L547" s="113"/>
      <c r="M547" s="113"/>
      <c r="N547" s="113"/>
      <c r="O547" s="113"/>
      <c r="P547" s="113"/>
      <c r="Q547" s="9"/>
      <c r="R547" s="9"/>
      <c r="S547" s="9"/>
    </row>
    <row r="548" spans="1:19">
      <c r="A548" s="9"/>
      <c r="B548" s="113"/>
      <c r="C548" s="113" t="s">
        <v>3942</v>
      </c>
      <c r="D548" s="113"/>
      <c r="E548" s="113"/>
      <c r="F548" s="113"/>
      <c r="G548" s="113"/>
      <c r="H548" s="113"/>
      <c r="I548" s="113"/>
      <c r="J548" s="113"/>
      <c r="K548" s="113" t="s">
        <v>765</v>
      </c>
      <c r="L548" s="113"/>
      <c r="M548" s="113"/>
      <c r="N548" s="113"/>
      <c r="O548" s="113"/>
      <c r="P548" s="113"/>
      <c r="Q548" s="9"/>
      <c r="R548" s="9"/>
      <c r="S548" s="9"/>
    </row>
    <row r="549" spans="1:19">
      <c r="A549" s="9"/>
      <c r="B549" s="113"/>
      <c r="C549" s="113" t="s">
        <v>3354</v>
      </c>
      <c r="D549" s="113"/>
      <c r="E549" s="113"/>
      <c r="F549" s="113"/>
      <c r="G549" s="113"/>
      <c r="H549" s="113"/>
      <c r="I549" s="113"/>
      <c r="J549" s="113"/>
      <c r="K549" s="113" t="s">
        <v>3802</v>
      </c>
      <c r="L549" s="113"/>
      <c r="M549" s="113"/>
      <c r="N549" s="113"/>
      <c r="O549" s="113"/>
      <c r="P549" s="113"/>
      <c r="Q549" s="9"/>
      <c r="R549" s="9"/>
      <c r="S549" s="9"/>
    </row>
    <row r="550" spans="1:19">
      <c r="A550" s="9"/>
      <c r="B550" s="113"/>
      <c r="C550" s="113" t="s">
        <v>3256</v>
      </c>
      <c r="D550" s="113"/>
      <c r="E550" s="113"/>
      <c r="F550" s="113"/>
      <c r="G550" s="113"/>
      <c r="H550" s="113"/>
      <c r="I550" s="113"/>
      <c r="J550" s="113"/>
      <c r="K550" s="113" t="s">
        <v>3230</v>
      </c>
      <c r="L550" s="113"/>
      <c r="M550" s="113"/>
      <c r="N550" s="113"/>
      <c r="O550" s="113"/>
      <c r="P550" s="113"/>
      <c r="Q550" s="9"/>
      <c r="R550" s="9"/>
      <c r="S550" s="9"/>
    </row>
    <row r="551" spans="1:19">
      <c r="A551" s="9"/>
      <c r="B551" s="113"/>
      <c r="C551" s="113" t="s">
        <v>981</v>
      </c>
      <c r="D551" s="113"/>
      <c r="E551" s="113"/>
      <c r="F551" s="113"/>
      <c r="G551" s="113"/>
      <c r="H551" s="113"/>
      <c r="I551" s="113"/>
      <c r="J551" s="113"/>
      <c r="K551" s="113" t="s">
        <v>3890</v>
      </c>
      <c r="L551" s="113"/>
      <c r="M551" s="113"/>
      <c r="N551" s="113"/>
      <c r="O551" s="113"/>
      <c r="P551" s="113"/>
      <c r="Q551" s="9"/>
      <c r="R551" s="9"/>
      <c r="S551" s="9"/>
    </row>
    <row r="552" spans="1:19">
      <c r="A552" s="9"/>
      <c r="B552" s="113"/>
      <c r="C552" s="113" t="s">
        <v>3341</v>
      </c>
      <c r="D552" s="113"/>
      <c r="E552" s="113"/>
      <c r="F552" s="113"/>
      <c r="G552" s="113"/>
      <c r="H552" s="113"/>
      <c r="I552" s="113"/>
      <c r="J552" s="113"/>
      <c r="K552" s="113" t="s">
        <v>185</v>
      </c>
      <c r="L552" s="113"/>
      <c r="M552" s="113"/>
      <c r="N552" s="113"/>
      <c r="O552" s="113"/>
      <c r="P552" s="113"/>
      <c r="Q552" s="9"/>
      <c r="R552" s="9"/>
      <c r="S552" s="9"/>
    </row>
    <row r="553" spans="1:19">
      <c r="A553" s="9"/>
      <c r="B553" s="113"/>
      <c r="C553" s="359" t="s">
        <v>114</v>
      </c>
      <c r="D553" s="113"/>
      <c r="E553" s="113"/>
      <c r="F553" s="113"/>
      <c r="G553" s="113"/>
      <c r="H553" s="113"/>
      <c r="I553" s="113"/>
      <c r="J553" s="113"/>
      <c r="K553" s="113" t="s">
        <v>2881</v>
      </c>
      <c r="L553" s="113"/>
      <c r="M553" s="113"/>
      <c r="N553" s="113"/>
      <c r="O553" s="113"/>
      <c r="P553" s="113"/>
      <c r="Q553" s="9"/>
      <c r="R553" s="9"/>
      <c r="S553" s="9"/>
    </row>
    <row r="554" spans="1:19">
      <c r="A554" s="9"/>
      <c r="B554" s="113"/>
      <c r="C554" s="113"/>
      <c r="D554" s="113"/>
      <c r="E554" s="113"/>
      <c r="F554" s="113"/>
      <c r="G554" s="113"/>
      <c r="H554" s="113"/>
      <c r="I554" s="113"/>
      <c r="J554" s="113"/>
      <c r="K554" s="113" t="s">
        <v>3891</v>
      </c>
      <c r="L554" s="113"/>
      <c r="M554" s="113"/>
      <c r="N554" s="113"/>
      <c r="O554" s="113"/>
      <c r="P554" s="113"/>
      <c r="Q554" s="9"/>
      <c r="R554" s="9"/>
      <c r="S554" s="9"/>
    </row>
    <row r="555" spans="1:19">
      <c r="A555" s="9"/>
      <c r="B555" s="113"/>
      <c r="C555" s="113"/>
      <c r="D555" s="113"/>
      <c r="E555" s="113"/>
      <c r="F555" s="113"/>
      <c r="G555" s="113"/>
      <c r="H555" s="113"/>
      <c r="I555" s="113"/>
      <c r="J555" s="113"/>
      <c r="K555" s="113" t="s">
        <v>2032</v>
      </c>
      <c r="L555" s="113"/>
      <c r="M555" s="113"/>
      <c r="N555" s="113"/>
      <c r="O555" s="113"/>
      <c r="P555" s="113"/>
      <c r="Q555" s="9"/>
      <c r="R555" s="9"/>
      <c r="S555" s="9"/>
    </row>
    <row r="556" spans="1:19">
      <c r="A556" s="9"/>
      <c r="B556" s="113"/>
      <c r="C556" s="113"/>
      <c r="D556" s="113"/>
      <c r="E556" s="113"/>
      <c r="F556" s="113"/>
      <c r="G556" s="113"/>
      <c r="H556" s="113"/>
      <c r="I556" s="113"/>
      <c r="J556" s="113"/>
      <c r="K556" s="113" t="s">
        <v>2873</v>
      </c>
      <c r="L556" s="113"/>
      <c r="M556" s="113"/>
      <c r="N556" s="113"/>
      <c r="O556" s="113"/>
      <c r="P556" s="113"/>
      <c r="Q556" s="9"/>
      <c r="R556" s="9"/>
      <c r="S556" s="9"/>
    </row>
    <row r="557" spans="1:19">
      <c r="A557" s="9"/>
      <c r="B557" s="113"/>
      <c r="C557" s="113"/>
      <c r="D557" s="113"/>
      <c r="E557" s="113"/>
      <c r="F557" s="113"/>
      <c r="G557" s="113"/>
      <c r="H557" s="113"/>
      <c r="I557" s="113"/>
      <c r="J557" s="113"/>
      <c r="K557" s="113" t="s">
        <v>980</v>
      </c>
      <c r="L557" s="113"/>
      <c r="M557" s="113"/>
      <c r="N557" s="113"/>
      <c r="O557" s="113"/>
      <c r="P557" s="113"/>
      <c r="Q557" s="9"/>
      <c r="R557" s="9"/>
      <c r="S557" s="9"/>
    </row>
    <row r="558" spans="1:19">
      <c r="A558" s="9"/>
      <c r="B558" s="113"/>
      <c r="C558" s="113"/>
      <c r="D558" s="113"/>
      <c r="E558" s="113"/>
      <c r="F558" s="113"/>
      <c r="G558" s="113"/>
      <c r="H558" s="113"/>
      <c r="I558" s="113"/>
      <c r="J558" s="113"/>
      <c r="K558" s="113" t="s">
        <v>2874</v>
      </c>
      <c r="L558" s="113"/>
      <c r="M558" s="113"/>
      <c r="N558" s="113"/>
      <c r="O558" s="113"/>
      <c r="P558" s="113"/>
      <c r="Q558" s="9"/>
      <c r="R558" s="9"/>
      <c r="S558" s="9"/>
    </row>
    <row r="559" spans="1:19">
      <c r="A559" s="9"/>
      <c r="B559" s="113"/>
      <c r="C559" s="113"/>
      <c r="D559" s="113"/>
      <c r="E559" s="113"/>
      <c r="F559" s="113"/>
      <c r="G559" s="113"/>
      <c r="H559" s="113"/>
      <c r="I559" s="113"/>
      <c r="J559" s="113"/>
      <c r="K559" s="113" t="s">
        <v>1077</v>
      </c>
      <c r="L559" s="113"/>
      <c r="M559" s="113"/>
      <c r="N559" s="113"/>
      <c r="O559" s="113"/>
      <c r="P559" s="113"/>
      <c r="Q559" s="9"/>
      <c r="R559" s="9"/>
      <c r="S559" s="9"/>
    </row>
    <row r="560" spans="1:19">
      <c r="A560" s="9"/>
      <c r="B560" s="113"/>
      <c r="C560" s="113"/>
      <c r="D560" s="113"/>
      <c r="E560" s="113"/>
      <c r="F560" s="113"/>
      <c r="G560" s="113"/>
      <c r="H560" s="113"/>
      <c r="I560" s="113"/>
      <c r="J560" s="113"/>
      <c r="K560" s="113" t="s">
        <v>515</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3261</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mergeCells count="273">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18:Q418"/>
    <mergeCell ref="H411:O411"/>
    <mergeCell ref="C400:N400"/>
    <mergeCell ref="C390:N390"/>
    <mergeCell ref="P395:Q395"/>
    <mergeCell ref="P367:Q367"/>
    <mergeCell ref="A416:Q416"/>
    <mergeCell ref="A413:Q413"/>
    <mergeCell ref="P389:Q389"/>
    <mergeCell ref="B395:G395"/>
    <mergeCell ref="K393:Q39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J47:L47"/>
    <mergeCell ref="C53:M53"/>
    <mergeCell ref="A60:Q60"/>
    <mergeCell ref="P65:Q65"/>
    <mergeCell ref="A63:Q63"/>
    <mergeCell ref="A59:Q59"/>
    <mergeCell ref="K49:Q49"/>
    <mergeCell ref="L57:P57"/>
    <mergeCell ref="P51:Q51"/>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paperSize="0" scale="91" fitToHeight="0" orientation="landscape" horizontalDpi="4294967292" verticalDpi="4294967292"/>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sheetPr codeName="Sheet1" enableFormatConditionsCalculation="0">
    <pageSetUpPr fitToPage="1"/>
  </sheetPr>
  <dimension ref="A1:S370"/>
  <sheetViews>
    <sheetView showGridLines="0" topLeftCell="A197" zoomScaleNormal="90" zoomScalePageLayoutView="90" workbookViewId="0">
      <selection activeCell="A14" sqref="A14:P14"/>
    </sheetView>
  </sheetViews>
  <sheetFormatPr defaultColWidth="9.140625" defaultRowHeight="12.75"/>
  <cols>
    <col min="1" max="1" width="3.140625" style="31" customWidth="1"/>
    <col min="2" max="2" width="3" style="31" customWidth="1"/>
    <col min="3" max="3" width="10.42578125" style="31" customWidth="1"/>
    <col min="4" max="4" width="10.140625" style="31" customWidth="1"/>
    <col min="5" max="5" width="6.28515625" style="31" customWidth="1"/>
    <col min="6" max="6" width="9.140625" style="31" customWidth="1"/>
    <col min="7" max="9" width="11.42578125" style="31" customWidth="1"/>
    <col min="10" max="10" width="9.140625" style="31" customWidth="1"/>
    <col min="11" max="11" width="11.7109375" style="31" customWidth="1"/>
    <col min="12" max="12" width="14.7109375" style="31" customWidth="1"/>
    <col min="13" max="13" width="6.7109375" style="31" customWidth="1"/>
    <col min="14" max="14" width="2.7109375" style="95" customWidth="1"/>
    <col min="15" max="16" width="5.42578125" style="736" customWidth="1"/>
    <col min="17" max="20" width="9.140625" style="31" customWidth="1"/>
    <col min="21" max="21" width="8.42578125" style="31" customWidth="1"/>
    <col min="22" max="23" width="9.140625" style="31" customWidth="1"/>
    <col min="24" max="24" width="8.7109375" style="31" customWidth="1"/>
    <col min="25" max="16384" width="9.140625" style="31"/>
  </cols>
  <sheetData>
    <row r="1" spans="1:19" s="45" customFormat="1" ht="13.9" customHeight="1">
      <c r="A1" s="887" t="str">
        <f>CONCATENATE("PART NINE - SCORING CRITERIA","  -  ",'Part I-Project Information'!$O$4," ",'Part I-Project Information'!$F$22,", ",'Part I-Project Information'!F24,", ",'Part I-Project Information'!J25," County")</f>
        <v>PART NINE - SCORING CRITERIA  -  2011-028 Endeavor Pointe, LaFayette, Walker County</v>
      </c>
      <c r="B1" s="888"/>
      <c r="C1" s="888"/>
      <c r="D1" s="888"/>
      <c r="E1" s="888"/>
      <c r="F1" s="888"/>
      <c r="G1" s="888"/>
      <c r="H1" s="888"/>
      <c r="I1" s="888"/>
      <c r="J1" s="888"/>
      <c r="K1" s="888"/>
      <c r="L1" s="888"/>
      <c r="M1" s="888"/>
      <c r="N1" s="888"/>
      <c r="O1" s="888"/>
      <c r="P1" s="889"/>
    </row>
    <row r="2" spans="1:19" s="45" customFormat="1" ht="4.1500000000000004" customHeight="1">
      <c r="A2" s="46"/>
      <c r="B2" s="46"/>
      <c r="C2" s="47"/>
      <c r="D2" s="46"/>
      <c r="E2" s="46"/>
      <c r="F2" s="46"/>
      <c r="G2" s="46"/>
      <c r="H2" s="46"/>
      <c r="I2" s="46"/>
      <c r="J2" s="46"/>
      <c r="K2" s="46"/>
      <c r="L2" s="46"/>
      <c r="M2" s="48"/>
      <c r="N2" s="92"/>
      <c r="O2" s="3"/>
      <c r="P2" s="3"/>
    </row>
    <row r="3" spans="1:19" s="45" customFormat="1" ht="12.4" customHeight="1">
      <c r="A3" s="52"/>
      <c r="B3" s="46"/>
      <c r="C3" s="46"/>
      <c r="D3" s="46"/>
      <c r="E3" s="46"/>
      <c r="F3" s="46"/>
      <c r="G3" s="46"/>
      <c r="H3" s="46"/>
      <c r="I3" s="46"/>
      <c r="J3" s="46"/>
      <c r="K3" s="52"/>
      <c r="M3" s="124" t="s">
        <v>3436</v>
      </c>
      <c r="N3" s="93"/>
      <c r="O3" s="114" t="s">
        <v>3435</v>
      </c>
      <c r="P3" s="247" t="s">
        <v>583</v>
      </c>
    </row>
    <row r="4" spans="1:19" s="54" customFormat="1" ht="12.4" customHeight="1">
      <c r="A4" s="52"/>
      <c r="B4" s="52"/>
      <c r="C4" s="52"/>
      <c r="D4" s="52"/>
      <c r="E4" s="52"/>
      <c r="F4" s="52"/>
      <c r="G4" s="52"/>
      <c r="H4" s="52"/>
      <c r="I4" s="52"/>
      <c r="J4" s="52"/>
      <c r="K4" s="52"/>
      <c r="M4" s="249" t="s">
        <v>237</v>
      </c>
      <c r="N4" s="116"/>
      <c r="O4" s="248" t="s">
        <v>3436</v>
      </c>
      <c r="P4" s="115" t="s">
        <v>3436</v>
      </c>
    </row>
    <row r="5" spans="1:19" s="54" customFormat="1" ht="3" customHeight="1">
      <c r="A5" s="52"/>
      <c r="B5" s="52"/>
      <c r="C5" s="52"/>
      <c r="D5" s="52"/>
      <c r="E5" s="52"/>
      <c r="F5" s="52"/>
      <c r="G5" s="52"/>
      <c r="H5" s="52"/>
      <c r="I5" s="52"/>
      <c r="J5" s="52"/>
      <c r="K5" s="52"/>
      <c r="M5" s="124"/>
      <c r="N5" s="11"/>
      <c r="O5" s="1"/>
      <c r="P5" s="36"/>
    </row>
    <row r="6" spans="1:19" s="54" customFormat="1" ht="12.4" customHeight="1">
      <c r="A6" s="52"/>
      <c r="B6" s="60"/>
      <c r="C6" s="52"/>
      <c r="D6" s="52"/>
      <c r="E6" s="52"/>
      <c r="F6" s="52"/>
      <c r="G6" s="52"/>
      <c r="I6" s="52"/>
      <c r="J6" s="52"/>
      <c r="L6" s="275" t="s">
        <v>1874</v>
      </c>
      <c r="M6" s="390">
        <v>90</v>
      </c>
      <c r="N6" s="10"/>
      <c r="O6" s="81">
        <f>O294</f>
        <v>57</v>
      </c>
      <c r="P6" s="81">
        <f>P294</f>
        <v>13</v>
      </c>
    </row>
    <row r="7" spans="1:19" s="54" customFormat="1" ht="3" customHeight="1">
      <c r="A7" s="52"/>
      <c r="B7" s="60"/>
      <c r="C7" s="52"/>
      <c r="D7" s="52"/>
      <c r="E7" s="52"/>
      <c r="F7" s="52"/>
      <c r="G7" s="52"/>
      <c r="H7" s="52"/>
      <c r="I7" s="52"/>
      <c r="J7" s="52"/>
      <c r="K7" s="52"/>
      <c r="M7" s="124"/>
      <c r="N7" s="11"/>
      <c r="O7" s="1"/>
      <c r="P7" s="36"/>
    </row>
    <row r="8" spans="1:19" s="52" customFormat="1" ht="12.4" customHeight="1">
      <c r="A8" s="210" t="s">
        <v>3113</v>
      </c>
      <c r="B8" s="143" t="s">
        <v>1702</v>
      </c>
      <c r="C8" s="5"/>
      <c r="D8" s="5"/>
      <c r="E8" s="5"/>
      <c r="F8" s="11"/>
      <c r="H8" s="59" t="s">
        <v>2637</v>
      </c>
      <c r="M8" s="3">
        <v>10</v>
      </c>
      <c r="N8" s="144"/>
      <c r="O8" s="81">
        <f>MIN($M8, $M8-O10-O11-O12)</f>
        <v>10</v>
      </c>
      <c r="P8" s="81">
        <f>MIN($M8, $M8-P10-P11-P12)</f>
        <v>10</v>
      </c>
      <c r="Q8" s="146" t="s">
        <v>651</v>
      </c>
    </row>
    <row r="9" spans="1:19" s="53" customFormat="1" ht="3.4" customHeight="1">
      <c r="A9" s="52"/>
      <c r="B9" s="80"/>
      <c r="C9" s="46"/>
      <c r="D9" s="58"/>
      <c r="E9" s="58"/>
      <c r="F9" s="66"/>
      <c r="G9" s="58"/>
      <c r="H9" s="58"/>
      <c r="I9" s="58"/>
      <c r="J9" s="58"/>
      <c r="K9" s="58"/>
      <c r="L9" s="52"/>
      <c r="M9" s="56"/>
      <c r="N9" s="77"/>
      <c r="O9" s="4"/>
      <c r="P9" s="1"/>
      <c r="R9" s="52"/>
      <c r="S9" s="52"/>
    </row>
    <row r="10" spans="1:19" s="52" customFormat="1" ht="11.25" customHeight="1">
      <c r="A10" s="257" t="s">
        <v>3000</v>
      </c>
      <c r="B10" s="238" t="s">
        <v>3091</v>
      </c>
      <c r="D10" s="58"/>
      <c r="E10" s="58"/>
      <c r="F10" s="711" t="s">
        <v>3898</v>
      </c>
      <c r="G10" s="40">
        <f>F17</f>
        <v>0</v>
      </c>
      <c r="H10" s="246" t="s">
        <v>365</v>
      </c>
      <c r="M10" s="7">
        <v>7</v>
      </c>
      <c r="N10" s="82" t="s">
        <v>3000</v>
      </c>
      <c r="O10" s="1151"/>
      <c r="P10" s="69"/>
    </row>
    <row r="11" spans="1:19" s="52" customFormat="1" ht="11.25" customHeight="1">
      <c r="A11" s="257" t="s">
        <v>3112</v>
      </c>
      <c r="B11" s="238" t="s">
        <v>1228</v>
      </c>
      <c r="D11" s="58"/>
      <c r="E11" s="58"/>
      <c r="F11" s="711" t="s">
        <v>3898</v>
      </c>
      <c r="G11" s="40">
        <f>K17</f>
        <v>0</v>
      </c>
      <c r="H11" s="246" t="s">
        <v>366</v>
      </c>
      <c r="J11" s="59"/>
      <c r="M11" s="7">
        <v>0</v>
      </c>
      <c r="N11" s="82" t="s">
        <v>3112</v>
      </c>
      <c r="O11" s="1151"/>
      <c r="P11" s="69"/>
      <c r="Q11" s="146"/>
    </row>
    <row r="12" spans="1:19" s="53" customFormat="1" ht="11.25" customHeight="1">
      <c r="A12" s="257" t="s">
        <v>1517</v>
      </c>
      <c r="B12" s="238" t="s">
        <v>3314</v>
      </c>
      <c r="D12" s="58"/>
      <c r="E12" s="58"/>
      <c r="F12" s="711" t="s">
        <v>3898</v>
      </c>
      <c r="G12" s="40">
        <f>P17</f>
        <v>0</v>
      </c>
      <c r="H12" s="246" t="s">
        <v>367</v>
      </c>
      <c r="J12" s="59"/>
      <c r="M12" s="7">
        <v>1</v>
      </c>
      <c r="N12" s="82" t="s">
        <v>1517</v>
      </c>
      <c r="O12" s="1151"/>
      <c r="P12" s="69"/>
    </row>
    <row r="13" spans="1:19" s="52" customFormat="1" ht="11.25" customHeight="1">
      <c r="A13" s="59" t="s">
        <v>582</v>
      </c>
      <c r="D13" s="58"/>
      <c r="E13" s="58"/>
      <c r="F13" s="58"/>
      <c r="G13" s="58"/>
      <c r="H13" s="46"/>
      <c r="I13" s="46"/>
      <c r="J13" s="46"/>
      <c r="K13" s="46"/>
      <c r="L13" s="53"/>
      <c r="M13" s="56"/>
      <c r="N13" s="77"/>
      <c r="O13" s="4"/>
      <c r="P13" s="33"/>
    </row>
    <row r="14" spans="1:19" s="52" customFormat="1" ht="12.4" customHeight="1">
      <c r="A14" s="1152"/>
      <c r="B14" s="1153"/>
      <c r="C14" s="1153"/>
      <c r="D14" s="1153"/>
      <c r="E14" s="1153"/>
      <c r="F14" s="1153"/>
      <c r="G14" s="1153"/>
      <c r="H14" s="1153"/>
      <c r="I14" s="1153"/>
      <c r="J14" s="1153"/>
      <c r="K14" s="1153"/>
      <c r="L14" s="1153"/>
      <c r="M14" s="1153"/>
      <c r="N14" s="1153"/>
      <c r="O14" s="1153"/>
      <c r="P14" s="1154"/>
      <c r="Q14" s="1029" t="s">
        <v>1931</v>
      </c>
      <c r="R14" s="1029"/>
    </row>
    <row r="15" spans="1:19" s="52" customFormat="1" ht="12.4" customHeight="1">
      <c r="A15" s="1155"/>
      <c r="B15" s="1156"/>
      <c r="C15" s="1156"/>
      <c r="D15" s="1156"/>
      <c r="E15" s="1156"/>
      <c r="F15" s="1156"/>
      <c r="G15" s="1156"/>
      <c r="H15" s="1156"/>
      <c r="I15" s="1156"/>
      <c r="J15" s="1156"/>
      <c r="K15" s="1156"/>
      <c r="L15" s="1156"/>
      <c r="M15" s="1156"/>
      <c r="N15" s="1156"/>
      <c r="O15" s="1156"/>
      <c r="P15" s="1157"/>
      <c r="Q15" s="1029"/>
      <c r="R15" s="1029"/>
      <c r="S15" s="217"/>
    </row>
    <row r="16" spans="1:19" s="52" customFormat="1" ht="10.9" customHeight="1">
      <c r="A16" s="260" t="s">
        <v>3089</v>
      </c>
      <c r="C16" s="129"/>
      <c r="D16" s="129"/>
      <c r="F16" s="179" t="s">
        <v>2600</v>
      </c>
      <c r="K16" s="179" t="s">
        <v>2600</v>
      </c>
      <c r="P16" s="62" t="s">
        <v>2600</v>
      </c>
      <c r="R16" s="217"/>
      <c r="S16" s="217"/>
    </row>
    <row r="17" spans="1:19" s="52" customFormat="1" ht="12" customHeight="1">
      <c r="A17" s="1066" t="s">
        <v>3757</v>
      </c>
      <c r="B17" s="1066"/>
      <c r="C17" s="1066"/>
      <c r="D17" s="1066"/>
      <c r="E17" s="83" t="s">
        <v>935</v>
      </c>
      <c r="F17" s="96">
        <f>SUM(F18:F29)</f>
        <v>0</v>
      </c>
      <c r="G17" s="1067" t="s">
        <v>3758</v>
      </c>
      <c r="H17" s="1066"/>
      <c r="I17" s="1066"/>
      <c r="J17" s="83" t="s">
        <v>935</v>
      </c>
      <c r="K17" s="96">
        <f>SUM(K18:K29)</f>
        <v>0</v>
      </c>
      <c r="L17" s="745" t="s">
        <v>2315</v>
      </c>
      <c r="M17" s="129"/>
      <c r="N17" s="127"/>
      <c r="O17" s="83"/>
      <c r="P17" s="96">
        <f>SUM(P18:P29)</f>
        <v>0</v>
      </c>
      <c r="R17" s="217"/>
      <c r="S17" s="217"/>
    </row>
    <row r="18" spans="1:19" s="52" customFormat="1" ht="24.4" customHeight="1">
      <c r="A18" s="1048">
        <v>1</v>
      </c>
      <c r="B18" s="1064"/>
      <c r="C18" s="1064"/>
      <c r="D18" s="1064"/>
      <c r="E18" s="1065"/>
      <c r="F18" s="308"/>
      <c r="G18" s="1068">
        <v>1</v>
      </c>
      <c r="H18" s="1069"/>
      <c r="I18" s="1069"/>
      <c r="J18" s="1069"/>
      <c r="K18" s="308"/>
      <c r="L18" s="1068">
        <v>1</v>
      </c>
      <c r="M18" s="1069"/>
      <c r="N18" s="1069"/>
      <c r="O18" s="1069"/>
      <c r="P18" s="308"/>
      <c r="Q18" s="1029" t="s">
        <v>1931</v>
      </c>
      <c r="R18" s="1029"/>
      <c r="S18" s="217"/>
    </row>
    <row r="19" spans="1:19" s="52" customFormat="1" ht="24.4" customHeight="1">
      <c r="A19" s="1059">
        <v>2</v>
      </c>
      <c r="B19" s="1060"/>
      <c r="C19" s="1060"/>
      <c r="D19" s="1060"/>
      <c r="E19" s="1061"/>
      <c r="F19" s="309"/>
      <c r="G19" s="1062">
        <v>2</v>
      </c>
      <c r="H19" s="1063"/>
      <c r="I19" s="1063"/>
      <c r="J19" s="1063"/>
      <c r="K19" s="309"/>
      <c r="L19" s="1062">
        <v>2</v>
      </c>
      <c r="M19" s="1063"/>
      <c r="N19" s="1063"/>
      <c r="O19" s="1063"/>
      <c r="P19" s="309"/>
      <c r="Q19" s="1029"/>
      <c r="R19" s="1029"/>
      <c r="S19" s="217"/>
    </row>
    <row r="20" spans="1:19" s="52" customFormat="1" ht="24.4" customHeight="1">
      <c r="A20" s="1059">
        <v>3</v>
      </c>
      <c r="B20" s="1060"/>
      <c r="C20" s="1060"/>
      <c r="D20" s="1060"/>
      <c r="E20" s="1061"/>
      <c r="F20" s="309"/>
      <c r="G20" s="1062">
        <v>3</v>
      </c>
      <c r="H20" s="1063"/>
      <c r="I20" s="1063"/>
      <c r="J20" s="1063"/>
      <c r="K20" s="309"/>
      <c r="L20" s="1062">
        <v>3</v>
      </c>
      <c r="M20" s="1063"/>
      <c r="N20" s="1063"/>
      <c r="O20" s="1063"/>
      <c r="P20" s="309"/>
      <c r="Q20" s="1029"/>
      <c r="R20" s="1029"/>
      <c r="S20" s="217"/>
    </row>
    <row r="21" spans="1:19" s="52" customFormat="1" ht="24.4" customHeight="1">
      <c r="A21" s="1059">
        <v>4</v>
      </c>
      <c r="B21" s="1060"/>
      <c r="C21" s="1060"/>
      <c r="D21" s="1060"/>
      <c r="E21" s="1061"/>
      <c r="F21" s="309"/>
      <c r="G21" s="1062">
        <v>4</v>
      </c>
      <c r="H21" s="1063"/>
      <c r="I21" s="1063"/>
      <c r="J21" s="1063"/>
      <c r="K21" s="309"/>
      <c r="L21" s="1062">
        <v>4</v>
      </c>
      <c r="M21" s="1063"/>
      <c r="N21" s="1063"/>
      <c r="O21" s="1063"/>
      <c r="P21" s="309"/>
      <c r="Q21" s="1029"/>
      <c r="R21" s="1029"/>
      <c r="S21" s="217"/>
    </row>
    <row r="22" spans="1:19" s="52" customFormat="1" ht="24.4" customHeight="1">
      <c r="A22" s="1059">
        <v>5</v>
      </c>
      <c r="B22" s="1060"/>
      <c r="C22" s="1060"/>
      <c r="D22" s="1060"/>
      <c r="E22" s="1061"/>
      <c r="F22" s="309"/>
      <c r="G22" s="1062">
        <v>5</v>
      </c>
      <c r="H22" s="1063"/>
      <c r="I22" s="1063"/>
      <c r="J22" s="1063"/>
      <c r="K22" s="309"/>
      <c r="L22" s="1062">
        <v>5</v>
      </c>
      <c r="M22" s="1063"/>
      <c r="N22" s="1063"/>
      <c r="O22" s="1063"/>
      <c r="P22" s="309"/>
      <c r="R22" s="217"/>
      <c r="S22" s="217"/>
    </row>
    <row r="23" spans="1:19" s="52" customFormat="1" ht="24.4" customHeight="1">
      <c r="A23" s="1059">
        <v>6</v>
      </c>
      <c r="B23" s="1060"/>
      <c r="C23" s="1060"/>
      <c r="D23" s="1060"/>
      <c r="E23" s="1061"/>
      <c r="F23" s="309"/>
      <c r="G23" s="1062">
        <v>6</v>
      </c>
      <c r="H23" s="1063"/>
      <c r="I23" s="1063"/>
      <c r="J23" s="1063"/>
      <c r="K23" s="309"/>
      <c r="L23" s="1062">
        <v>6</v>
      </c>
      <c r="M23" s="1063"/>
      <c r="N23" s="1063"/>
      <c r="O23" s="1063"/>
      <c r="P23" s="309"/>
      <c r="R23" s="217"/>
      <c r="S23" s="217"/>
    </row>
    <row r="24" spans="1:19" s="52" customFormat="1" ht="24.4" customHeight="1">
      <c r="A24" s="1059">
        <v>7</v>
      </c>
      <c r="B24" s="1060"/>
      <c r="C24" s="1060"/>
      <c r="D24" s="1060"/>
      <c r="E24" s="1061"/>
      <c r="F24" s="309"/>
      <c r="G24" s="1062">
        <v>7</v>
      </c>
      <c r="H24" s="1063"/>
      <c r="I24" s="1063"/>
      <c r="J24" s="1063"/>
      <c r="K24" s="309"/>
      <c r="L24" s="1062">
        <v>7</v>
      </c>
      <c r="M24" s="1063"/>
      <c r="N24" s="1063"/>
      <c r="O24" s="1063"/>
      <c r="P24" s="309"/>
      <c r="R24" s="217"/>
      <c r="S24" s="217"/>
    </row>
    <row r="25" spans="1:19" s="52" customFormat="1" ht="24.4" customHeight="1">
      <c r="A25" s="1059">
        <v>8</v>
      </c>
      <c r="B25" s="1060"/>
      <c r="C25" s="1060"/>
      <c r="D25" s="1060"/>
      <c r="E25" s="1061"/>
      <c r="F25" s="309"/>
      <c r="G25" s="1062">
        <v>8</v>
      </c>
      <c r="H25" s="1063"/>
      <c r="I25" s="1063"/>
      <c r="J25" s="1063"/>
      <c r="K25" s="309"/>
      <c r="L25" s="1062">
        <v>8</v>
      </c>
      <c r="M25" s="1063"/>
      <c r="N25" s="1063"/>
      <c r="O25" s="1063"/>
      <c r="P25" s="309"/>
      <c r="R25" s="217"/>
      <c r="S25" s="217"/>
    </row>
    <row r="26" spans="1:19" s="52" customFormat="1" ht="24.4" customHeight="1">
      <c r="A26" s="1059">
        <v>9</v>
      </c>
      <c r="B26" s="1060"/>
      <c r="C26" s="1060"/>
      <c r="D26" s="1060"/>
      <c r="E26" s="1061"/>
      <c r="F26" s="309"/>
      <c r="G26" s="1062">
        <v>9</v>
      </c>
      <c r="H26" s="1063"/>
      <c r="I26" s="1063"/>
      <c r="J26" s="1063"/>
      <c r="K26" s="309"/>
      <c r="L26" s="1062">
        <v>9</v>
      </c>
      <c r="M26" s="1063"/>
      <c r="N26" s="1063"/>
      <c r="O26" s="1063"/>
      <c r="P26" s="309"/>
      <c r="R26" s="217"/>
      <c r="S26" s="217"/>
    </row>
    <row r="27" spans="1:19" s="52" customFormat="1" ht="24.4" customHeight="1">
      <c r="A27" s="1059">
        <v>10</v>
      </c>
      <c r="B27" s="1060"/>
      <c r="C27" s="1060"/>
      <c r="D27" s="1060"/>
      <c r="E27" s="1061"/>
      <c r="F27" s="309"/>
      <c r="G27" s="1062">
        <v>10</v>
      </c>
      <c r="H27" s="1063"/>
      <c r="I27" s="1063"/>
      <c r="J27" s="1063"/>
      <c r="K27" s="309"/>
      <c r="L27" s="1062">
        <v>10</v>
      </c>
      <c r="M27" s="1063"/>
      <c r="N27" s="1063"/>
      <c r="O27" s="1063"/>
      <c r="P27" s="309"/>
      <c r="R27" s="217"/>
      <c r="S27" s="217"/>
    </row>
    <row r="28" spans="1:19" s="52" customFormat="1" ht="24.4" customHeight="1">
      <c r="A28" s="1059">
        <v>11</v>
      </c>
      <c r="B28" s="1060"/>
      <c r="C28" s="1060"/>
      <c r="D28" s="1060"/>
      <c r="E28" s="1061"/>
      <c r="F28" s="309"/>
      <c r="G28" s="1062">
        <v>11</v>
      </c>
      <c r="H28" s="1063"/>
      <c r="I28" s="1063"/>
      <c r="J28" s="1063"/>
      <c r="K28" s="309"/>
      <c r="L28" s="1062">
        <v>11</v>
      </c>
      <c r="M28" s="1063"/>
      <c r="N28" s="1063"/>
      <c r="O28" s="1063"/>
      <c r="P28" s="309"/>
      <c r="R28" s="217"/>
      <c r="S28" s="217"/>
    </row>
    <row r="29" spans="1:19" s="52" customFormat="1" ht="24.4" customHeight="1">
      <c r="A29" s="1045">
        <v>12</v>
      </c>
      <c r="B29" s="1071"/>
      <c r="C29" s="1071"/>
      <c r="D29" s="1071"/>
      <c r="E29" s="1072"/>
      <c r="F29" s="310"/>
      <c r="G29" s="1076">
        <v>12</v>
      </c>
      <c r="H29" s="1077"/>
      <c r="I29" s="1077"/>
      <c r="J29" s="1077"/>
      <c r="K29" s="310"/>
      <c r="L29" s="1076">
        <v>12</v>
      </c>
      <c r="M29" s="1077"/>
      <c r="N29" s="1077"/>
      <c r="O29" s="1077"/>
      <c r="P29" s="310"/>
    </row>
    <row r="30" spans="1:19" s="53" customFormat="1" ht="4.9000000000000004" customHeight="1">
      <c r="D30" s="49"/>
      <c r="E30" s="46"/>
      <c r="F30" s="1"/>
      <c r="G30" s="1"/>
      <c r="H30" s="1"/>
      <c r="I30" s="1"/>
      <c r="J30" s="40"/>
      <c r="K30" s="40"/>
      <c r="L30" s="40"/>
      <c r="M30" s="75"/>
      <c r="N30" s="1"/>
      <c r="O30" s="33"/>
      <c r="P30" s="4"/>
    </row>
    <row r="31" spans="1:19" s="53" customFormat="1" ht="12.4" customHeight="1">
      <c r="A31" s="210" t="s">
        <v>3115</v>
      </c>
      <c r="B31" s="151" t="s">
        <v>1964</v>
      </c>
      <c r="E31" s="72"/>
      <c r="G31" s="119"/>
      <c r="H31" s="65"/>
      <c r="K31" s="149"/>
      <c r="L31" s="573" t="str">
        <f>IF($O31&gt;$M31,"* * Check Score! * *","")</f>
        <v/>
      </c>
      <c r="M31" s="1">
        <v>3</v>
      </c>
      <c r="N31" s="8"/>
      <c r="O31" s="1151">
        <v>3</v>
      </c>
      <c r="P31" s="69"/>
      <c r="Q31" s="146" t="s">
        <v>651</v>
      </c>
      <c r="R31" s="573" t="str">
        <f>IF(OR($O31=$M31,$O31=0,$O31=""),"","* * Check Score! * *")</f>
        <v/>
      </c>
    </row>
    <row r="32" spans="1:19" s="53" customFormat="1" ht="11.25" customHeight="1">
      <c r="A32" s="52"/>
      <c r="B32" s="154" t="s">
        <v>1943</v>
      </c>
      <c r="E32" s="72"/>
      <c r="H32" s="588" t="s">
        <v>277</v>
      </c>
      <c r="J32" s="1158">
        <v>13</v>
      </c>
      <c r="L32" s="82" t="s">
        <v>1944</v>
      </c>
      <c r="M32" s="148">
        <f>IF(OR('Part VI-Revenues &amp; Expenses'!$M$61="", 'Part VI-Revenues &amp; Expenses'!$M$61=0),"",J32/'Part VI-Revenues &amp; Expenses'!$M$61)</f>
        <v>0.203125</v>
      </c>
      <c r="N32" s="31"/>
      <c r="O32" s="31"/>
      <c r="P32" s="31"/>
    </row>
    <row r="33" spans="1:18" s="53" customFormat="1" ht="11.25" customHeight="1">
      <c r="A33" s="52"/>
      <c r="B33" s="59" t="s">
        <v>582</v>
      </c>
      <c r="C33" s="52"/>
      <c r="D33" s="58"/>
      <c r="E33" s="58"/>
      <c r="F33" s="58"/>
      <c r="G33" s="58"/>
      <c r="H33" s="46"/>
      <c r="I33" s="46"/>
      <c r="J33" s="46"/>
      <c r="K33" s="46"/>
      <c r="M33" s="56"/>
      <c r="N33" s="77"/>
      <c r="O33" s="4"/>
      <c r="P33" s="33"/>
    </row>
    <row r="34" spans="1:18" s="53" customFormat="1" ht="12.4" customHeight="1">
      <c r="A34" s="1159" t="s">
        <v>43</v>
      </c>
      <c r="B34" s="1160"/>
      <c r="C34" s="1160"/>
      <c r="D34" s="1160"/>
      <c r="E34" s="1160"/>
      <c r="F34" s="1160"/>
      <c r="G34" s="1160"/>
      <c r="H34" s="1160"/>
      <c r="I34" s="1160"/>
      <c r="J34" s="1160"/>
      <c r="K34" s="1160"/>
      <c r="L34" s="1160"/>
      <c r="M34" s="1160"/>
      <c r="N34" s="1160"/>
      <c r="O34" s="1160"/>
      <c r="P34" s="1161"/>
    </row>
    <row r="35" spans="1:18" s="53" customFormat="1" ht="11.65" customHeight="1">
      <c r="A35" s="52"/>
      <c r="B35" s="133" t="s">
        <v>3089</v>
      </c>
      <c r="C35" s="52"/>
      <c r="D35" s="117"/>
      <c r="E35" s="740"/>
      <c r="F35" s="740"/>
      <c r="G35" s="740"/>
      <c r="H35" s="740"/>
      <c r="I35" s="740"/>
      <c r="J35" s="740"/>
      <c r="K35" s="740"/>
      <c r="L35" s="740"/>
      <c r="M35" s="740"/>
      <c r="N35" s="94"/>
      <c r="O35" s="90"/>
      <c r="P35" s="3"/>
    </row>
    <row r="36" spans="1:18" s="53" customFormat="1" ht="12.4" customHeight="1">
      <c r="A36" s="998"/>
      <c r="B36" s="999"/>
      <c r="C36" s="999"/>
      <c r="D36" s="999"/>
      <c r="E36" s="999"/>
      <c r="F36" s="999"/>
      <c r="G36" s="999"/>
      <c r="H36" s="999"/>
      <c r="I36" s="999"/>
      <c r="J36" s="999"/>
      <c r="K36" s="999"/>
      <c r="L36" s="999"/>
      <c r="M36" s="999"/>
      <c r="N36" s="999"/>
      <c r="O36" s="999"/>
      <c r="P36" s="1000"/>
    </row>
    <row r="37" spans="1:18" ht="13.15" customHeight="1"/>
    <row r="38" spans="1:18" s="53" customFormat="1" ht="12.4" customHeight="1">
      <c r="A38" s="210" t="s">
        <v>4028</v>
      </c>
      <c r="B38" s="142" t="s">
        <v>2977</v>
      </c>
      <c r="D38" s="51"/>
      <c r="H38" s="246" t="s">
        <v>945</v>
      </c>
      <c r="I38" s="49"/>
      <c r="J38" s="58"/>
      <c r="K38" s="46"/>
      <c r="M38" s="3">
        <v>12</v>
      </c>
      <c r="N38" s="62"/>
      <c r="O38" s="205">
        <f>IF(AND(O41&gt;=$M41,O43=0),O40+O42,O40)</f>
        <v>10</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924</v>
      </c>
      <c r="R40" s="573"/>
    </row>
    <row r="41" spans="1:18" s="53" customFormat="1" ht="12" customHeight="1">
      <c r="A41" s="189" t="s">
        <v>3000</v>
      </c>
      <c r="B41" s="238" t="s">
        <v>2989</v>
      </c>
      <c r="C41" s="5"/>
      <c r="D41" s="5"/>
      <c r="E41" s="246" t="s">
        <v>2992</v>
      </c>
      <c r="F41" s="461"/>
      <c r="G41" s="246" t="s">
        <v>2988</v>
      </c>
      <c r="I41" s="49"/>
      <c r="K41" s="58"/>
      <c r="L41" s="1158">
        <v>0</v>
      </c>
      <c r="M41" s="3">
        <v>10</v>
      </c>
      <c r="N41" s="252" t="s">
        <v>3000</v>
      </c>
      <c r="O41" s="1162">
        <v>10</v>
      </c>
      <c r="P41" s="89"/>
      <c r="R41" s="573"/>
    </row>
    <row r="42" spans="1:18" s="53" customFormat="1" ht="12.4" customHeight="1">
      <c r="A42" s="189" t="s">
        <v>3112</v>
      </c>
      <c r="B42" s="238" t="s">
        <v>3103</v>
      </c>
      <c r="E42" s="594" t="s">
        <v>3593</v>
      </c>
      <c r="F42" s="599"/>
      <c r="G42" s="599"/>
      <c r="K42" s="58"/>
      <c r="L42" s="573" t="str">
        <f>IF(OR($O42=$M42,$O42=0,$O42=""),"","* * Check Score! * *")</f>
        <v/>
      </c>
      <c r="M42" s="3">
        <v>2</v>
      </c>
      <c r="N42" s="62" t="s">
        <v>3112</v>
      </c>
      <c r="O42" s="1162">
        <v>0</v>
      </c>
      <c r="P42" s="89"/>
      <c r="R42" s="573"/>
    </row>
    <row r="43" spans="1:18" s="53" customFormat="1" ht="12.4" customHeight="1">
      <c r="A43" s="189" t="s">
        <v>1517</v>
      </c>
      <c r="B43" s="238" t="s">
        <v>2991</v>
      </c>
      <c r="D43" s="51"/>
      <c r="E43" s="246" t="s">
        <v>743</v>
      </c>
      <c r="F43" s="599"/>
      <c r="G43" s="246" t="s">
        <v>744</v>
      </c>
      <c r="L43" s="1158">
        <v>0</v>
      </c>
      <c r="M43" s="7" t="s">
        <v>1881</v>
      </c>
      <c r="N43" s="252" t="s">
        <v>1517</v>
      </c>
      <c r="O43" s="1151">
        <v>0</v>
      </c>
      <c r="P43" s="89"/>
      <c r="Q43" s="146"/>
      <c r="R43" s="573"/>
    </row>
    <row r="44" spans="1:18" s="53" customFormat="1" ht="12" customHeight="1">
      <c r="A44" s="52"/>
      <c r="D44" s="51"/>
      <c r="E44" s="51"/>
      <c r="F44" s="51"/>
      <c r="G44" s="51"/>
      <c r="I44" s="49"/>
      <c r="K44" s="58"/>
    </row>
    <row r="45" spans="1:18" s="53" customFormat="1" ht="11.25" customHeight="1">
      <c r="A45" s="52"/>
      <c r="B45" s="59" t="s">
        <v>582</v>
      </c>
      <c r="C45" s="52"/>
      <c r="D45" s="58"/>
      <c r="E45" s="58"/>
      <c r="F45" s="58"/>
      <c r="G45" s="58"/>
      <c r="H45" s="46"/>
      <c r="I45" s="46"/>
      <c r="J45" s="46"/>
      <c r="K45" s="46"/>
      <c r="M45" s="56"/>
      <c r="N45" s="77"/>
      <c r="O45" s="4"/>
      <c r="P45" s="33"/>
    </row>
    <row r="46" spans="1:18" s="53" customFormat="1" ht="23.65" customHeight="1">
      <c r="A46" s="1152"/>
      <c r="B46" s="1153"/>
      <c r="C46" s="1153"/>
      <c r="D46" s="1153"/>
      <c r="E46" s="1153"/>
      <c r="F46" s="1153"/>
      <c r="G46" s="1153"/>
      <c r="H46" s="1153"/>
      <c r="I46" s="1153"/>
      <c r="J46" s="1153"/>
      <c r="K46" s="1153"/>
      <c r="L46" s="1153"/>
      <c r="M46" s="1153"/>
      <c r="N46" s="1153"/>
      <c r="O46" s="1153"/>
      <c r="P46" s="1154"/>
      <c r="Q46" s="1029" t="s">
        <v>1931</v>
      </c>
      <c r="R46" s="1029"/>
    </row>
    <row r="47" spans="1:18" s="53" customFormat="1" ht="23.65" customHeight="1">
      <c r="A47" s="1163"/>
      <c r="B47" s="1164"/>
      <c r="C47" s="1164"/>
      <c r="D47" s="1164"/>
      <c r="E47" s="1164"/>
      <c r="F47" s="1164"/>
      <c r="G47" s="1164"/>
      <c r="H47" s="1164"/>
      <c r="I47" s="1164"/>
      <c r="J47" s="1164"/>
      <c r="K47" s="1164"/>
      <c r="L47" s="1164"/>
      <c r="M47" s="1164"/>
      <c r="N47" s="1164"/>
      <c r="O47" s="1164"/>
      <c r="P47" s="1165"/>
      <c r="Q47" s="1029"/>
      <c r="R47" s="1029"/>
    </row>
    <row r="48" spans="1:18" s="53" customFormat="1" ht="23.65" customHeight="1">
      <c r="A48" s="1155"/>
      <c r="B48" s="1156"/>
      <c r="C48" s="1156"/>
      <c r="D48" s="1156"/>
      <c r="E48" s="1156"/>
      <c r="F48" s="1156"/>
      <c r="G48" s="1156"/>
      <c r="H48" s="1156"/>
      <c r="I48" s="1156"/>
      <c r="J48" s="1156"/>
      <c r="K48" s="1156"/>
      <c r="L48" s="1156"/>
      <c r="M48" s="1156"/>
      <c r="N48" s="1156"/>
      <c r="O48" s="1156"/>
      <c r="P48" s="1157"/>
    </row>
    <row r="49" spans="1:18" s="53" customFormat="1" ht="11.65" customHeight="1">
      <c r="A49" s="52"/>
      <c r="B49" s="84" t="s">
        <v>3089</v>
      </c>
      <c r="C49" s="52"/>
      <c r="D49" s="187"/>
      <c r="E49" s="740"/>
      <c r="F49" s="740"/>
      <c r="G49" s="740"/>
      <c r="H49" s="740"/>
      <c r="I49" s="740"/>
      <c r="J49" s="740"/>
      <c r="K49" s="740"/>
      <c r="L49" s="740"/>
      <c r="M49" s="740"/>
      <c r="N49" s="94"/>
      <c r="O49" s="90"/>
      <c r="P49" s="3"/>
    </row>
    <row r="50" spans="1:18" s="53" customFormat="1" ht="23.65" customHeight="1">
      <c r="A50" s="991"/>
      <c r="B50" s="992"/>
      <c r="C50" s="992"/>
      <c r="D50" s="992"/>
      <c r="E50" s="992"/>
      <c r="F50" s="992"/>
      <c r="G50" s="992"/>
      <c r="H50" s="992"/>
      <c r="I50" s="992"/>
      <c r="J50" s="992"/>
      <c r="K50" s="992"/>
      <c r="L50" s="992"/>
      <c r="M50" s="992"/>
      <c r="N50" s="992"/>
      <c r="O50" s="992"/>
      <c r="P50" s="993"/>
      <c r="Q50" s="1029" t="s">
        <v>1931</v>
      </c>
      <c r="R50" s="1029"/>
    </row>
    <row r="51" spans="1:18" s="53" customFormat="1" ht="23.65" customHeight="1">
      <c r="A51" s="1011"/>
      <c r="B51" s="1012"/>
      <c r="C51" s="1012"/>
      <c r="D51" s="1012"/>
      <c r="E51" s="1012"/>
      <c r="F51" s="1012"/>
      <c r="G51" s="1012"/>
      <c r="H51" s="1012"/>
      <c r="I51" s="1012"/>
      <c r="J51" s="1012"/>
      <c r="K51" s="1012"/>
      <c r="L51" s="1012"/>
      <c r="M51" s="1012"/>
      <c r="N51" s="1012"/>
      <c r="O51" s="1012"/>
      <c r="P51" s="1013"/>
      <c r="Q51" s="1029"/>
      <c r="R51" s="1029"/>
    </row>
    <row r="52" spans="1:18" s="53" customFormat="1" ht="23.65" customHeight="1">
      <c r="A52" s="995"/>
      <c r="B52" s="996"/>
      <c r="C52" s="996"/>
      <c r="D52" s="996"/>
      <c r="E52" s="996"/>
      <c r="F52" s="996"/>
      <c r="G52" s="996"/>
      <c r="H52" s="996"/>
      <c r="I52" s="996"/>
      <c r="J52" s="996"/>
      <c r="K52" s="996"/>
      <c r="L52" s="996"/>
      <c r="M52" s="996"/>
      <c r="N52" s="996"/>
      <c r="O52" s="996"/>
      <c r="P52" s="997"/>
    </row>
    <row r="53" spans="1:18" ht="3.4" customHeight="1">
      <c r="M53" s="42"/>
      <c r="N53" s="156"/>
      <c r="O53" s="206"/>
      <c r="P53" s="206"/>
    </row>
    <row r="54" spans="1:18" ht="3" customHeight="1"/>
    <row r="55" spans="1:18" s="53" customFormat="1" ht="12.4" customHeight="1">
      <c r="A55" s="210" t="s">
        <v>1872</v>
      </c>
      <c r="B55" s="142" t="s">
        <v>1945</v>
      </c>
      <c r="D55" s="51"/>
      <c r="H55" s="59" t="s">
        <v>2878</v>
      </c>
      <c r="I55" s="49"/>
      <c r="J55" s="58"/>
      <c r="K55" s="58"/>
      <c r="M55" s="3">
        <v>2</v>
      </c>
      <c r="N55" s="62"/>
      <c r="O55" s="205">
        <f>MIN($M55,(O56+O57))</f>
        <v>0</v>
      </c>
      <c r="P55" s="205">
        <f>MIN($M55,(P56+P57))</f>
        <v>0</v>
      </c>
      <c r="Q55" s="146" t="s">
        <v>651</v>
      </c>
    </row>
    <row r="56" spans="1:18" s="53" customFormat="1" ht="12" customHeight="1">
      <c r="A56" s="189" t="s">
        <v>3000</v>
      </c>
      <c r="B56" s="238" t="s">
        <v>1922</v>
      </c>
      <c r="C56" s="5"/>
      <c r="D56" s="5"/>
      <c r="E56" s="46"/>
      <c r="F56" s="5"/>
      <c r="G56" s="49"/>
      <c r="I56" s="49"/>
      <c r="K56" s="58"/>
      <c r="L56" s="573" t="str">
        <f>IF(OR($O56=$M56,$O56=0,$O56=""),"","* * Check Score! * *")</f>
        <v/>
      </c>
      <c r="M56" s="3">
        <v>2</v>
      </c>
      <c r="N56" s="252" t="s">
        <v>3000</v>
      </c>
      <c r="O56" s="1162">
        <v>0</v>
      </c>
      <c r="P56" s="89"/>
      <c r="R56" s="573"/>
    </row>
    <row r="57" spans="1:18" s="53" customFormat="1" ht="12.4" customHeight="1">
      <c r="A57" s="189" t="s">
        <v>3112</v>
      </c>
      <c r="B57" s="238" t="s">
        <v>1920</v>
      </c>
      <c r="E57" s="51"/>
      <c r="K57" s="58"/>
      <c r="L57" s="573" t="str">
        <f>IF(OR($O57=$M57,$O57=0,$O57=""),"","* * Check Score! * *")</f>
        <v/>
      </c>
      <c r="M57" s="3">
        <v>1</v>
      </c>
      <c r="N57" s="62" t="s">
        <v>3112</v>
      </c>
      <c r="O57" s="1162">
        <v>0</v>
      </c>
      <c r="P57" s="89"/>
      <c r="R57" s="573"/>
    </row>
    <row r="58" spans="1:18" s="139" customFormat="1" ht="11.65" customHeight="1">
      <c r="A58" s="52"/>
      <c r="B58" s="59" t="s">
        <v>582</v>
      </c>
      <c r="C58" s="52"/>
      <c r="D58" s="58"/>
      <c r="E58" s="58"/>
      <c r="F58" s="58"/>
      <c r="G58" s="58"/>
      <c r="H58" s="46"/>
      <c r="I58" s="46"/>
      <c r="J58" s="46"/>
      <c r="K58" s="46"/>
      <c r="M58" s="56"/>
      <c r="N58" s="7"/>
      <c r="O58" s="4"/>
      <c r="P58" s="3"/>
    </row>
    <row r="59" spans="1:18" s="53" customFormat="1" ht="23.65" customHeight="1">
      <c r="A59" s="1159" t="s">
        <v>60</v>
      </c>
      <c r="B59" s="1160"/>
      <c r="C59" s="1160"/>
      <c r="D59" s="1160"/>
      <c r="E59" s="1160"/>
      <c r="F59" s="1160"/>
      <c r="G59" s="1160"/>
      <c r="H59" s="1160"/>
      <c r="I59" s="1160"/>
      <c r="J59" s="1160"/>
      <c r="K59" s="1160"/>
      <c r="L59" s="1160"/>
      <c r="M59" s="1160"/>
      <c r="N59" s="1160"/>
      <c r="O59" s="1160"/>
      <c r="P59" s="1161"/>
    </row>
    <row r="60" spans="1:18" s="139" customFormat="1" ht="11.65" customHeight="1">
      <c r="A60" s="52"/>
      <c r="B60" s="133" t="s">
        <v>3089</v>
      </c>
      <c r="C60" s="52"/>
      <c r="D60" s="133"/>
      <c r="E60" s="737"/>
      <c r="F60" s="737"/>
      <c r="G60" s="737"/>
      <c r="H60" s="737"/>
      <c r="I60" s="737"/>
      <c r="J60" s="737"/>
      <c r="K60" s="737"/>
      <c r="L60" s="737"/>
      <c r="M60" s="737"/>
      <c r="N60" s="127"/>
      <c r="O60" s="259"/>
      <c r="P60" s="3"/>
    </row>
    <row r="61" spans="1:18" s="53" customFormat="1" ht="23.65" customHeight="1">
      <c r="A61" s="991"/>
      <c r="B61" s="992"/>
      <c r="C61" s="992"/>
      <c r="D61" s="992"/>
      <c r="E61" s="992"/>
      <c r="F61" s="992"/>
      <c r="G61" s="992"/>
      <c r="H61" s="992"/>
      <c r="I61" s="992"/>
      <c r="J61" s="992"/>
      <c r="K61" s="992"/>
      <c r="L61" s="992"/>
      <c r="M61" s="992"/>
      <c r="N61" s="992"/>
      <c r="O61" s="992"/>
      <c r="P61" s="993"/>
    </row>
    <row r="62" spans="1:18" s="53" customFormat="1" ht="23.6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4" customHeight="1">
      <c r="A64" s="210" t="s">
        <v>1873</v>
      </c>
      <c r="B64" s="142" t="s">
        <v>3815</v>
      </c>
      <c r="D64" s="51"/>
      <c r="E64" s="600" t="s">
        <v>3812</v>
      </c>
      <c r="I64" s="59" t="s">
        <v>2878</v>
      </c>
      <c r="M64" s="3">
        <v>1</v>
      </c>
      <c r="N64" s="616" t="str">
        <f>IF(OR($O64=$M64,$O64=0,$O64=""),"","***")</f>
        <v/>
      </c>
      <c r="O64" s="1162">
        <v>0</v>
      </c>
      <c r="P64" s="89"/>
      <c r="Q64" s="146" t="s">
        <v>651</v>
      </c>
    </row>
    <row r="65" spans="1:17" s="53" customFormat="1" ht="12.4" customHeight="1">
      <c r="A65" s="210"/>
      <c r="B65" s="600" t="s">
        <v>1224</v>
      </c>
      <c r="D65" s="51"/>
      <c r="H65" s="59"/>
      <c r="I65" s="59"/>
      <c r="J65" s="59"/>
      <c r="K65" s="59"/>
      <c r="L65" s="59"/>
      <c r="M65" s="3"/>
      <c r="N65" s="616"/>
      <c r="O65" s="1166" t="s">
        <v>2311</v>
      </c>
      <c r="P65" s="234"/>
      <c r="Q65" s="146"/>
    </row>
    <row r="66" spans="1:17" s="53" customFormat="1" ht="12.4" customHeight="1">
      <c r="A66" s="210"/>
      <c r="B66" s="600" t="s">
        <v>1223</v>
      </c>
      <c r="D66" s="51"/>
      <c r="H66" s="59"/>
      <c r="I66" s="1167"/>
      <c r="J66" s="1168"/>
      <c r="K66" s="1168"/>
      <c r="L66" s="1169"/>
      <c r="M66" s="3"/>
      <c r="N66" s="616"/>
      <c r="O66" s="616"/>
      <c r="P66" s="616"/>
      <c r="Q66" s="146"/>
    </row>
    <row r="67" spans="1:17" s="53" customFormat="1" ht="12.4" customHeight="1">
      <c r="A67" s="210"/>
      <c r="B67" s="600" t="s">
        <v>1225</v>
      </c>
      <c r="D67" s="51"/>
      <c r="H67" s="59"/>
      <c r="I67" s="59"/>
      <c r="J67" s="59"/>
      <c r="K67" s="59"/>
      <c r="L67" s="59"/>
      <c r="M67" s="3"/>
      <c r="N67" s="616"/>
      <c r="O67" s="1166" t="s">
        <v>2311</v>
      </c>
      <c r="P67" s="234"/>
      <c r="Q67" s="146"/>
    </row>
    <row r="68" spans="1:17" s="139" customFormat="1" ht="11.65" customHeight="1">
      <c r="A68" s="52"/>
      <c r="B68" s="59" t="s">
        <v>582</v>
      </c>
      <c r="C68" s="52"/>
      <c r="D68" s="58"/>
      <c r="E68" s="58"/>
      <c r="F68" s="58"/>
      <c r="G68" s="58"/>
      <c r="I68" s="46"/>
      <c r="J68" s="46"/>
      <c r="K68" s="46"/>
      <c r="M68" s="56"/>
      <c r="N68" s="7"/>
      <c r="O68" s="4"/>
      <c r="P68" s="3"/>
    </row>
    <row r="69" spans="1:17" s="53" customFormat="1" ht="23.65" customHeight="1">
      <c r="A69" s="1159" t="s">
        <v>44</v>
      </c>
      <c r="B69" s="1160"/>
      <c r="C69" s="1160"/>
      <c r="D69" s="1160"/>
      <c r="E69" s="1160"/>
      <c r="F69" s="1160"/>
      <c r="G69" s="1160"/>
      <c r="H69" s="1160"/>
      <c r="I69" s="1160"/>
      <c r="J69" s="1160"/>
      <c r="K69" s="1160"/>
      <c r="L69" s="1160"/>
      <c r="M69" s="1160"/>
      <c r="N69" s="1160"/>
      <c r="O69" s="1160"/>
      <c r="P69" s="1161"/>
    </row>
    <row r="70" spans="1:17" s="139" customFormat="1" ht="11.65" customHeight="1">
      <c r="A70" s="52"/>
      <c r="B70" s="133" t="s">
        <v>3089</v>
      </c>
      <c r="C70" s="52"/>
      <c r="D70" s="133"/>
      <c r="E70" s="737"/>
      <c r="F70" s="737"/>
      <c r="G70" s="737"/>
      <c r="H70" s="737"/>
      <c r="I70" s="737"/>
      <c r="J70" s="737"/>
      <c r="K70" s="737"/>
      <c r="L70" s="737"/>
      <c r="M70" s="737"/>
      <c r="N70" s="127"/>
      <c r="O70" s="259"/>
      <c r="P70" s="3"/>
    </row>
    <row r="71" spans="1:17" s="53" customFormat="1" ht="23.65" customHeight="1">
      <c r="A71" s="991"/>
      <c r="B71" s="992"/>
      <c r="C71" s="992"/>
      <c r="D71" s="992"/>
      <c r="E71" s="992"/>
      <c r="F71" s="992"/>
      <c r="G71" s="992"/>
      <c r="H71" s="992"/>
      <c r="I71" s="992"/>
      <c r="J71" s="992"/>
      <c r="K71" s="992"/>
      <c r="L71" s="992"/>
      <c r="M71" s="992"/>
      <c r="N71" s="992"/>
      <c r="O71" s="992"/>
      <c r="P71" s="993"/>
    </row>
    <row r="72" spans="1:17" s="53" customFormat="1" ht="23.6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4" customHeight="1">
      <c r="A74" s="210" t="s">
        <v>2880</v>
      </c>
      <c r="B74" s="142" t="s">
        <v>3816</v>
      </c>
      <c r="D74" s="51"/>
      <c r="E74" s="46" t="s">
        <v>2343</v>
      </c>
      <c r="I74" s="59" t="s">
        <v>2878</v>
      </c>
      <c r="M74" s="3">
        <v>2</v>
      </c>
      <c r="N74" s="62"/>
      <c r="O74" s="1162">
        <v>0</v>
      </c>
      <c r="P74" s="89"/>
      <c r="Q74" s="146" t="s">
        <v>651</v>
      </c>
    </row>
    <row r="75" spans="1:17" s="53" customFormat="1" ht="12.4" customHeight="1">
      <c r="A75" s="210"/>
      <c r="B75" s="600" t="s">
        <v>1226</v>
      </c>
      <c r="D75" s="51"/>
      <c r="E75" s="46"/>
      <c r="I75" s="1167"/>
      <c r="J75" s="1168"/>
      <c r="K75" s="1168"/>
      <c r="L75" s="1169"/>
      <c r="M75" s="3"/>
      <c r="N75" s="62"/>
      <c r="O75" s="62"/>
      <c r="P75" s="62"/>
      <c r="Q75" s="146"/>
    </row>
    <row r="76" spans="1:17" s="139" customFormat="1" ht="11.65" customHeight="1">
      <c r="A76" s="52"/>
      <c r="B76" s="59" t="s">
        <v>582</v>
      </c>
      <c r="C76" s="52"/>
      <c r="D76" s="58"/>
      <c r="E76" s="58"/>
      <c r="F76" s="58"/>
      <c r="G76" s="58"/>
      <c r="I76" s="46"/>
      <c r="J76" s="46"/>
      <c r="K76" s="46"/>
      <c r="M76" s="56"/>
      <c r="N76" s="7"/>
      <c r="O76" s="4"/>
      <c r="P76" s="3"/>
    </row>
    <row r="77" spans="1:17" s="53" customFormat="1" ht="23.65" customHeight="1">
      <c r="A77" s="1159" t="s">
        <v>45</v>
      </c>
      <c r="B77" s="1160"/>
      <c r="C77" s="1160"/>
      <c r="D77" s="1160"/>
      <c r="E77" s="1160"/>
      <c r="F77" s="1160"/>
      <c r="G77" s="1160"/>
      <c r="H77" s="1160"/>
      <c r="I77" s="1160"/>
      <c r="J77" s="1160"/>
      <c r="K77" s="1160"/>
      <c r="L77" s="1160"/>
      <c r="M77" s="1160"/>
      <c r="N77" s="1160"/>
      <c r="O77" s="1160"/>
      <c r="P77" s="1161"/>
    </row>
    <row r="78" spans="1:17" s="139" customFormat="1" ht="11.65" customHeight="1">
      <c r="A78" s="52"/>
      <c r="B78" s="133" t="s">
        <v>3089</v>
      </c>
      <c r="C78" s="52"/>
      <c r="D78" s="133"/>
      <c r="E78" s="737"/>
      <c r="F78" s="737"/>
      <c r="G78" s="737"/>
      <c r="H78" s="737"/>
      <c r="I78" s="737"/>
      <c r="J78" s="737"/>
      <c r="K78" s="737"/>
      <c r="L78" s="737"/>
      <c r="M78" s="737"/>
      <c r="N78" s="127"/>
      <c r="O78" s="259"/>
      <c r="P78" s="3"/>
    </row>
    <row r="79" spans="1:17" s="53" customFormat="1" ht="23.65" customHeight="1">
      <c r="A79" s="991"/>
      <c r="B79" s="992"/>
      <c r="C79" s="992"/>
      <c r="D79" s="992"/>
      <c r="E79" s="992"/>
      <c r="F79" s="992"/>
      <c r="G79" s="992"/>
      <c r="H79" s="992"/>
      <c r="I79" s="992"/>
      <c r="J79" s="992"/>
      <c r="K79" s="992"/>
      <c r="L79" s="992"/>
      <c r="M79" s="992"/>
      <c r="N79" s="992"/>
      <c r="O79" s="992"/>
      <c r="P79" s="993"/>
    </row>
    <row r="80" spans="1:17" s="53" customFormat="1" ht="23.6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4" customHeight="1">
      <c r="A82" s="210" t="s">
        <v>913</v>
      </c>
      <c r="B82" s="143" t="s">
        <v>503</v>
      </c>
      <c r="D82" s="49"/>
      <c r="E82" s="46"/>
      <c r="F82" s="246" t="s">
        <v>613</v>
      </c>
      <c r="I82" s="1170" t="s">
        <v>4074</v>
      </c>
      <c r="J82" s="1171"/>
      <c r="K82" s="1171"/>
      <c r="L82" s="1172"/>
      <c r="M82" s="3">
        <v>3</v>
      </c>
      <c r="O82" s="96">
        <f>IF(OR(I82="Earth Craft Communities",I82="LEED-ND"),3,IF(OR(I82="Earth Craft House",I82="LEED for Homes",I82="EF Green Communities"),2,0))</f>
        <v>2</v>
      </c>
      <c r="P82" s="89"/>
      <c r="Q82" s="146" t="s">
        <v>651</v>
      </c>
    </row>
    <row r="83" spans="1:18" s="139" customFormat="1" ht="13.9" customHeight="1">
      <c r="A83" s="52"/>
      <c r="B83" s="1173" t="s">
        <v>2400</v>
      </c>
      <c r="C83" s="1057"/>
      <c r="D83" s="1057"/>
      <c r="E83" s="1057"/>
      <c r="F83" s="1057"/>
      <c r="G83" s="1057"/>
      <c r="H83" s="1057"/>
      <c r="I83" s="1057"/>
      <c r="J83" s="1057"/>
      <c r="K83" s="1057"/>
      <c r="L83" s="1057"/>
      <c r="M83" s="1057"/>
      <c r="N83" s="1"/>
      <c r="O83" s="1174" t="s">
        <v>3834</v>
      </c>
      <c r="P83" s="551"/>
    </row>
    <row r="84" spans="1:18" s="598" customFormat="1" ht="34.9" customHeight="1">
      <c r="B84" s="194" t="s">
        <v>3000</v>
      </c>
      <c r="C84" s="1053" t="s">
        <v>1577</v>
      </c>
      <c r="D84" s="1004"/>
      <c r="E84" s="1004"/>
      <c r="F84" s="1004"/>
      <c r="G84" s="1004"/>
      <c r="H84" s="1004"/>
      <c r="I84" s="1004"/>
      <c r="J84" s="1004"/>
      <c r="K84" s="1004"/>
      <c r="L84" s="1004"/>
      <c r="M84" s="698" t="str">
        <f>IF(AND($I$93="Stable Communities &lt; 10%",O84=""), "X","")</f>
        <v/>
      </c>
      <c r="N84" s="221" t="s">
        <v>3000</v>
      </c>
      <c r="O84" s="1175" t="s">
        <v>66</v>
      </c>
      <c r="P84" s="703"/>
    </row>
    <row r="85" spans="1:18" s="598" customFormat="1" ht="34.9" customHeight="1">
      <c r="B85" s="194" t="s">
        <v>3112</v>
      </c>
      <c r="C85" s="1002" t="s">
        <v>1804</v>
      </c>
      <c r="D85" s="1004"/>
      <c r="E85" s="1004"/>
      <c r="F85" s="1004"/>
      <c r="G85" s="1004"/>
      <c r="H85" s="1004"/>
      <c r="I85" s="1004"/>
      <c r="J85" s="1004"/>
      <c r="K85" s="1004"/>
      <c r="L85" s="1004"/>
      <c r="M85" s="698" t="str">
        <f>IF(AND($I$93="Stable Communities &lt; 10%",O85=""), "X","")</f>
        <v/>
      </c>
      <c r="N85" s="221" t="s">
        <v>3112</v>
      </c>
      <c r="O85" s="1176" t="s">
        <v>66</v>
      </c>
      <c r="P85" s="704"/>
    </row>
    <row r="86" spans="1:18" s="139" customFormat="1" ht="11.65" customHeight="1">
      <c r="A86" s="52"/>
      <c r="B86" s="59" t="s">
        <v>582</v>
      </c>
      <c r="C86" s="52"/>
      <c r="D86" s="58"/>
      <c r="E86" s="58"/>
      <c r="F86" s="58"/>
      <c r="G86" s="58"/>
      <c r="K86" s="46"/>
      <c r="M86" s="56"/>
      <c r="N86" s="7"/>
      <c r="O86" s="4"/>
      <c r="P86" s="3"/>
    </row>
    <row r="87" spans="1:18" s="53" customFormat="1" ht="22.9" customHeight="1">
      <c r="A87" s="1177" t="s">
        <v>15</v>
      </c>
      <c r="B87" s="1178"/>
      <c r="C87" s="1178"/>
      <c r="D87" s="1178"/>
      <c r="E87" s="1178"/>
      <c r="F87" s="1178"/>
      <c r="G87" s="1178"/>
      <c r="H87" s="1178"/>
      <c r="I87" s="1178"/>
      <c r="J87" s="1178"/>
      <c r="K87" s="1178"/>
      <c r="L87" s="1178"/>
      <c r="M87" s="1178"/>
      <c r="N87" s="1178"/>
      <c r="O87" s="1178"/>
      <c r="P87" s="1179"/>
    </row>
    <row r="88" spans="1:18" s="53" customFormat="1" ht="22.9" customHeight="1">
      <c r="A88" s="1180" t="s">
        <v>47</v>
      </c>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3089</v>
      </c>
      <c r="C89" s="52"/>
      <c r="D89" s="117"/>
      <c r="E89" s="740"/>
      <c r="F89" s="740"/>
      <c r="G89" s="740"/>
      <c r="H89" s="740"/>
      <c r="I89" s="740"/>
      <c r="J89" s="740"/>
      <c r="K89" s="740"/>
      <c r="L89" s="740"/>
      <c r="M89" s="740"/>
      <c r="N89" s="94"/>
      <c r="O89" s="90"/>
      <c r="P89" s="3"/>
    </row>
    <row r="90" spans="1:18" s="53" customFormat="1" ht="24.4" customHeight="1">
      <c r="A90" s="1048"/>
      <c r="B90" s="1049"/>
      <c r="C90" s="1049"/>
      <c r="D90" s="1049"/>
      <c r="E90" s="1049"/>
      <c r="F90" s="1049"/>
      <c r="G90" s="1049"/>
      <c r="H90" s="1049"/>
      <c r="I90" s="1049"/>
      <c r="J90" s="1049"/>
      <c r="K90" s="1049"/>
      <c r="L90" s="1049"/>
      <c r="M90" s="1049"/>
      <c r="N90" s="1049"/>
      <c r="O90" s="1049"/>
      <c r="P90" s="1050"/>
    </row>
    <row r="91" spans="1:18" s="53" customFormat="1" ht="24.4" customHeight="1">
      <c r="A91" s="1045"/>
      <c r="B91" s="1046"/>
      <c r="C91" s="1046"/>
      <c r="D91" s="1046"/>
      <c r="E91" s="1046"/>
      <c r="F91" s="1046"/>
      <c r="G91" s="1046"/>
      <c r="H91" s="1046"/>
      <c r="I91" s="1046"/>
      <c r="J91" s="1046"/>
      <c r="K91" s="1046"/>
      <c r="L91" s="1046"/>
      <c r="M91" s="1046"/>
      <c r="N91" s="1046"/>
      <c r="O91" s="1046"/>
      <c r="P91" s="1047"/>
    </row>
    <row r="92" spans="1:18" s="53" customFormat="1" ht="9" customHeight="1">
      <c r="A92" s="52"/>
      <c r="D92" s="49"/>
      <c r="E92" s="46"/>
      <c r="F92" s="1"/>
      <c r="G92" s="1"/>
      <c r="H92" s="1"/>
      <c r="I92" s="1"/>
      <c r="J92" s="40"/>
      <c r="K92" s="40"/>
      <c r="L92" s="40"/>
      <c r="M92" s="75"/>
      <c r="N92" s="1"/>
      <c r="O92" s="33"/>
      <c r="P92" s="4"/>
    </row>
    <row r="93" spans="1:18" s="139" customFormat="1" ht="12.4" customHeight="1">
      <c r="A93" s="210" t="s">
        <v>914</v>
      </c>
      <c r="B93" s="143" t="s">
        <v>3650</v>
      </c>
      <c r="C93" s="126"/>
      <c r="D93" s="74"/>
      <c r="E93" s="74"/>
      <c r="I93" s="1170" t="s">
        <v>4008</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4</v>
      </c>
      <c r="P93" s="89"/>
      <c r="Q93" s="146" t="s">
        <v>651</v>
      </c>
      <c r="R93" s="53"/>
    </row>
    <row r="94" spans="1:18" ht="12" customHeight="1">
      <c r="A94" s="1052" t="s">
        <v>777</v>
      </c>
      <c r="B94" s="1052"/>
      <c r="C94" s="1052"/>
      <c r="D94" s="1052"/>
      <c r="E94" s="1052"/>
      <c r="F94" s="1052"/>
      <c r="G94" s="1052"/>
      <c r="H94" s="1052"/>
      <c r="I94" s="1052"/>
      <c r="J94" s="1052"/>
      <c r="K94" s="1052"/>
      <c r="L94" s="1052"/>
      <c r="M94" s="1052"/>
      <c r="N94" s="1052"/>
      <c r="O94" s="1052"/>
      <c r="P94" s="1052"/>
    </row>
    <row r="95" spans="1:18" ht="11.65" customHeight="1">
      <c r="A95" s="189" t="s">
        <v>3000</v>
      </c>
      <c r="B95" s="256" t="s">
        <v>3988</v>
      </c>
      <c r="D95" s="42"/>
      <c r="H95" s="76"/>
      <c r="I95" s="42"/>
      <c r="J95" s="42"/>
      <c r="M95" s="156">
        <v>4</v>
      </c>
      <c r="N95" s="31"/>
      <c r="O95" s="31"/>
      <c r="P95" s="31"/>
    </row>
    <row r="96" spans="1:18" ht="11.65" customHeight="1">
      <c r="A96" s="564" t="str">
        <f>IF($I$93="Stable Communities &lt; 10%", "X","")</f>
        <v>X</v>
      </c>
      <c r="B96" s="565" t="s">
        <v>3113</v>
      </c>
      <c r="C96" s="235" t="s">
        <v>804</v>
      </c>
      <c r="E96" s="159"/>
      <c r="N96" s="31"/>
      <c r="O96" s="161" t="s">
        <v>3989</v>
      </c>
      <c r="P96" s="161" t="s">
        <v>3989</v>
      </c>
    </row>
    <row r="97" spans="1:16" ht="11.65" customHeight="1">
      <c r="B97" s="233" t="s">
        <v>3697</v>
      </c>
      <c r="C97" s="584" t="s">
        <v>3741</v>
      </c>
      <c r="E97" s="159"/>
      <c r="G97" s="137" t="s">
        <v>3742</v>
      </c>
      <c r="M97" s="590" t="str">
        <f>IF(AND($I$93="Stable Communities &lt; 10%",O97=""), "X","")</f>
        <v/>
      </c>
      <c r="N97" s="233" t="s">
        <v>3697</v>
      </c>
      <c r="O97" s="1183" t="s">
        <v>3834</v>
      </c>
      <c r="P97" s="354"/>
    </row>
    <row r="98" spans="1:16" ht="11.65" customHeight="1">
      <c r="B98" s="233" t="s">
        <v>3698</v>
      </c>
      <c r="C98" s="585" t="s">
        <v>3743</v>
      </c>
      <c r="E98" s="159"/>
      <c r="G98" s="137" t="s">
        <v>3634</v>
      </c>
      <c r="M98" s="590" t="str">
        <f>IF(AND($I$93="Stable Communities &lt; 10%",O98=""), "X","")</f>
        <v/>
      </c>
      <c r="N98" s="233" t="s">
        <v>3698</v>
      </c>
      <c r="O98" s="1174" t="s">
        <v>3834</v>
      </c>
      <c r="P98" s="551"/>
    </row>
    <row r="99" spans="1:16" ht="11.65" customHeight="1">
      <c r="B99" s="233" t="s">
        <v>3699</v>
      </c>
      <c r="C99" s="585" t="s">
        <v>2097</v>
      </c>
      <c r="E99" s="159"/>
      <c r="M99" s="590" t="str">
        <f>IF(AND($I$93="Stable Communities &lt; 10%",O99=""), "X","")</f>
        <v/>
      </c>
      <c r="N99" s="233" t="s">
        <v>3701</v>
      </c>
      <c r="O99" s="1184" t="s">
        <v>3834</v>
      </c>
      <c r="P99" s="355"/>
    </row>
    <row r="100" spans="1:16" ht="11.65" customHeight="1">
      <c r="A100" s="564" t="str">
        <f>IF($I$93="Stable Communities &lt; 20%", "X","")</f>
        <v/>
      </c>
      <c r="B100" s="565" t="s">
        <v>3115</v>
      </c>
      <c r="C100" s="235" t="s">
        <v>804</v>
      </c>
      <c r="E100" s="159"/>
      <c r="M100" s="591"/>
      <c r="N100" s="31"/>
      <c r="O100" s="161" t="s">
        <v>3989</v>
      </c>
      <c r="P100" s="161" t="s">
        <v>3989</v>
      </c>
    </row>
    <row r="101" spans="1:16" ht="11.65" customHeight="1">
      <c r="B101" s="233" t="s">
        <v>3697</v>
      </c>
      <c r="C101" s="584" t="s">
        <v>3904</v>
      </c>
      <c r="E101" s="159"/>
      <c r="G101" s="137" t="s">
        <v>3744</v>
      </c>
      <c r="M101" s="590" t="str">
        <f>IF(AND($I$93="Stable Communities &lt; 20%",O101=""), "X","")</f>
        <v/>
      </c>
      <c r="N101" s="233" t="s">
        <v>3697</v>
      </c>
      <c r="O101" s="1183" t="s">
        <v>2311</v>
      </c>
      <c r="P101" s="354"/>
    </row>
    <row r="102" spans="1:16" ht="11.65" customHeight="1">
      <c r="B102" s="233" t="s">
        <v>3698</v>
      </c>
      <c r="C102" s="585" t="s">
        <v>3743</v>
      </c>
      <c r="E102" s="159"/>
      <c r="G102" s="137" t="s">
        <v>3634</v>
      </c>
      <c r="M102" s="590" t="str">
        <f>IF(AND($I$93="Stable Communities &lt; 20%",O102=""), "X","")</f>
        <v/>
      </c>
      <c r="N102" s="233" t="s">
        <v>3698</v>
      </c>
      <c r="O102" s="1174" t="s">
        <v>2311</v>
      </c>
      <c r="P102" s="551"/>
    </row>
    <row r="103" spans="1:16" ht="11.65" customHeight="1">
      <c r="B103" s="233" t="s">
        <v>3699</v>
      </c>
      <c r="C103" s="585" t="s">
        <v>2097</v>
      </c>
      <c r="E103" s="159"/>
      <c r="M103" s="590" t="str">
        <f>IF(AND($I$93="Stable Communities &lt; 20%",O103=""), "X","")</f>
        <v/>
      </c>
      <c r="N103" s="233" t="s">
        <v>3701</v>
      </c>
      <c r="O103" s="1184" t="s">
        <v>2311</v>
      </c>
      <c r="P103" s="355"/>
    </row>
    <row r="104" spans="1:16" ht="11.65" customHeight="1">
      <c r="A104" s="189" t="s">
        <v>3112</v>
      </c>
      <c r="B104" s="256" t="s">
        <v>477</v>
      </c>
      <c r="D104" s="42"/>
      <c r="E104" s="42"/>
      <c r="F104" s="42"/>
      <c r="H104" s="76"/>
      <c r="M104" s="70">
        <v>6</v>
      </c>
      <c r="N104" s="31"/>
      <c r="O104" s="31"/>
      <c r="P104" s="31"/>
    </row>
    <row r="105" spans="1:16" s="53" customFormat="1" ht="11.65" customHeight="1">
      <c r="A105" s="564" t="str">
        <f>IF($I$93="HOPE VI or Choice Neighborhoods Initiative", "X","")</f>
        <v/>
      </c>
      <c r="B105" s="565" t="s">
        <v>3113</v>
      </c>
      <c r="C105" s="118" t="s">
        <v>3905</v>
      </c>
      <c r="D105" s="139"/>
      <c r="G105" s="195"/>
      <c r="K105" s="139"/>
      <c r="L105" s="139"/>
      <c r="N105" s="31"/>
      <c r="O105" s="161" t="s">
        <v>3989</v>
      </c>
      <c r="P105" s="161" t="s">
        <v>3989</v>
      </c>
    </row>
    <row r="106" spans="1:16" ht="10.9" customHeight="1">
      <c r="B106" s="566" t="s">
        <v>3697</v>
      </c>
      <c r="C106" s="567" t="s">
        <v>1215</v>
      </c>
      <c r="D106" s="137"/>
      <c r="M106" s="589" t="str">
        <f>IF(AND($I$93="HOPE VI Initiative",O106=""), "X","")</f>
        <v/>
      </c>
      <c r="N106" s="233" t="s">
        <v>3697</v>
      </c>
      <c r="O106" s="1183" t="s">
        <v>2311</v>
      </c>
      <c r="P106" s="354"/>
    </row>
    <row r="107" spans="1:16" ht="10.9" customHeight="1">
      <c r="B107" s="566" t="s">
        <v>3698</v>
      </c>
      <c r="C107" s="567" t="s">
        <v>1216</v>
      </c>
      <c r="M107" s="589" t="str">
        <f>IF(AND($I$93="HOPE VI Initiative",O107=""), "X","")</f>
        <v/>
      </c>
      <c r="N107" s="233" t="s">
        <v>3698</v>
      </c>
      <c r="O107" s="1174" t="s">
        <v>2311</v>
      </c>
      <c r="P107" s="551"/>
    </row>
    <row r="108" spans="1:16" ht="10.9" customHeight="1">
      <c r="B108" s="566" t="s">
        <v>3699</v>
      </c>
      <c r="C108" s="567" t="s">
        <v>1090</v>
      </c>
      <c r="M108" s="589" t="str">
        <f>IF(AND($I$93="HOPE VI Initiative",O108=""), "X","")</f>
        <v/>
      </c>
      <c r="N108" s="233" t="s">
        <v>3699</v>
      </c>
      <c r="O108" s="1174" t="s">
        <v>2311</v>
      </c>
      <c r="P108" s="551"/>
    </row>
    <row r="109" spans="1:16" ht="10.9" customHeight="1">
      <c r="B109" s="566" t="s">
        <v>3700</v>
      </c>
      <c r="C109" s="72" t="s">
        <v>1091</v>
      </c>
      <c r="M109" s="589" t="str">
        <f>IF(AND($I$93="HOPE VI Initiative",O109=""), "X","")</f>
        <v/>
      </c>
      <c r="N109" s="233" t="s">
        <v>3700</v>
      </c>
      <c r="O109" s="1184" t="s">
        <v>2311</v>
      </c>
      <c r="P109" s="355"/>
    </row>
    <row r="110" spans="1:16" s="53" customFormat="1" ht="11.65" customHeight="1">
      <c r="A110" s="564"/>
      <c r="B110" s="565" t="s">
        <v>3115</v>
      </c>
      <c r="C110" s="153" t="s">
        <v>670</v>
      </c>
      <c r="D110" s="139"/>
      <c r="E110" s="50"/>
      <c r="G110" s="594" t="s">
        <v>1002</v>
      </c>
      <c r="M110" s="70"/>
      <c r="N110" s="565" t="s">
        <v>3115</v>
      </c>
      <c r="O110" s="1184" t="s">
        <v>2311</v>
      </c>
      <c r="P110" s="355"/>
    </row>
    <row r="111" spans="1:16" s="53" customFormat="1" ht="11.65" customHeight="1">
      <c r="A111" s="564" t="str">
        <f>IF($I$93="Redevelopment Zone", "X","")</f>
        <v/>
      </c>
      <c r="B111" s="565" t="s">
        <v>4028</v>
      </c>
      <c r="C111" s="153" t="s">
        <v>671</v>
      </c>
      <c r="D111" s="139"/>
      <c r="F111" s="589"/>
      <c r="G111" s="50" t="s">
        <v>1792</v>
      </c>
      <c r="H111" s="1185" t="s">
        <v>2803</v>
      </c>
      <c r="I111" s="161" t="s">
        <v>1576</v>
      </c>
      <c r="J111" s="1186"/>
      <c r="K111" s="1187"/>
      <c r="L111" s="1188"/>
      <c r="M111" s="70"/>
      <c r="N111" s="565" t="s">
        <v>4028</v>
      </c>
      <c r="O111" s="1184" t="s">
        <v>2311</v>
      </c>
      <c r="P111" s="355"/>
    </row>
    <row r="112" spans="1:16" s="53" customFormat="1" ht="11.65" customHeight="1">
      <c r="A112" s="564" t="str">
        <f>IF($I$93="Local Redevelopment Plan", "X","")</f>
        <v/>
      </c>
      <c r="B112" s="565" t="s">
        <v>1872</v>
      </c>
      <c r="C112" s="153" t="s">
        <v>1092</v>
      </c>
      <c r="D112" s="139"/>
      <c r="E112" s="50"/>
      <c r="F112" s="589"/>
      <c r="G112" s="50" t="s">
        <v>763</v>
      </c>
      <c r="H112" s="1189"/>
      <c r="I112" s="1190"/>
      <c r="J112" s="1190"/>
      <c r="K112" s="1190"/>
      <c r="L112" s="1191"/>
      <c r="M112" s="70"/>
      <c r="N112" s="565" t="s">
        <v>1872</v>
      </c>
      <c r="O112" s="1184" t="s">
        <v>2311</v>
      </c>
      <c r="P112" s="355"/>
    </row>
    <row r="113" spans="1:16" ht="11.65" customHeight="1">
      <c r="B113" s="566" t="s">
        <v>3697</v>
      </c>
      <c r="C113" s="50" t="s">
        <v>919</v>
      </c>
      <c r="D113" s="137"/>
      <c r="G113" s="137" t="s">
        <v>1094</v>
      </c>
      <c r="H113" s="1192"/>
      <c r="M113" s="589" t="str">
        <f>IF(AND($I$93="Local Redevelopment Plan",O113=""), "X","")</f>
        <v/>
      </c>
      <c r="N113" s="566" t="s">
        <v>3697</v>
      </c>
      <c r="O113" s="1183" t="s">
        <v>2311</v>
      </c>
      <c r="P113" s="354"/>
    </row>
    <row r="114" spans="1:16" ht="10.9" customHeight="1">
      <c r="B114" s="566" t="s">
        <v>3698</v>
      </c>
      <c r="C114" s="567" t="s">
        <v>3819</v>
      </c>
      <c r="D114" s="137"/>
      <c r="M114" s="589"/>
      <c r="N114" s="566" t="s">
        <v>3698</v>
      </c>
      <c r="O114" s="1193" t="s">
        <v>2311</v>
      </c>
      <c r="P114" s="617"/>
    </row>
    <row r="115" spans="1:16" ht="10.9" customHeight="1">
      <c r="B115" s="566" t="s">
        <v>3699</v>
      </c>
      <c r="C115" s="567" t="s">
        <v>3820</v>
      </c>
      <c r="M115" s="589" t="str">
        <f t="shared" ref="M115:M124" si="0">IF(AND($I$93="Local Redevelopment Plan",O115=""), "X","")</f>
        <v/>
      </c>
      <c r="N115" s="566" t="s">
        <v>3699</v>
      </c>
      <c r="O115" s="1174" t="s">
        <v>48</v>
      </c>
      <c r="P115" s="551"/>
    </row>
    <row r="116" spans="1:16" ht="10.9" customHeight="1">
      <c r="B116" s="566" t="s">
        <v>3700</v>
      </c>
      <c r="C116" s="567" t="s">
        <v>3821</v>
      </c>
      <c r="M116" s="589" t="str">
        <f t="shared" si="0"/>
        <v/>
      </c>
      <c r="N116" s="566" t="s">
        <v>3700</v>
      </c>
      <c r="O116" s="1174" t="s">
        <v>2311</v>
      </c>
      <c r="P116" s="551"/>
    </row>
    <row r="117" spans="1:16" ht="10.9" customHeight="1">
      <c r="B117" s="566" t="s">
        <v>3701</v>
      </c>
      <c r="C117" s="72" t="s">
        <v>3822</v>
      </c>
      <c r="M117" s="589" t="str">
        <f t="shared" si="0"/>
        <v/>
      </c>
      <c r="N117" s="566" t="s">
        <v>3701</v>
      </c>
      <c r="O117" s="1174" t="s">
        <v>2311</v>
      </c>
      <c r="P117" s="551"/>
    </row>
    <row r="118" spans="1:16" ht="10.9" customHeight="1">
      <c r="B118" s="566" t="s">
        <v>3906</v>
      </c>
      <c r="C118" s="567" t="s">
        <v>3732</v>
      </c>
      <c r="D118" s="137"/>
      <c r="M118" s="589" t="str">
        <f t="shared" si="0"/>
        <v/>
      </c>
      <c r="N118" s="566" t="s">
        <v>3906</v>
      </c>
      <c r="O118" s="1174" t="s">
        <v>2311</v>
      </c>
      <c r="P118" s="551"/>
    </row>
    <row r="119" spans="1:16" ht="10.9" customHeight="1">
      <c r="B119" s="566" t="s">
        <v>3907</v>
      </c>
      <c r="C119" s="567" t="s">
        <v>3926</v>
      </c>
      <c r="M119" s="589" t="str">
        <f t="shared" si="0"/>
        <v/>
      </c>
      <c r="N119" s="566" t="s">
        <v>3907</v>
      </c>
      <c r="O119" s="1184" t="s">
        <v>2311</v>
      </c>
      <c r="P119" s="355"/>
    </row>
    <row r="120" spans="1:16" ht="11.65" customHeight="1">
      <c r="A120" s="564" t="str">
        <f>IF($I$93="Stable Communities &lt; 20%", "X","")</f>
        <v/>
      </c>
      <c r="B120" s="584" t="s">
        <v>3824</v>
      </c>
      <c r="E120" s="159"/>
      <c r="M120" s="591"/>
      <c r="N120" s="31"/>
      <c r="O120" s="161" t="s">
        <v>3989</v>
      </c>
      <c r="P120" s="161" t="s">
        <v>3989</v>
      </c>
    </row>
    <row r="121" spans="1:16" ht="10.9" customHeight="1">
      <c r="B121" s="566" t="s">
        <v>3927</v>
      </c>
      <c r="C121" s="567" t="s">
        <v>3825</v>
      </c>
      <c r="M121" s="589" t="str">
        <f t="shared" si="0"/>
        <v/>
      </c>
      <c r="N121" s="566" t="s">
        <v>3927</v>
      </c>
      <c r="O121" s="1183" t="s">
        <v>2311</v>
      </c>
      <c r="P121" s="354"/>
    </row>
    <row r="122" spans="1:16" ht="10.9" customHeight="1">
      <c r="B122" s="566" t="s">
        <v>3928</v>
      </c>
      <c r="C122" s="72" t="s">
        <v>3826</v>
      </c>
      <c r="M122" s="589" t="str">
        <f t="shared" si="0"/>
        <v/>
      </c>
      <c r="N122" s="566" t="s">
        <v>3928</v>
      </c>
      <c r="O122" s="1174" t="s">
        <v>2311</v>
      </c>
      <c r="P122" s="551"/>
    </row>
    <row r="123" spans="1:16" ht="10.9" customHeight="1">
      <c r="B123" s="566" t="s">
        <v>3823</v>
      </c>
      <c r="C123" s="567" t="s">
        <v>3829</v>
      </c>
      <c r="M123" s="589" t="str">
        <f t="shared" si="0"/>
        <v/>
      </c>
      <c r="N123" s="566" t="s">
        <v>3823</v>
      </c>
      <c r="O123" s="1174" t="s">
        <v>2311</v>
      </c>
      <c r="P123" s="551"/>
    </row>
    <row r="124" spans="1:16" ht="10.9" customHeight="1">
      <c r="B124" s="566" t="s">
        <v>1093</v>
      </c>
      <c r="C124" s="72" t="s">
        <v>3830</v>
      </c>
      <c r="M124" s="589" t="str">
        <f t="shared" si="0"/>
        <v/>
      </c>
      <c r="N124" s="566" t="s">
        <v>1093</v>
      </c>
      <c r="O124" s="1184" t="s">
        <v>2311</v>
      </c>
      <c r="P124" s="355"/>
    </row>
    <row r="125" spans="1:16" s="53" customFormat="1" ht="13.9" customHeight="1">
      <c r="A125" s="52"/>
      <c r="B125" s="59" t="s">
        <v>582</v>
      </c>
      <c r="C125" s="52"/>
      <c r="D125" s="58"/>
      <c r="E125" s="58"/>
      <c r="F125" s="58"/>
      <c r="G125" s="58"/>
      <c r="H125" s="46"/>
      <c r="I125" s="46"/>
      <c r="J125" s="46"/>
      <c r="K125" s="46"/>
      <c r="M125" s="56"/>
      <c r="N125" s="77"/>
      <c r="O125" s="4"/>
      <c r="P125" s="33"/>
    </row>
    <row r="126" spans="1:16" s="53" customFormat="1" ht="23.65" customHeight="1">
      <c r="A126" s="1177" t="s">
        <v>11</v>
      </c>
      <c r="B126" s="1178"/>
      <c r="C126" s="1178"/>
      <c r="D126" s="1178"/>
      <c r="E126" s="1178"/>
      <c r="F126" s="1178"/>
      <c r="G126" s="1178"/>
      <c r="H126" s="1178"/>
      <c r="I126" s="1178"/>
      <c r="J126" s="1178"/>
      <c r="K126" s="1178"/>
      <c r="L126" s="1178"/>
      <c r="M126" s="1178"/>
      <c r="N126" s="1178"/>
      <c r="O126" s="1178"/>
      <c r="P126" s="1179"/>
    </row>
    <row r="127" spans="1:16" s="53" customFormat="1" ht="23.6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3089</v>
      </c>
      <c r="C128" s="52"/>
      <c r="D128" s="117"/>
      <c r="E128" s="740"/>
      <c r="F128" s="740"/>
      <c r="G128" s="740"/>
      <c r="H128" s="740"/>
      <c r="I128" s="740"/>
      <c r="J128" s="740"/>
      <c r="K128" s="740"/>
      <c r="L128" s="740"/>
      <c r="M128" s="740"/>
      <c r="N128" s="94"/>
      <c r="O128" s="90"/>
      <c r="P128" s="3"/>
    </row>
    <row r="129" spans="1:17" s="53" customFormat="1" ht="23.65" customHeight="1">
      <c r="A129" s="1048"/>
      <c r="B129" s="1049"/>
      <c r="C129" s="1049"/>
      <c r="D129" s="1049"/>
      <c r="E129" s="1049"/>
      <c r="F129" s="1049"/>
      <c r="G129" s="1049"/>
      <c r="H129" s="1049"/>
      <c r="I129" s="1049"/>
      <c r="J129" s="1049"/>
      <c r="K129" s="1049"/>
      <c r="L129" s="1049"/>
      <c r="M129" s="1049"/>
      <c r="N129" s="1049"/>
      <c r="O129" s="1049"/>
      <c r="P129" s="1050"/>
    </row>
    <row r="130" spans="1:17" s="53" customFormat="1" ht="23.65" customHeight="1">
      <c r="A130" s="1045"/>
      <c r="B130" s="1046"/>
      <c r="C130" s="1046"/>
      <c r="D130" s="1046"/>
      <c r="E130" s="1046"/>
      <c r="F130" s="1046"/>
      <c r="G130" s="1046"/>
      <c r="H130" s="1046"/>
      <c r="I130" s="1046"/>
      <c r="J130" s="1046"/>
      <c r="K130" s="1046"/>
      <c r="L130" s="1046"/>
      <c r="M130" s="1046"/>
      <c r="N130" s="1046"/>
      <c r="O130" s="1046"/>
      <c r="P130" s="1047"/>
    </row>
    <row r="131" spans="1:17" ht="3.4" customHeight="1">
      <c r="B131" s="159"/>
      <c r="C131" s="159"/>
      <c r="D131" s="159"/>
      <c r="E131" s="159"/>
    </row>
    <row r="132" spans="1:17" s="53" customFormat="1" ht="12" customHeight="1">
      <c r="A132" s="210" t="s">
        <v>505</v>
      </c>
      <c r="B132" s="142" t="s">
        <v>3831</v>
      </c>
      <c r="D132" s="51"/>
      <c r="E132" s="51"/>
      <c r="F132" s="51"/>
      <c r="H132" s="76"/>
      <c r="J132" s="76" t="s">
        <v>512</v>
      </c>
      <c r="K132" s="58"/>
      <c r="M132" s="3">
        <v>3</v>
      </c>
      <c r="N132" s="7"/>
      <c r="O132" s="96">
        <f>MIN($M132,(O133+O139))</f>
        <v>3</v>
      </c>
      <c r="P132" s="96">
        <f>MIN($M132,(P133+P139))</f>
        <v>3</v>
      </c>
      <c r="Q132" s="146" t="s">
        <v>651</v>
      </c>
    </row>
    <row r="133" spans="1:17" ht="12" customHeight="1">
      <c r="B133" s="738" t="s">
        <v>3000</v>
      </c>
      <c r="C133" s="256" t="s">
        <v>3566</v>
      </c>
      <c r="D133" s="42"/>
      <c r="E133" s="42"/>
      <c r="F133" s="42"/>
      <c r="G133" s="31" t="str">
        <f>IF(AND(O133&lt;0,M140&lt;0),"Select either A or B but not both!&gt;","")</f>
        <v/>
      </c>
      <c r="H133" s="42"/>
      <c r="I133" s="42"/>
      <c r="J133" s="42"/>
      <c r="K133" s="42"/>
      <c r="L133" s="573" t="str">
        <f>IF(OR($O133=$M133,$O133=0,$O133=""),"","* * Check Score! * *")</f>
        <v/>
      </c>
      <c r="M133" s="3">
        <v>3</v>
      </c>
      <c r="N133" s="62" t="s">
        <v>3000</v>
      </c>
      <c r="O133" s="1194">
        <v>0</v>
      </c>
      <c r="P133" s="696"/>
    </row>
    <row r="134" spans="1:17" s="137" customFormat="1" ht="22.9" customHeight="1">
      <c r="B134" s="596" t="s">
        <v>3113</v>
      </c>
      <c r="C134" s="1051" t="s">
        <v>1665</v>
      </c>
      <c r="D134" s="1004"/>
      <c r="E134" s="1004"/>
      <c r="F134" s="1004"/>
      <c r="G134" s="1004"/>
      <c r="H134" s="1004"/>
      <c r="I134" s="1004"/>
      <c r="J134" s="1004"/>
      <c r="K134" s="1004"/>
      <c r="L134" s="1004"/>
      <c r="M134" s="695"/>
      <c r="N134" s="596" t="s">
        <v>3113</v>
      </c>
      <c r="O134" s="1166" t="s">
        <v>2311</v>
      </c>
      <c r="P134" s="234"/>
    </row>
    <row r="135" spans="1:17" s="137" customFormat="1" ht="11.65" customHeight="1">
      <c r="B135" s="252"/>
      <c r="C135" s="160" t="s">
        <v>1666</v>
      </c>
      <c r="H135" s="137" t="s">
        <v>1536</v>
      </c>
      <c r="I135" s="1195"/>
      <c r="J135" s="137" t="s">
        <v>1031</v>
      </c>
      <c r="K135" s="1196"/>
      <c r="L135" s="1197"/>
      <c r="M135" s="1198"/>
    </row>
    <row r="136" spans="1:17" s="137" customFormat="1" ht="11.65" customHeight="1">
      <c r="B136" s="252" t="s">
        <v>3115</v>
      </c>
      <c r="C136" s="160" t="s">
        <v>1590</v>
      </c>
      <c r="M136" s="8"/>
      <c r="N136" s="252" t="s">
        <v>3115</v>
      </c>
      <c r="O136" s="1183" t="s">
        <v>2311</v>
      </c>
      <c r="P136" s="354"/>
    </row>
    <row r="137" spans="1:17" s="137" customFormat="1" ht="11.65" customHeight="1">
      <c r="B137" s="252" t="s">
        <v>4028</v>
      </c>
      <c r="C137" s="160" t="s">
        <v>1591</v>
      </c>
      <c r="M137" s="8"/>
      <c r="N137" s="252" t="s">
        <v>4028</v>
      </c>
      <c r="O137" s="1174" t="s">
        <v>139</v>
      </c>
      <c r="P137" s="551"/>
    </row>
    <row r="138" spans="1:17" s="137" customFormat="1" ht="11.65" customHeight="1">
      <c r="B138" s="252" t="s">
        <v>1872</v>
      </c>
      <c r="C138" s="160" t="s">
        <v>1672</v>
      </c>
      <c r="M138" s="8"/>
      <c r="N138" s="252" t="s">
        <v>1872</v>
      </c>
      <c r="O138" s="1184" t="s">
        <v>2311</v>
      </c>
      <c r="P138" s="355"/>
    </row>
    <row r="139" spans="1:17" ht="12" customHeight="1">
      <c r="A139" s="256" t="s">
        <v>2068</v>
      </c>
      <c r="B139" s="738" t="s">
        <v>3112</v>
      </c>
      <c r="C139" s="256" t="s">
        <v>3567</v>
      </c>
      <c r="D139" s="159"/>
      <c r="E139" s="159"/>
      <c r="M139" s="3">
        <v>3</v>
      </c>
      <c r="N139" s="62" t="s">
        <v>3112</v>
      </c>
      <c r="O139" s="697">
        <f>IF($M140=4,3,IF($M140=3,2,IF($M140=2,1,0)))</f>
        <v>3</v>
      </c>
      <c r="P139" s="697">
        <f>IF($M140=4,3,IF($M140=3,2,IF($M140=2,1,0)))</f>
        <v>3</v>
      </c>
    </row>
    <row r="140" spans="1:17" ht="12" customHeight="1">
      <c r="B140" s="125"/>
      <c r="D140" s="42"/>
      <c r="E140" s="42"/>
      <c r="F140" s="42"/>
      <c r="G140" s="50"/>
      <c r="H140" s="50"/>
      <c r="I140" s="50"/>
      <c r="J140" s="50"/>
      <c r="L140" s="592" t="s">
        <v>903</v>
      </c>
      <c r="M140" s="1166">
        <v>4</v>
      </c>
      <c r="N140" s="183" t="s">
        <v>904</v>
      </c>
      <c r="O140" s="139"/>
      <c r="P140" s="139"/>
    </row>
    <row r="141" spans="1:17" s="53" customFormat="1" ht="11.65" customHeight="1">
      <c r="A141" s="52"/>
      <c r="B141" s="59" t="s">
        <v>582</v>
      </c>
      <c r="C141" s="52"/>
      <c r="D141" s="58"/>
      <c r="E141" s="58"/>
      <c r="F141" s="58"/>
      <c r="G141" s="58"/>
      <c r="H141" s="46"/>
      <c r="I141" s="46"/>
      <c r="J141" s="46"/>
      <c r="K141" s="46"/>
      <c r="M141" s="56"/>
      <c r="N141" s="77"/>
      <c r="O141" s="4"/>
      <c r="P141" s="33"/>
    </row>
    <row r="142" spans="1:17" s="53" customFormat="1" ht="11.65" customHeight="1">
      <c r="A142" s="1159" t="s">
        <v>39</v>
      </c>
      <c r="B142" s="1160"/>
      <c r="C142" s="1160"/>
      <c r="D142" s="1160"/>
      <c r="E142" s="1160"/>
      <c r="F142" s="1160"/>
      <c r="G142" s="1160"/>
      <c r="H142" s="1160"/>
      <c r="I142" s="1160"/>
      <c r="J142" s="1160"/>
      <c r="K142" s="1160"/>
      <c r="L142" s="1160"/>
      <c r="M142" s="1160"/>
      <c r="N142" s="1160"/>
      <c r="O142" s="1160"/>
      <c r="P142" s="1161"/>
    </row>
    <row r="143" spans="1:17" s="53" customFormat="1" ht="11.65" customHeight="1">
      <c r="B143" s="117" t="s">
        <v>3089</v>
      </c>
      <c r="C143" s="135"/>
      <c r="D143" s="117"/>
      <c r="E143" s="136"/>
      <c r="F143" s="740"/>
      <c r="G143" s="740"/>
      <c r="H143" s="740"/>
      <c r="I143" s="740"/>
      <c r="J143" s="740"/>
      <c r="K143" s="740"/>
      <c r="L143" s="740"/>
      <c r="M143" s="740"/>
      <c r="N143" s="94"/>
      <c r="O143" s="90"/>
      <c r="P143" s="3"/>
    </row>
    <row r="144" spans="1:17" s="53" customFormat="1" ht="11.65" customHeight="1">
      <c r="A144" s="998"/>
      <c r="B144" s="999"/>
      <c r="C144" s="999"/>
      <c r="D144" s="999"/>
      <c r="E144" s="999"/>
      <c r="F144" s="999"/>
      <c r="G144" s="999"/>
      <c r="H144" s="999"/>
      <c r="I144" s="999"/>
      <c r="J144" s="999"/>
      <c r="K144" s="999"/>
      <c r="L144" s="999"/>
      <c r="M144" s="999"/>
      <c r="N144" s="999"/>
      <c r="O144" s="999"/>
      <c r="P144" s="1000"/>
    </row>
    <row r="145" spans="1:17" ht="8.65" customHeight="1">
      <c r="B145" s="159"/>
      <c r="C145" s="159"/>
      <c r="D145" s="159"/>
      <c r="E145" s="159"/>
    </row>
    <row r="146" spans="1:17" s="53" customFormat="1" ht="12" customHeight="1">
      <c r="A146" s="210" t="s">
        <v>506</v>
      </c>
      <c r="B146" s="142" t="s">
        <v>3746</v>
      </c>
      <c r="D146" s="51"/>
      <c r="E146" s="51"/>
      <c r="F146" s="51"/>
      <c r="H146" s="76"/>
      <c r="K146" s="58"/>
      <c r="L146" s="573" t="str">
        <f>IF(OR($O146=$M146,$O146=0,$O146=""),"","* * Check Score! * *")</f>
        <v/>
      </c>
      <c r="M146" s="3">
        <v>2</v>
      </c>
      <c r="N146" s="62"/>
      <c r="O146" s="1162">
        <v>2</v>
      </c>
      <c r="P146" s="89"/>
      <c r="Q146" s="146" t="s">
        <v>651</v>
      </c>
    </row>
    <row r="147" spans="1:17" ht="11.65" customHeight="1">
      <c r="B147" s="235" t="s">
        <v>2796</v>
      </c>
      <c r="E147" s="159"/>
      <c r="M147" s="591"/>
      <c r="N147" s="31"/>
      <c r="O147" s="31"/>
      <c r="P147" s="161" t="s">
        <v>3989</v>
      </c>
    </row>
    <row r="148" spans="1:17" ht="11.65" customHeight="1">
      <c r="A148" s="566" t="s">
        <v>3697</v>
      </c>
      <c r="B148" s="567" t="s">
        <v>3638</v>
      </c>
      <c r="D148" s="137"/>
      <c r="M148" s="589"/>
      <c r="N148" s="566"/>
      <c r="O148" s="566" t="s">
        <v>3697</v>
      </c>
      <c r="P148" s="354"/>
    </row>
    <row r="149" spans="1:17" ht="23.65" customHeight="1">
      <c r="A149" s="593" t="s">
        <v>3698</v>
      </c>
      <c r="B149" s="1070" t="s">
        <v>3837</v>
      </c>
      <c r="C149" s="1004"/>
      <c r="D149" s="1004"/>
      <c r="E149" s="1004"/>
      <c r="F149" s="1004"/>
      <c r="G149" s="1004"/>
      <c r="H149" s="1004"/>
      <c r="I149" s="1004"/>
      <c r="J149" s="1004"/>
      <c r="K149" s="1004"/>
      <c r="L149" s="1004"/>
      <c r="M149" s="1004"/>
      <c r="N149" s="1004"/>
      <c r="O149" s="566" t="s">
        <v>3698</v>
      </c>
      <c r="P149" s="551"/>
    </row>
    <row r="150" spans="1:17" ht="11.65" customHeight="1">
      <c r="A150" s="566" t="s">
        <v>3699</v>
      </c>
      <c r="B150" s="567" t="s">
        <v>3839</v>
      </c>
      <c r="M150" s="589"/>
      <c r="N150" s="566"/>
      <c r="O150" s="566" t="s">
        <v>3699</v>
      </c>
      <c r="P150" s="551"/>
    </row>
    <row r="151" spans="1:17" ht="11.65" customHeight="1">
      <c r="A151" s="566" t="s">
        <v>3700</v>
      </c>
      <c r="B151" s="72" t="s">
        <v>3268</v>
      </c>
      <c r="M151" s="589"/>
      <c r="N151" s="566"/>
      <c r="O151" s="566" t="s">
        <v>3700</v>
      </c>
      <c r="P151" s="551"/>
    </row>
    <row r="152" spans="1:17" ht="23.65" customHeight="1">
      <c r="A152" s="593" t="s">
        <v>3701</v>
      </c>
      <c r="B152" s="1070" t="s">
        <v>3269</v>
      </c>
      <c r="C152" s="1004"/>
      <c r="D152" s="1004"/>
      <c r="E152" s="1004"/>
      <c r="F152" s="1004"/>
      <c r="G152" s="1004"/>
      <c r="H152" s="1004"/>
      <c r="I152" s="1004"/>
      <c r="J152" s="1004"/>
      <c r="K152" s="1004"/>
      <c r="L152" s="1004"/>
      <c r="M152" s="1004"/>
      <c r="N152" s="1004"/>
      <c r="O152" s="566" t="s">
        <v>3701</v>
      </c>
      <c r="P152" s="551"/>
    </row>
    <row r="153" spans="1:17" ht="11.65" customHeight="1">
      <c r="A153" s="566" t="s">
        <v>3906</v>
      </c>
      <c r="B153" s="567" t="s">
        <v>3463</v>
      </c>
      <c r="M153" s="589"/>
      <c r="N153" s="566"/>
      <c r="O153" s="566" t="s">
        <v>3906</v>
      </c>
      <c r="P153" s="551"/>
    </row>
    <row r="154" spans="1:17" ht="11.65" customHeight="1">
      <c r="A154" s="566" t="s">
        <v>3907</v>
      </c>
      <c r="B154" s="567" t="s">
        <v>2527</v>
      </c>
      <c r="M154" s="589"/>
      <c r="N154" s="566"/>
      <c r="O154" s="566" t="s">
        <v>3907</v>
      </c>
      <c r="P154" s="551"/>
    </row>
    <row r="155" spans="1:17" ht="11.65" customHeight="1">
      <c r="A155" s="566" t="s">
        <v>3927</v>
      </c>
      <c r="B155" s="72" t="s">
        <v>2648</v>
      </c>
      <c r="M155" s="589"/>
      <c r="N155" s="566"/>
      <c r="O155" s="566" t="s">
        <v>3927</v>
      </c>
      <c r="P155" s="355"/>
    </row>
    <row r="156" spans="1:17" s="53" customFormat="1" ht="11.25" customHeight="1">
      <c r="A156" s="52"/>
      <c r="B156" s="59" t="s">
        <v>582</v>
      </c>
      <c r="C156" s="52"/>
      <c r="D156" s="58"/>
      <c r="E156" s="58"/>
      <c r="F156" s="58"/>
      <c r="G156" s="58"/>
      <c r="H156" s="46"/>
      <c r="I156" s="46"/>
      <c r="J156" s="46"/>
      <c r="K156" s="46"/>
      <c r="M156" s="56"/>
      <c r="N156" s="77"/>
      <c r="O156" s="4"/>
      <c r="P156" s="33"/>
    </row>
    <row r="157" spans="1:17" s="53" customFormat="1" ht="24.4" customHeight="1">
      <c r="A157" s="1152" t="s">
        <v>12</v>
      </c>
      <c r="B157" s="1153"/>
      <c r="C157" s="1153"/>
      <c r="D157" s="1153"/>
      <c r="E157" s="1153"/>
      <c r="F157" s="1153"/>
      <c r="G157" s="1153"/>
      <c r="H157" s="1153"/>
      <c r="I157" s="1153"/>
      <c r="J157" s="1153"/>
      <c r="K157" s="1153"/>
      <c r="L157" s="1153"/>
      <c r="M157" s="1153"/>
      <c r="N157" s="1153"/>
      <c r="O157" s="1153"/>
      <c r="P157" s="1154"/>
    </row>
    <row r="158" spans="1:17" s="53" customFormat="1" ht="24.4" customHeight="1">
      <c r="A158" s="1155" t="s">
        <v>13</v>
      </c>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3089</v>
      </c>
      <c r="C159" s="52"/>
      <c r="D159" s="117"/>
      <c r="E159" s="740"/>
      <c r="F159" s="740"/>
      <c r="G159" s="740"/>
      <c r="H159" s="740"/>
      <c r="I159" s="740"/>
      <c r="J159" s="740"/>
      <c r="K159" s="740"/>
      <c r="L159" s="740"/>
      <c r="M159" s="740"/>
      <c r="N159" s="94"/>
      <c r="O159" s="90"/>
      <c r="P159" s="3"/>
    </row>
    <row r="160" spans="1:17" s="53" customFormat="1" ht="24" customHeight="1">
      <c r="A160" s="991"/>
      <c r="B160" s="992"/>
      <c r="C160" s="992"/>
      <c r="D160" s="992"/>
      <c r="E160" s="992"/>
      <c r="F160" s="992"/>
      <c r="G160" s="992"/>
      <c r="H160" s="992"/>
      <c r="I160" s="992"/>
      <c r="J160" s="992"/>
      <c r="K160" s="992"/>
      <c r="L160" s="992"/>
      <c r="M160" s="992"/>
      <c r="N160" s="992"/>
      <c r="O160" s="992"/>
      <c r="P160" s="993"/>
    </row>
    <row r="161" spans="1:18" s="53" customFormat="1" ht="24" customHeight="1">
      <c r="A161" s="1011"/>
      <c r="B161" s="1012"/>
      <c r="C161" s="1012"/>
      <c r="D161" s="1012"/>
      <c r="E161" s="1012"/>
      <c r="F161" s="1012"/>
      <c r="G161" s="1012"/>
      <c r="H161" s="1012"/>
      <c r="I161" s="1012"/>
      <c r="J161" s="1012"/>
      <c r="K161" s="1012"/>
      <c r="L161" s="1012"/>
      <c r="M161" s="1012"/>
      <c r="N161" s="1012"/>
      <c r="O161" s="1012"/>
      <c r="P161" s="1013"/>
    </row>
    <row r="162" spans="1:18" s="53" customFormat="1" ht="24" customHeight="1">
      <c r="A162" s="1011"/>
      <c r="B162" s="1012"/>
      <c r="C162" s="1012"/>
      <c r="D162" s="1012"/>
      <c r="E162" s="1012"/>
      <c r="F162" s="1012"/>
      <c r="G162" s="1012"/>
      <c r="H162" s="1012"/>
      <c r="I162" s="1012"/>
      <c r="J162" s="1012"/>
      <c r="K162" s="1012"/>
      <c r="L162" s="1012"/>
      <c r="M162" s="1012"/>
      <c r="N162" s="1012"/>
      <c r="O162" s="1012"/>
      <c r="P162" s="1013"/>
    </row>
    <row r="163" spans="1:18" s="53" customFormat="1" ht="24" customHeight="1">
      <c r="A163" s="1011"/>
      <c r="B163" s="1012"/>
      <c r="C163" s="1012"/>
      <c r="D163" s="1012"/>
      <c r="E163" s="1012"/>
      <c r="F163" s="1012"/>
      <c r="G163" s="1012"/>
      <c r="H163" s="1012"/>
      <c r="I163" s="1012"/>
      <c r="J163" s="1012"/>
      <c r="K163" s="1012"/>
      <c r="L163" s="1012"/>
      <c r="M163" s="1012"/>
      <c r="N163" s="1012"/>
      <c r="O163" s="1012"/>
      <c r="P163" s="1013"/>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65" customHeight="1">
      <c r="B165" s="159"/>
      <c r="C165" s="159"/>
      <c r="D165" s="159"/>
      <c r="E165" s="159"/>
    </row>
    <row r="166" spans="1:18" s="53" customFormat="1" ht="12" customHeight="1">
      <c r="A166" s="211" t="s">
        <v>422</v>
      </c>
      <c r="B166" s="143" t="s">
        <v>3568</v>
      </c>
      <c r="C166" s="67"/>
      <c r="D166" s="158"/>
      <c r="E166" s="158"/>
      <c r="F166" s="51"/>
      <c r="H166" s="49"/>
      <c r="J166" s="76" t="s">
        <v>512</v>
      </c>
      <c r="K166" s="58"/>
      <c r="M166" s="3">
        <v>1</v>
      </c>
      <c r="N166" s="7"/>
      <c r="O166" s="96">
        <f>MIN($M166,SUM(O167:O168))</f>
        <v>1</v>
      </c>
      <c r="P166" s="96">
        <f>MIN($M166,SUM(P167:P168))</f>
        <v>0</v>
      </c>
      <c r="Q166" s="146" t="s">
        <v>651</v>
      </c>
    </row>
    <row r="167" spans="1:18" s="139" customFormat="1" ht="12" customHeight="1">
      <c r="B167" s="738" t="s">
        <v>3000</v>
      </c>
      <c r="C167" s="238" t="s">
        <v>3474</v>
      </c>
      <c r="D167" s="76"/>
      <c r="E167" s="76"/>
      <c r="G167" s="31"/>
      <c r="K167" s="62" t="s">
        <v>2264</v>
      </c>
      <c r="L167" s="1166" t="s">
        <v>3834</v>
      </c>
      <c r="M167" s="8">
        <v>1</v>
      </c>
      <c r="N167" s="62" t="s">
        <v>3000</v>
      </c>
      <c r="O167" s="1162">
        <v>1</v>
      </c>
      <c r="P167" s="89"/>
      <c r="Q167" s="146"/>
      <c r="R167" s="573" t="str">
        <f>IF(OR($O167=$M167,$O167=0,$O167=""),"","* * Check Score! * *")</f>
        <v/>
      </c>
    </row>
    <row r="168" spans="1:18" s="53" customFormat="1" ht="12" customHeight="1">
      <c r="B168" s="738" t="s">
        <v>3112</v>
      </c>
      <c r="C168" s="238" t="s">
        <v>3475</v>
      </c>
      <c r="D168" s="72"/>
      <c r="E168" s="40"/>
      <c r="F168" s="72"/>
      <c r="K168" s="65"/>
      <c r="L168" s="573" t="str">
        <f>IF(OR($O168=$M168,$O168=0,$O168=""),"","* * Check Score! * *")</f>
        <v/>
      </c>
      <c r="M168" s="8">
        <v>1</v>
      </c>
      <c r="N168" s="62" t="s">
        <v>3112</v>
      </c>
      <c r="O168" s="1162">
        <v>0</v>
      </c>
      <c r="P168" s="89"/>
      <c r="R168" s="573" t="str">
        <f>IF(OR($O168=$M168,$O168=0,$O168=""),"","* * Check Score! * *")</f>
        <v/>
      </c>
    </row>
    <row r="169" spans="1:18" s="53" customFormat="1" ht="11.25" customHeight="1">
      <c r="A169" s="52"/>
      <c r="B169" s="59" t="s">
        <v>582</v>
      </c>
      <c r="C169" s="52"/>
      <c r="D169" s="58"/>
      <c r="E169" s="58"/>
      <c r="F169" s="58"/>
      <c r="G169" s="58"/>
      <c r="H169" s="46"/>
      <c r="I169" s="46"/>
      <c r="J169" s="46"/>
      <c r="K169" s="46"/>
      <c r="M169" s="56"/>
      <c r="N169" s="77"/>
      <c r="O169" s="4"/>
      <c r="P169" s="33"/>
    </row>
    <row r="170" spans="1:18" s="53" customFormat="1" ht="12.4" customHeight="1">
      <c r="A170" s="1159"/>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3089</v>
      </c>
      <c r="C171" s="135"/>
      <c r="D171" s="117"/>
      <c r="E171" s="136"/>
      <c r="F171" s="740"/>
      <c r="G171" s="740"/>
      <c r="H171" s="740"/>
      <c r="I171" s="740"/>
      <c r="J171" s="740"/>
      <c r="K171" s="740"/>
      <c r="L171" s="740"/>
      <c r="M171" s="740"/>
      <c r="N171" s="94"/>
      <c r="O171" s="90"/>
      <c r="P171" s="3"/>
    </row>
    <row r="172" spans="1:18" s="53" customFormat="1" ht="12.4" customHeight="1">
      <c r="A172" s="991"/>
      <c r="B172" s="992"/>
      <c r="C172" s="992"/>
      <c r="D172" s="992"/>
      <c r="E172" s="992"/>
      <c r="F172" s="992"/>
      <c r="G172" s="992"/>
      <c r="H172" s="992"/>
      <c r="I172" s="992"/>
      <c r="J172" s="992"/>
      <c r="K172" s="992"/>
      <c r="L172" s="992"/>
      <c r="M172" s="992"/>
      <c r="N172" s="992"/>
      <c r="O172" s="992"/>
      <c r="P172" s="993"/>
    </row>
    <row r="173" spans="1:18" s="53" customFormat="1" ht="12.4" customHeight="1">
      <c r="A173" s="995"/>
      <c r="B173" s="996"/>
      <c r="C173" s="996"/>
      <c r="D173" s="996"/>
      <c r="E173" s="996"/>
      <c r="F173" s="996"/>
      <c r="G173" s="996"/>
      <c r="H173" s="996"/>
      <c r="I173" s="996"/>
      <c r="J173" s="996"/>
      <c r="K173" s="996"/>
      <c r="L173" s="996"/>
      <c r="M173" s="996"/>
      <c r="N173" s="996"/>
      <c r="O173" s="996"/>
      <c r="P173" s="997"/>
    </row>
    <row r="174" spans="1:18" s="53" customFormat="1" ht="3.4"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339</v>
      </c>
      <c r="B175" s="143" t="s">
        <v>3789</v>
      </c>
      <c r="C175" s="67"/>
      <c r="D175" s="158"/>
      <c r="E175" s="158"/>
      <c r="F175" s="51"/>
      <c r="H175" s="49"/>
      <c r="J175" s="76" t="s">
        <v>512</v>
      </c>
      <c r="K175" s="58"/>
      <c r="M175" s="3">
        <v>6</v>
      </c>
      <c r="N175" s="7"/>
      <c r="O175" s="96">
        <f>MIN($M175,(O176+O180))</f>
        <v>0</v>
      </c>
      <c r="P175" s="96">
        <f>MIN($M175,(P176+P180))</f>
        <v>0</v>
      </c>
      <c r="Q175" s="146" t="s">
        <v>651</v>
      </c>
    </row>
    <row r="176" spans="1:18" s="53" customFormat="1" ht="12" customHeight="1">
      <c r="B176" s="738" t="s">
        <v>3000</v>
      </c>
      <c r="C176" s="238" t="s">
        <v>2966</v>
      </c>
      <c r="D176" s="158"/>
      <c r="E176" s="158"/>
      <c r="F176" s="51"/>
      <c r="H176" s="49"/>
      <c r="I176" s="49"/>
      <c r="J176" s="49"/>
      <c r="K176" s="49"/>
      <c r="L176" s="573" t="str">
        <f>IF($O176&lt;=$M176,"","* * Check Score! * *")</f>
        <v/>
      </c>
      <c r="M176" s="3">
        <v>3</v>
      </c>
      <c r="N176" s="83" t="s">
        <v>3000</v>
      </c>
      <c r="O176" s="128">
        <f>IF(O177="One",$M178, IF(O177="Two",$M179,0))</f>
        <v>0</v>
      </c>
      <c r="P176" s="128">
        <f>IF(P177="One",$M178, IF(P177="Two",$M179,0))</f>
        <v>0</v>
      </c>
      <c r="Q176" s="146"/>
    </row>
    <row r="177" spans="1:18" s="53" customFormat="1" ht="24" customHeight="1">
      <c r="B177" s="738"/>
      <c r="C177" s="1055" t="s">
        <v>162</v>
      </c>
      <c r="D177" s="892"/>
      <c r="E177" s="892"/>
      <c r="F177" s="892"/>
      <c r="G177" s="892"/>
      <c r="H177" s="892"/>
      <c r="I177" s="892"/>
      <c r="J177" s="892"/>
      <c r="K177" s="892"/>
      <c r="L177" s="892"/>
      <c r="M177" s="3"/>
      <c r="N177" s="83"/>
      <c r="O177" s="1162"/>
      <c r="P177" s="89"/>
      <c r="Q177" s="146"/>
    </row>
    <row r="178" spans="1:18" s="692" customFormat="1" ht="35.65" customHeight="1">
      <c r="A178" s="691" t="str">
        <f>IF($I$93="HOPE VI Initiative", "X","")</f>
        <v/>
      </c>
      <c r="B178" s="693" t="s">
        <v>3113</v>
      </c>
      <c r="C178" s="1055" t="s">
        <v>161</v>
      </c>
      <c r="D178" s="1055"/>
      <c r="E178" s="1055"/>
      <c r="F178" s="1055"/>
      <c r="G178" s="1055"/>
      <c r="H178" s="1055"/>
      <c r="I178" s="1055"/>
      <c r="J178" s="1055"/>
      <c r="K178" s="1055"/>
      <c r="L178" s="1055"/>
      <c r="M178" s="694">
        <v>3</v>
      </c>
    </row>
    <row r="179" spans="1:18" s="692" customFormat="1" ht="26.65" customHeight="1">
      <c r="A179" s="691" t="str">
        <f>IF($I$93="HOPE VI Initiative", "X","")</f>
        <v/>
      </c>
      <c r="B179" s="693" t="s">
        <v>3115</v>
      </c>
      <c r="C179" s="1055" t="s">
        <v>2945</v>
      </c>
      <c r="D179" s="1055"/>
      <c r="E179" s="1055"/>
      <c r="F179" s="1055"/>
      <c r="G179" s="1055"/>
      <c r="H179" s="1055"/>
      <c r="I179" s="1055"/>
      <c r="J179" s="1055"/>
      <c r="K179" s="1055"/>
      <c r="L179" s="1055"/>
      <c r="M179" s="694">
        <v>1</v>
      </c>
    </row>
    <row r="180" spans="1:18" ht="12" customHeight="1">
      <c r="B180" s="738" t="s">
        <v>3112</v>
      </c>
      <c r="C180" s="238" t="s">
        <v>2649</v>
      </c>
      <c r="D180" s="42"/>
      <c r="E180" s="42"/>
      <c r="F180" s="42"/>
      <c r="G180" s="157"/>
      <c r="H180" s="42"/>
      <c r="I180" s="42"/>
      <c r="J180" s="42"/>
      <c r="K180" s="42"/>
      <c r="L180" s="42"/>
      <c r="M180" s="1">
        <v>6</v>
      </c>
      <c r="N180" s="62" t="s">
        <v>3112</v>
      </c>
      <c r="O180" s="128">
        <f>IF((O181+O182+O183)=7,5,MIN($M180,(O181+O182+O183)))</f>
        <v>0</v>
      </c>
      <c r="P180" s="128">
        <f>IF((P181+P182+P183)=7,5,MIN($M180,(P181+P182+P183)))</f>
        <v>0</v>
      </c>
      <c r="R180" s="573" t="str">
        <f>IF(OR($O180=$M180,$O180=0,$O180=""),"","* * Check Score! * *")</f>
        <v/>
      </c>
    </row>
    <row r="181" spans="1:18" s="137" customFormat="1" ht="11.65" customHeight="1">
      <c r="B181" s="252" t="s">
        <v>3113</v>
      </c>
      <c r="C181" s="160" t="s">
        <v>2651</v>
      </c>
      <c r="L181" s="573"/>
      <c r="M181" s="8">
        <v>6</v>
      </c>
      <c r="N181" s="252" t="s">
        <v>3113</v>
      </c>
      <c r="O181" s="1162">
        <v>0</v>
      </c>
      <c r="P181" s="89"/>
    </row>
    <row r="182" spans="1:18" s="137" customFormat="1" ht="11.65" customHeight="1">
      <c r="B182" s="252" t="s">
        <v>3115</v>
      </c>
      <c r="C182" s="160" t="s">
        <v>2652</v>
      </c>
      <c r="L182" s="573" t="str">
        <f>IF(OR($O182=$M182,$O182=0,$O182=""),"","* * Check Score! * *")</f>
        <v/>
      </c>
      <c r="M182" s="8">
        <v>2</v>
      </c>
      <c r="N182" s="252" t="s">
        <v>3115</v>
      </c>
      <c r="O182" s="1162">
        <v>0</v>
      </c>
      <c r="P182" s="89"/>
    </row>
    <row r="183" spans="1:18" s="137" customFormat="1" ht="11.65" customHeight="1">
      <c r="B183" s="252" t="s">
        <v>4028</v>
      </c>
      <c r="C183" s="160" t="s">
        <v>2650</v>
      </c>
      <c r="L183" s="573" t="str">
        <f>IF(OR($O183=$M183,$O183=0,$O183=""),"","* * Check Score! * *")</f>
        <v/>
      </c>
      <c r="M183" s="8">
        <v>2</v>
      </c>
      <c r="N183" s="252" t="s">
        <v>4028</v>
      </c>
      <c r="O183" s="1162">
        <v>0</v>
      </c>
      <c r="P183" s="89"/>
    </row>
    <row r="184" spans="1:18" s="53" customFormat="1" ht="11.25" customHeight="1">
      <c r="A184" s="52"/>
      <c r="B184" s="59" t="s">
        <v>582</v>
      </c>
      <c r="C184" s="52"/>
      <c r="D184" s="58"/>
      <c r="E184" s="58"/>
      <c r="F184" s="58"/>
      <c r="G184" s="58"/>
      <c r="H184" s="46"/>
      <c r="I184" s="46"/>
      <c r="J184" s="46"/>
      <c r="K184" s="46"/>
      <c r="M184" s="56"/>
      <c r="N184" s="77"/>
      <c r="O184" s="4"/>
      <c r="P184" s="33"/>
    </row>
    <row r="185" spans="1:18" s="53" customFormat="1" ht="25.15" customHeight="1">
      <c r="A185" s="1152" t="s">
        <v>88</v>
      </c>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3089</v>
      </c>
      <c r="C187" s="135"/>
      <c r="D187" s="117"/>
      <c r="E187" s="136"/>
      <c r="F187" s="740"/>
      <c r="G187" s="740"/>
      <c r="H187" s="740"/>
      <c r="I187" s="740"/>
      <c r="J187" s="740"/>
      <c r="K187" s="740"/>
      <c r="L187" s="740"/>
      <c r="M187" s="740"/>
      <c r="N187" s="94"/>
      <c r="O187" s="90"/>
      <c r="P187" s="3"/>
    </row>
    <row r="188" spans="1:18" s="53" customFormat="1" ht="25.15" customHeight="1">
      <c r="A188" s="991"/>
      <c r="B188" s="992"/>
      <c r="C188" s="992"/>
      <c r="D188" s="992"/>
      <c r="E188" s="992"/>
      <c r="F188" s="992"/>
      <c r="G188" s="992"/>
      <c r="H188" s="992"/>
      <c r="I188" s="992"/>
      <c r="J188" s="992"/>
      <c r="K188" s="992"/>
      <c r="L188" s="992"/>
      <c r="M188" s="992"/>
      <c r="N188" s="992"/>
      <c r="O188" s="992"/>
      <c r="P188" s="993"/>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340</v>
      </c>
      <c r="B191" s="151" t="s">
        <v>1049</v>
      </c>
      <c r="C191" s="119"/>
      <c r="D191" s="73"/>
      <c r="E191" s="65"/>
      <c r="J191" s="76" t="s">
        <v>512</v>
      </c>
      <c r="M191" s="3">
        <v>3</v>
      </c>
      <c r="N191" s="7"/>
      <c r="O191" s="96">
        <f>MIN($M191,O193+O192)</f>
        <v>0</v>
      </c>
      <c r="P191" s="96">
        <f>MIN($M191,P193+P192)</f>
        <v>0</v>
      </c>
      <c r="Q191" s="146" t="s">
        <v>651</v>
      </c>
    </row>
    <row r="192" spans="1:18" s="53" customFormat="1" ht="12" customHeight="1">
      <c r="A192" s="189" t="s">
        <v>3000</v>
      </c>
      <c r="B192" s="398" t="s">
        <v>921</v>
      </c>
      <c r="D192" s="42"/>
      <c r="E192" s="42"/>
      <c r="F192" s="42"/>
      <c r="L192" s="573" t="str">
        <f>IF(OR($O192=$M192,$O192=0,$O192=""),"","* * Check Score! * *")</f>
        <v/>
      </c>
      <c r="M192" s="7">
        <v>3</v>
      </c>
      <c r="N192" s="62" t="s">
        <v>3000</v>
      </c>
      <c r="O192" s="1162">
        <v>0</v>
      </c>
      <c r="P192" s="89"/>
      <c r="Q192" s="146"/>
      <c r="R192" s="573" t="str">
        <f>IF(OR($O192=$M192,$O192=0,$O192=""),"","* * Check Score! * *")</f>
        <v/>
      </c>
    </row>
    <row r="193" spans="1:18" s="53" customFormat="1" ht="12" customHeight="1">
      <c r="A193" s="189" t="s">
        <v>3112</v>
      </c>
      <c r="B193" s="398" t="s">
        <v>2884</v>
      </c>
      <c r="D193" s="50"/>
      <c r="E193" s="50"/>
      <c r="F193" s="40"/>
      <c r="G193" s="139"/>
      <c r="H193" s="139"/>
      <c r="I193" s="139"/>
      <c r="J193" s="139"/>
      <c r="K193" s="139"/>
      <c r="L193" s="573" t="str">
        <f>IF(OR($O193=$M193,$O193=0,$O193=""),"","* * Check Score! * *")</f>
        <v/>
      </c>
      <c r="M193" s="7">
        <v>2</v>
      </c>
      <c r="N193" s="62" t="s">
        <v>3112</v>
      </c>
      <c r="O193" s="1162">
        <v>0</v>
      </c>
      <c r="P193" s="89"/>
      <c r="R193" s="573" t="str">
        <f>IF(OR($O193=$M193,$O193=0,$O193=""),"","* * Check Score! * *")</f>
        <v/>
      </c>
    </row>
    <row r="194" spans="1:18" s="53" customFormat="1" ht="12" customHeight="1">
      <c r="A194" s="52"/>
      <c r="B194" s="59" t="s">
        <v>582</v>
      </c>
      <c r="C194" s="52"/>
      <c r="D194" s="58"/>
      <c r="E194" s="58"/>
      <c r="F194" s="58"/>
      <c r="G194" s="58"/>
      <c r="H194" s="46"/>
      <c r="I194" s="46"/>
      <c r="J194" s="46"/>
      <c r="K194" s="46"/>
      <c r="M194" s="56"/>
      <c r="N194" s="77"/>
      <c r="O194" s="4"/>
      <c r="P194" s="33"/>
    </row>
    <row r="195" spans="1:18" s="53" customFormat="1" ht="25.15" customHeight="1">
      <c r="A195" s="1159" t="s">
        <v>89</v>
      </c>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3089</v>
      </c>
      <c r="C196" s="135"/>
      <c r="D196" s="117"/>
      <c r="E196" s="136"/>
      <c r="F196" s="740"/>
      <c r="G196" s="740"/>
      <c r="H196" s="740"/>
      <c r="I196" s="740"/>
      <c r="J196" s="740"/>
      <c r="K196" s="740"/>
      <c r="L196" s="740"/>
      <c r="M196" s="740"/>
      <c r="N196" s="94"/>
      <c r="O196" s="90"/>
      <c r="P196" s="3"/>
    </row>
    <row r="197" spans="1:18" s="53" customFormat="1" ht="25.15" customHeight="1">
      <c r="A197" s="998"/>
      <c r="B197" s="999"/>
      <c r="C197" s="999"/>
      <c r="D197" s="999"/>
      <c r="E197" s="999"/>
      <c r="F197" s="999"/>
      <c r="G197" s="999"/>
      <c r="H197" s="999"/>
      <c r="I197" s="999"/>
      <c r="J197" s="999"/>
      <c r="K197" s="999"/>
      <c r="L197" s="999"/>
      <c r="M197" s="999"/>
      <c r="N197" s="999"/>
      <c r="O197" s="999"/>
      <c r="P197" s="1000"/>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2143</v>
      </c>
      <c r="B199" s="151" t="s">
        <v>2653</v>
      </c>
      <c r="C199" s="119"/>
      <c r="D199" s="73"/>
      <c r="E199" s="65"/>
      <c r="J199" s="76" t="s">
        <v>512</v>
      </c>
      <c r="M199" s="3">
        <v>2</v>
      </c>
      <c r="N199" s="7"/>
      <c r="O199" s="96">
        <f>MIN($M199,O201+O200)</f>
        <v>0</v>
      </c>
      <c r="P199" s="96">
        <f>MIN($M199,P201+P200)</f>
        <v>0</v>
      </c>
      <c r="Q199" s="146" t="s">
        <v>651</v>
      </c>
    </row>
    <row r="200" spans="1:18" s="53" customFormat="1" ht="12" customHeight="1">
      <c r="A200" s="189" t="s">
        <v>3000</v>
      </c>
      <c r="B200" s="147" t="s">
        <v>2532</v>
      </c>
      <c r="D200" s="42"/>
      <c r="E200" s="42"/>
      <c r="F200" s="42"/>
      <c r="L200" s="573" t="str">
        <f>IF(OR($O200=$M200,$O200=0,$O200=""),"","* * Check Score! * *")</f>
        <v/>
      </c>
      <c r="M200" s="7">
        <v>2</v>
      </c>
      <c r="N200" s="62" t="s">
        <v>3000</v>
      </c>
      <c r="O200" s="1162">
        <v>0</v>
      </c>
      <c r="P200" s="89"/>
      <c r="Q200" s="146"/>
      <c r="R200" s="573" t="str">
        <f>IF(OR($O200=$M200,$O200=0,$O200=""),"","* * Check Score! * *")</f>
        <v/>
      </c>
    </row>
    <row r="201" spans="1:18" s="53" customFormat="1" ht="12" customHeight="1">
      <c r="A201" s="189" t="s">
        <v>3112</v>
      </c>
      <c r="B201" s="147" t="s">
        <v>2667</v>
      </c>
      <c r="D201" s="50"/>
      <c r="E201" s="50"/>
      <c r="F201" s="40"/>
      <c r="G201" s="139"/>
      <c r="H201" s="139"/>
      <c r="I201" s="139"/>
      <c r="J201" s="139"/>
      <c r="K201" s="139"/>
      <c r="L201" s="46"/>
      <c r="M201" s="7">
        <v>1</v>
      </c>
      <c r="N201" s="62" t="s">
        <v>3112</v>
      </c>
      <c r="O201" s="1162">
        <v>0</v>
      </c>
      <c r="P201" s="89"/>
      <c r="R201" s="573" t="str">
        <f>IF(OR($O201=$M201,$O201=0,$O201=""),"","* * Check Score! * *")</f>
        <v/>
      </c>
    </row>
    <row r="202" spans="1:18" s="53" customFormat="1" ht="12" customHeight="1">
      <c r="A202" s="52"/>
      <c r="B202" s="59" t="s">
        <v>582</v>
      </c>
      <c r="C202" s="52"/>
      <c r="D202" s="58"/>
      <c r="E202" s="58"/>
      <c r="F202" s="58"/>
      <c r="G202" s="58"/>
      <c r="H202" s="46"/>
      <c r="I202" s="46"/>
      <c r="J202" s="46"/>
      <c r="K202" s="46"/>
      <c r="M202" s="56"/>
      <c r="N202" s="77"/>
      <c r="O202" s="4"/>
      <c r="P202" s="33"/>
    </row>
    <row r="203" spans="1:18" s="53" customFormat="1" ht="25.15" customHeight="1">
      <c r="A203" s="1159" t="s">
        <v>7</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3089</v>
      </c>
      <c r="C204" s="135"/>
      <c r="D204" s="117"/>
      <c r="E204" s="136"/>
      <c r="F204" s="740"/>
      <c r="G204" s="740"/>
      <c r="H204" s="740"/>
      <c r="I204" s="740"/>
      <c r="J204" s="740"/>
      <c r="K204" s="740"/>
      <c r="L204" s="740"/>
      <c r="M204" s="740"/>
      <c r="N204" s="94"/>
      <c r="O204" s="90"/>
      <c r="P204" s="3"/>
    </row>
    <row r="205" spans="1:18" s="53" customFormat="1" ht="25.15" customHeight="1">
      <c r="A205" s="998"/>
      <c r="B205" s="999"/>
      <c r="C205" s="999"/>
      <c r="D205" s="999"/>
      <c r="E205" s="999"/>
      <c r="F205" s="999"/>
      <c r="G205" s="999"/>
      <c r="H205" s="999"/>
      <c r="I205" s="999"/>
      <c r="J205" s="999"/>
      <c r="K205" s="999"/>
      <c r="L205" s="999"/>
      <c r="M205" s="999"/>
      <c r="N205" s="999"/>
      <c r="O205" s="999"/>
      <c r="P205" s="1000"/>
    </row>
    <row r="206" spans="1:18" ht="6.4" customHeight="1"/>
    <row r="207" spans="1:18" s="78" customFormat="1" ht="12.4" customHeight="1">
      <c r="A207" s="210" t="s">
        <v>2668</v>
      </c>
      <c r="B207" s="142" t="s">
        <v>1050</v>
      </c>
      <c r="G207" s="158"/>
      <c r="H207" s="158"/>
      <c r="I207" s="158"/>
      <c r="J207" s="263" t="s">
        <v>3759</v>
      </c>
      <c r="K207" s="158"/>
      <c r="L207" s="573" t="str">
        <f>IF(OR($O207=$M207,$O207=0,$O207=2,$O207=""),"","* * Check Score! * *")</f>
        <v/>
      </c>
      <c r="M207" s="3">
        <v>3</v>
      </c>
      <c r="N207" s="7"/>
      <c r="O207" s="81">
        <f>IF(OR(AND(J209=2,M209=3),AND(J209="",M209=3)),3,IF(AND(J209=3,M209=2),2,0))</f>
        <v>3</v>
      </c>
      <c r="P207" s="89"/>
      <c r="Q207" s="146" t="s">
        <v>651</v>
      </c>
      <c r="R207" s="31"/>
    </row>
    <row r="208" spans="1:18" s="78" customFormat="1" ht="25.15" customHeight="1">
      <c r="A208" s="210"/>
      <c r="B208" s="1058" t="s">
        <v>1805</v>
      </c>
      <c r="C208" s="1119"/>
      <c r="D208" s="1119"/>
      <c r="E208" s="1119"/>
      <c r="F208" s="1119"/>
      <c r="G208" s="1119"/>
      <c r="H208" s="1119"/>
      <c r="I208" s="1119"/>
      <c r="J208" s="1119"/>
      <c r="K208" s="1119"/>
      <c r="L208" s="1119"/>
      <c r="M208" s="1119"/>
      <c r="N208" s="3"/>
      <c r="O208" s="3"/>
      <c r="P208" s="3"/>
      <c r="Q208" s="146"/>
      <c r="R208" s="573"/>
    </row>
    <row r="209" spans="1:18" s="690" customFormat="1" ht="12.4" customHeight="1">
      <c r="A209" s="699"/>
      <c r="C209" s="65" t="s">
        <v>1031</v>
      </c>
      <c r="D209" s="1199" t="s">
        <v>40</v>
      </c>
      <c r="E209" s="1200"/>
      <c r="F209" s="1200"/>
      <c r="G209" s="1201"/>
      <c r="I209" s="702" t="s">
        <v>1726</v>
      </c>
      <c r="J209" s="1166"/>
      <c r="L209" s="702" t="s">
        <v>1716</v>
      </c>
      <c r="M209" s="1166">
        <v>3</v>
      </c>
      <c r="N209" s="64"/>
      <c r="O209" s="64"/>
      <c r="P209" s="64"/>
      <c r="Q209" s="701"/>
      <c r="R209" s="700"/>
    </row>
    <row r="210" spans="1:18" s="53" customFormat="1" ht="13.9" customHeight="1">
      <c r="A210" s="52"/>
      <c r="B210" s="59" t="s">
        <v>582</v>
      </c>
      <c r="C210" s="52"/>
      <c r="D210" s="58"/>
      <c r="E210" s="58"/>
      <c r="F210" s="58"/>
      <c r="G210" s="58"/>
      <c r="H210" s="46"/>
      <c r="I210" s="46"/>
      <c r="J210" s="117" t="s">
        <v>3089</v>
      </c>
      <c r="M210" s="56"/>
      <c r="N210" s="77"/>
      <c r="O210" s="4"/>
      <c r="P210" s="33"/>
    </row>
    <row r="211" spans="1:18" s="53" customFormat="1" ht="25.15" customHeight="1">
      <c r="A211" s="1159" t="s">
        <v>61</v>
      </c>
      <c r="B211" s="1160"/>
      <c r="C211" s="1160"/>
      <c r="D211" s="1160"/>
      <c r="E211" s="1160"/>
      <c r="F211" s="1160"/>
      <c r="G211" s="1160"/>
      <c r="H211" s="1160"/>
      <c r="I211" s="1161"/>
      <c r="J211" s="998"/>
      <c r="K211" s="999"/>
      <c r="L211" s="999"/>
      <c r="M211" s="999"/>
      <c r="N211" s="999"/>
      <c r="O211" s="999"/>
      <c r="P211" s="1000"/>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2670</v>
      </c>
      <c r="B213" s="152" t="s">
        <v>2669</v>
      </c>
      <c r="D213" s="120"/>
      <c r="E213" s="120"/>
      <c r="F213" s="65"/>
      <c r="G213" s="65"/>
      <c r="H213" s="65"/>
      <c r="I213" s="65"/>
      <c r="J213" s="67"/>
      <c r="K213" s="75"/>
      <c r="L213" s="573" t="str">
        <f>IF(OR($O213=$M213,$O213=0,$O213=""),"","* * Check Score! * *")</f>
        <v/>
      </c>
      <c r="M213" s="1">
        <v>1</v>
      </c>
      <c r="N213" s="62"/>
      <c r="O213" s="1162">
        <v>0</v>
      </c>
      <c r="P213" s="89"/>
      <c r="Q213" s="146" t="s">
        <v>651</v>
      </c>
    </row>
    <row r="214" spans="1:18" s="53" customFormat="1" ht="12.4" customHeight="1">
      <c r="A214" s="52"/>
      <c r="B214" s="153" t="s">
        <v>3032</v>
      </c>
      <c r="D214" s="139"/>
      <c r="E214" s="1202" t="s">
        <v>2663</v>
      </c>
      <c r="F214" s="1203"/>
      <c r="G214" s="1204"/>
      <c r="H214" s="1205"/>
      <c r="I214" s="64" t="s">
        <v>3031</v>
      </c>
      <c r="O214" s="161" t="s">
        <v>3989</v>
      </c>
      <c r="P214" s="161" t="s">
        <v>3989</v>
      </c>
    </row>
    <row r="215" spans="1:18" s="137" customFormat="1" ht="11.65" customHeight="1">
      <c r="B215" s="566" t="s">
        <v>3697</v>
      </c>
      <c r="C215" s="160" t="s">
        <v>2809</v>
      </c>
      <c r="D215" s="160"/>
      <c r="E215" s="160"/>
      <c r="F215" s="160"/>
      <c r="G215" s="1206" t="s">
        <v>3922</v>
      </c>
      <c r="H215" s="1207"/>
      <c r="I215" s="1208"/>
      <c r="J215" s="1206" t="s">
        <v>1842</v>
      </c>
      <c r="K215" s="1207"/>
      <c r="L215" s="1208"/>
      <c r="N215" s="566" t="s">
        <v>3697</v>
      </c>
      <c r="O215" s="1166" t="s">
        <v>2311</v>
      </c>
      <c r="P215" s="234"/>
    </row>
    <row r="216" spans="1:18" s="137" customFormat="1" ht="11.65" customHeight="1">
      <c r="B216" s="566" t="s">
        <v>3698</v>
      </c>
      <c r="C216" s="160" t="s">
        <v>630</v>
      </c>
      <c r="D216" s="160"/>
      <c r="E216" s="160"/>
      <c r="F216" s="160"/>
      <c r="G216" s="160"/>
      <c r="L216" s="160"/>
      <c r="M216" s="160"/>
      <c r="N216" s="566" t="s">
        <v>3698</v>
      </c>
      <c r="O216" s="1166" t="s">
        <v>2311</v>
      </c>
      <c r="P216" s="234"/>
    </row>
    <row r="217" spans="1:18" s="137" customFormat="1" ht="11.65" customHeight="1">
      <c r="B217" s="566" t="s">
        <v>3699</v>
      </c>
      <c r="C217" s="160" t="s">
        <v>2465</v>
      </c>
      <c r="D217" s="160"/>
      <c r="E217" s="160"/>
      <c r="F217" s="160"/>
      <c r="G217" s="160"/>
      <c r="H217" s="160"/>
      <c r="L217" s="160"/>
      <c r="M217" s="160"/>
      <c r="N217" s="566" t="s">
        <v>3699</v>
      </c>
      <c r="O217" s="1166" t="s">
        <v>2311</v>
      </c>
      <c r="P217" s="234"/>
    </row>
    <row r="218" spans="1:18" s="137" customFormat="1" ht="11.65" customHeight="1">
      <c r="B218" s="566" t="s">
        <v>3700</v>
      </c>
      <c r="C218" s="160" t="s">
        <v>3639</v>
      </c>
      <c r="D218" s="160"/>
      <c r="E218" s="160"/>
      <c r="F218" s="160"/>
      <c r="G218" s="160"/>
      <c r="H218" s="160"/>
      <c r="I218" s="160"/>
      <c r="J218" s="160"/>
      <c r="K218" s="160"/>
      <c r="L218" s="160"/>
      <c r="M218" s="160"/>
      <c r="N218" s="566" t="s">
        <v>3700</v>
      </c>
      <c r="O218" s="1166" t="s">
        <v>2311</v>
      </c>
      <c r="P218" s="234"/>
    </row>
    <row r="219" spans="1:18" ht="6.4" customHeight="1"/>
    <row r="220" spans="1:18" s="53" customFormat="1" ht="11.25" customHeight="1">
      <c r="A220" s="52"/>
      <c r="B220" s="59" t="s">
        <v>582</v>
      </c>
      <c r="C220" s="52"/>
      <c r="D220" s="58"/>
      <c r="E220" s="58"/>
      <c r="F220" s="58"/>
      <c r="G220" s="58"/>
      <c r="H220" s="46"/>
      <c r="I220" s="46"/>
      <c r="J220" s="46"/>
      <c r="K220" s="46"/>
      <c r="M220" s="56"/>
      <c r="N220" s="77"/>
      <c r="O220" s="4"/>
      <c r="P220" s="33"/>
    </row>
    <row r="221" spans="1:18" s="53" customFormat="1" ht="25.15" customHeight="1">
      <c r="A221" s="1152" t="s">
        <v>4100</v>
      </c>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3089</v>
      </c>
      <c r="C223" s="135"/>
      <c r="D223" s="117"/>
      <c r="E223" s="136"/>
      <c r="F223" s="740"/>
      <c r="G223" s="740"/>
      <c r="H223" s="740"/>
      <c r="I223" s="740"/>
      <c r="J223" s="740"/>
      <c r="K223" s="740"/>
      <c r="L223" s="740"/>
      <c r="M223" s="740"/>
      <c r="N223" s="94"/>
      <c r="O223" s="90"/>
      <c r="P223" s="3"/>
    </row>
    <row r="224" spans="1:18" s="53" customFormat="1" ht="25.15" customHeight="1">
      <c r="A224" s="991"/>
      <c r="B224" s="992"/>
      <c r="C224" s="992"/>
      <c r="D224" s="992"/>
      <c r="E224" s="992"/>
      <c r="F224" s="992"/>
      <c r="G224" s="992"/>
      <c r="H224" s="992"/>
      <c r="I224" s="992"/>
      <c r="J224" s="992"/>
      <c r="K224" s="992"/>
      <c r="L224" s="992"/>
      <c r="M224" s="992"/>
      <c r="N224" s="992"/>
      <c r="O224" s="992"/>
      <c r="P224" s="993"/>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4" customHeight="1"/>
    <row r="227" spans="1:18" s="53" customFormat="1" ht="15">
      <c r="A227" s="210" t="s">
        <v>2810</v>
      </c>
      <c r="B227" s="152" t="s">
        <v>2921</v>
      </c>
      <c r="D227" s="120"/>
      <c r="E227" s="120"/>
      <c r="F227" s="65"/>
      <c r="G227" s="65"/>
      <c r="H227" s="65"/>
      <c r="I227" s="65"/>
      <c r="J227" s="67"/>
      <c r="K227" s="75"/>
      <c r="L227" s="71" t="str">
        <f>IF(M227&gt;14,"Over limit!","")</f>
        <v/>
      </c>
      <c r="M227" s="4">
        <v>8</v>
      </c>
      <c r="N227" s="7"/>
      <c r="O227" s="81">
        <f>MIN($M227,(O235+O245+O247))</f>
        <v>3</v>
      </c>
      <c r="P227" s="81">
        <f>MIN($M227,(P235+P245+P247))</f>
        <v>0</v>
      </c>
      <c r="Q227" s="146" t="s">
        <v>651</v>
      </c>
    </row>
    <row r="228" spans="1:18" s="53" customFormat="1" ht="12.75" customHeight="1">
      <c r="A228" s="52"/>
      <c r="B228" s="153" t="s">
        <v>806</v>
      </c>
      <c r="E228" s="120"/>
      <c r="F228" s="65"/>
      <c r="G228" s="65"/>
      <c r="H228" s="65"/>
      <c r="I228" s="65"/>
      <c r="J228" s="67"/>
      <c r="K228" s="75"/>
      <c r="L228" s="71" t="str">
        <f>IF(M228&gt;14,"Over limit!","")</f>
        <v/>
      </c>
      <c r="O228" s="161" t="s">
        <v>3989</v>
      </c>
      <c r="P228" s="161" t="s">
        <v>3989</v>
      </c>
    </row>
    <row r="229" spans="1:18" s="137" customFormat="1" ht="12" customHeight="1">
      <c r="B229" s="252" t="s">
        <v>3113</v>
      </c>
      <c r="C229" s="137" t="s">
        <v>810</v>
      </c>
      <c r="E229" s="120"/>
      <c r="F229" s="65"/>
      <c r="G229" s="65"/>
      <c r="H229" s="65"/>
      <c r="I229" s="65"/>
      <c r="J229" s="67"/>
      <c r="K229" s="75"/>
      <c r="L229" s="71" t="str">
        <f>IF(M229&gt;14,"Over limit!","")</f>
        <v/>
      </c>
      <c r="N229" s="252" t="s">
        <v>3113</v>
      </c>
      <c r="O229" s="1166" t="s">
        <v>3834</v>
      </c>
      <c r="P229" s="234"/>
    </row>
    <row r="230" spans="1:18" s="137" customFormat="1" ht="12" customHeight="1">
      <c r="B230" s="252" t="s">
        <v>3115</v>
      </c>
      <c r="C230" s="137" t="s">
        <v>952</v>
      </c>
      <c r="N230" s="252" t="s">
        <v>3115</v>
      </c>
      <c r="O230" s="1166" t="s">
        <v>3834</v>
      </c>
      <c r="P230" s="234"/>
    </row>
    <row r="231" spans="1:18" s="137" customFormat="1" ht="12" customHeight="1">
      <c r="B231" s="252" t="s">
        <v>4028</v>
      </c>
      <c r="C231" s="137" t="s">
        <v>1026</v>
      </c>
      <c r="N231" s="252" t="s">
        <v>4028</v>
      </c>
      <c r="O231" s="1166" t="s">
        <v>3834</v>
      </c>
      <c r="P231" s="234"/>
    </row>
    <row r="232" spans="1:18" s="137" customFormat="1" ht="12" customHeight="1">
      <c r="B232" s="252" t="s">
        <v>1872</v>
      </c>
      <c r="C232" s="137" t="s">
        <v>1027</v>
      </c>
      <c r="N232" s="252" t="s">
        <v>1872</v>
      </c>
      <c r="O232" s="1166" t="s">
        <v>3834</v>
      </c>
      <c r="P232" s="234"/>
    </row>
    <row r="233" spans="1:18" s="137" customFormat="1" ht="12" customHeight="1">
      <c r="B233" s="252" t="s">
        <v>1873</v>
      </c>
      <c r="C233" s="137" t="s">
        <v>1040</v>
      </c>
      <c r="N233" s="252" t="s">
        <v>1873</v>
      </c>
      <c r="O233" s="1166" t="s">
        <v>3834</v>
      </c>
      <c r="P233" s="234"/>
    </row>
    <row r="234" spans="1:18" ht="3.4" customHeight="1">
      <c r="E234" s="120"/>
      <c r="F234" s="65"/>
      <c r="G234" s="65"/>
      <c r="H234" s="65"/>
      <c r="I234" s="65"/>
      <c r="J234" s="67"/>
      <c r="K234" s="75"/>
      <c r="L234" s="71" t="str">
        <f>IF(M234&gt;14,"Over limit!","")</f>
        <v/>
      </c>
      <c r="M234" s="42"/>
      <c r="N234" s="156"/>
      <c r="O234" s="206"/>
      <c r="P234" s="206"/>
    </row>
    <row r="235" spans="1:18" s="53" customFormat="1" ht="11.25" customHeight="1">
      <c r="A235" s="189" t="s">
        <v>3000</v>
      </c>
      <c r="B235" s="258" t="s">
        <v>2922</v>
      </c>
      <c r="D235" s="50"/>
      <c r="E235" s="50"/>
      <c r="F235" s="42"/>
      <c r="G235" s="139"/>
      <c r="H235" s="139"/>
      <c r="I235" s="139"/>
      <c r="J235" s="50"/>
      <c r="K235" s="139"/>
      <c r="L235" s="42"/>
      <c r="M235" s="1">
        <v>3</v>
      </c>
      <c r="N235" s="62" t="s">
        <v>3000</v>
      </c>
      <c r="O235" s="205">
        <f>MIN($M235,SUM(O236:O243))</f>
        <v>0</v>
      </c>
      <c r="P235" s="205">
        <f>MIN($M235,SUM(P236:P243))</f>
        <v>0</v>
      </c>
    </row>
    <row r="236" spans="1:18" s="53" customFormat="1" ht="12" customHeight="1">
      <c r="A236" s="253"/>
      <c r="B236" s="252" t="s">
        <v>3113</v>
      </c>
      <c r="C236" s="46" t="s">
        <v>2265</v>
      </c>
      <c r="H236" s="68" t="s">
        <v>2266</v>
      </c>
      <c r="K236" s="255"/>
      <c r="L236" s="573" t="str">
        <f t="shared" ref="L236:L243" si="1">IF(OR($O236=$M236,$O236=0,$O236=""),"","* * Check Score! * *")</f>
        <v/>
      </c>
      <c r="M236" s="7">
        <v>1</v>
      </c>
      <c r="N236" s="252" t="s">
        <v>3113</v>
      </c>
      <c r="O236" s="1166">
        <v>0</v>
      </c>
      <c r="P236" s="89"/>
      <c r="R236" s="573" t="str">
        <f>IF(OR($O236=$M236,$O236=0,$O236=""),"","* * Check Score! * *")</f>
        <v/>
      </c>
    </row>
    <row r="237" spans="1:18" ht="12" customHeight="1">
      <c r="A237" s="254"/>
      <c r="B237" s="252" t="s">
        <v>3115</v>
      </c>
      <c r="C237" s="46" t="s">
        <v>2373</v>
      </c>
      <c r="H237" s="68" t="s">
        <v>2266</v>
      </c>
      <c r="L237" s="573" t="str">
        <f t="shared" si="1"/>
        <v/>
      </c>
      <c r="M237" s="7">
        <v>1</v>
      </c>
      <c r="N237" s="252" t="s">
        <v>3115</v>
      </c>
      <c r="O237" s="1166">
        <v>0</v>
      </c>
      <c r="P237" s="89"/>
      <c r="R237" s="573" t="str">
        <f t="shared" ref="R237:R243" si="2">IF(OR($O237=$M237,$O237=0,$O237=""),"","* * Check Score! * *")</f>
        <v/>
      </c>
    </row>
    <row r="238" spans="1:18" ht="12" customHeight="1">
      <c r="B238" s="252" t="s">
        <v>4028</v>
      </c>
      <c r="C238" s="46" t="s">
        <v>2377</v>
      </c>
      <c r="H238" s="68" t="s">
        <v>2266</v>
      </c>
      <c r="L238" s="573" t="str">
        <f>IF(OR($O238=$M238,$O238=0,$O238=""),"","* * Check Score! * *")</f>
        <v/>
      </c>
      <c r="M238" s="7">
        <v>1</v>
      </c>
      <c r="N238" s="252" t="s">
        <v>4028</v>
      </c>
      <c r="O238" s="1166">
        <v>0</v>
      </c>
      <c r="P238" s="89"/>
      <c r="R238" s="573" t="str">
        <f>IF(OR($O238=$M238,$O238=0,$O238=""),"","* * Check Score! * *")</f>
        <v/>
      </c>
    </row>
    <row r="239" spans="1:18" ht="12" customHeight="1">
      <c r="A239" s="254"/>
      <c r="B239" s="252" t="s">
        <v>1872</v>
      </c>
      <c r="C239" s="46" t="s">
        <v>929</v>
      </c>
      <c r="L239" s="573" t="str">
        <f t="shared" si="1"/>
        <v/>
      </c>
      <c r="M239" s="7">
        <v>1</v>
      </c>
      <c r="N239" s="252" t="s">
        <v>1872</v>
      </c>
      <c r="O239" s="1166">
        <v>0</v>
      </c>
      <c r="P239" s="89"/>
      <c r="R239" s="573" t="str">
        <f t="shared" si="2"/>
        <v/>
      </c>
    </row>
    <row r="240" spans="1:18" s="53" customFormat="1" ht="12" customHeight="1">
      <c r="A240" s="253"/>
      <c r="B240" s="252" t="s">
        <v>1873</v>
      </c>
      <c r="C240" s="46" t="s">
        <v>2374</v>
      </c>
      <c r="H240" s="68" t="s">
        <v>2267</v>
      </c>
      <c r="K240" s="255"/>
      <c r="L240" s="573" t="str">
        <f t="shared" si="1"/>
        <v/>
      </c>
      <c r="M240" s="7">
        <v>2</v>
      </c>
      <c r="N240" s="252" t="s">
        <v>1873</v>
      </c>
      <c r="O240" s="1166">
        <v>0</v>
      </c>
      <c r="P240" s="89"/>
      <c r="R240" s="573" t="str">
        <f t="shared" si="2"/>
        <v/>
      </c>
    </row>
    <row r="241" spans="1:18" ht="12" customHeight="1">
      <c r="A241" s="254"/>
      <c r="B241" s="252" t="s">
        <v>2880</v>
      </c>
      <c r="C241" s="46" t="s">
        <v>2375</v>
      </c>
      <c r="H241" s="68" t="s">
        <v>2267</v>
      </c>
      <c r="L241" s="573" t="str">
        <f t="shared" si="1"/>
        <v/>
      </c>
      <c r="M241" s="7">
        <v>2</v>
      </c>
      <c r="N241" s="252" t="s">
        <v>2880</v>
      </c>
      <c r="O241" s="1166">
        <v>0</v>
      </c>
      <c r="P241" s="89"/>
      <c r="R241" s="573" t="str">
        <f t="shared" si="2"/>
        <v/>
      </c>
    </row>
    <row r="242" spans="1:18" ht="12" customHeight="1">
      <c r="A242" s="254"/>
      <c r="B242" s="252" t="s">
        <v>913</v>
      </c>
      <c r="C242" s="46" t="s">
        <v>2376</v>
      </c>
      <c r="H242" s="68" t="s">
        <v>2267</v>
      </c>
      <c r="L242" s="573" t="str">
        <f t="shared" si="1"/>
        <v/>
      </c>
      <c r="M242" s="7">
        <v>2</v>
      </c>
      <c r="N242" s="252" t="s">
        <v>913</v>
      </c>
      <c r="O242" s="1166">
        <v>0</v>
      </c>
      <c r="P242" s="89"/>
      <c r="R242" s="573" t="str">
        <f t="shared" si="2"/>
        <v/>
      </c>
    </row>
    <row r="243" spans="1:18" ht="12" customHeight="1">
      <c r="A243" s="254"/>
      <c r="B243" s="252" t="s">
        <v>914</v>
      </c>
      <c r="C243" s="46" t="s">
        <v>2378</v>
      </c>
      <c r="H243" s="68" t="s">
        <v>2268</v>
      </c>
      <c r="L243" s="573" t="str">
        <f t="shared" si="1"/>
        <v/>
      </c>
      <c r="M243" s="7">
        <v>3</v>
      </c>
      <c r="N243" s="252" t="s">
        <v>914</v>
      </c>
      <c r="O243" s="1166">
        <v>0</v>
      </c>
      <c r="P243" s="89"/>
      <c r="R243" s="573" t="str">
        <f t="shared" si="2"/>
        <v/>
      </c>
    </row>
    <row r="244" spans="1:18" s="53" customFormat="1" ht="3.4" customHeight="1">
      <c r="A244" s="52"/>
      <c r="D244" s="49"/>
      <c r="E244" s="46"/>
      <c r="F244" s="1"/>
      <c r="G244" s="1"/>
      <c r="H244" s="1"/>
      <c r="I244" s="1"/>
      <c r="J244" s="40"/>
      <c r="K244" s="40"/>
      <c r="L244" s="40"/>
      <c r="M244" s="75"/>
      <c r="N244" s="1"/>
      <c r="O244" s="33"/>
      <c r="P244" s="4"/>
    </row>
    <row r="245" spans="1:18" s="53" customFormat="1" ht="11.65" customHeight="1">
      <c r="A245" s="189" t="s">
        <v>3112</v>
      </c>
      <c r="B245" s="258" t="s">
        <v>2923</v>
      </c>
      <c r="D245" s="49"/>
      <c r="E245" s="46"/>
      <c r="F245" s="1"/>
      <c r="G245" s="1"/>
      <c r="H245" s="46" t="s">
        <v>2933</v>
      </c>
      <c r="I245" s="1"/>
      <c r="J245" s="40"/>
      <c r="K245" s="40"/>
      <c r="L245" s="40"/>
      <c r="M245" s="3">
        <v>3</v>
      </c>
      <c r="N245" s="62" t="s">
        <v>3112</v>
      </c>
      <c r="O245" s="1166">
        <v>3</v>
      </c>
      <c r="P245" s="89"/>
    </row>
    <row r="246" spans="1:18" s="53" customFormat="1" ht="3.4" customHeight="1">
      <c r="A246" s="52"/>
      <c r="D246" s="49"/>
      <c r="E246" s="46"/>
      <c r="F246" s="1"/>
      <c r="G246" s="1"/>
      <c r="H246" s="1"/>
      <c r="I246" s="1"/>
      <c r="J246" s="40"/>
      <c r="K246" s="40"/>
      <c r="L246" s="40"/>
      <c r="M246" s="75"/>
      <c r="N246" s="1"/>
      <c r="O246" s="33"/>
      <c r="P246" s="4"/>
    </row>
    <row r="247" spans="1:18" s="53" customFormat="1" ht="11.65" customHeight="1">
      <c r="A247" s="189" t="s">
        <v>1517</v>
      </c>
      <c r="B247" s="258" t="s">
        <v>1347</v>
      </c>
      <c r="D247" s="49"/>
      <c r="E247" s="46"/>
      <c r="F247" s="1"/>
      <c r="G247" s="1"/>
      <c r="H247" s="1"/>
      <c r="I247" s="1"/>
      <c r="J247" s="40"/>
      <c r="K247" s="40"/>
      <c r="L247" s="573" t="str">
        <f>IF(OR($O247=$M247,$O247=0,$O247=""),"","* * Check Score! * *")</f>
        <v/>
      </c>
      <c r="M247" s="1">
        <v>2</v>
      </c>
      <c r="N247" s="62" t="s">
        <v>1517</v>
      </c>
      <c r="O247" s="1166">
        <v>0</v>
      </c>
      <c r="P247" s="89"/>
      <c r="R247" s="573" t="str">
        <f>IF(OR($O247=$M247,$O247=0,$O247=""),"","* * Check Score! * *")</f>
        <v/>
      </c>
    </row>
    <row r="248" spans="1:18" s="53" customFormat="1" ht="12.4" customHeight="1">
      <c r="A248" s="253"/>
      <c r="B248" s="252" t="s">
        <v>3113</v>
      </c>
      <c r="C248" s="46" t="s">
        <v>1078</v>
      </c>
      <c r="E248" s="1209"/>
      <c r="F248" s="1210"/>
      <c r="G248" s="1210"/>
      <c r="H248" s="1211"/>
      <c r="K248" s="255"/>
      <c r="M248" s="7"/>
      <c r="N248" s="7"/>
      <c r="O248" s="7"/>
      <c r="P248" s="7"/>
    </row>
    <row r="249" spans="1:18" ht="33" customHeight="1">
      <c r="A249" s="254"/>
      <c r="B249" s="596" t="s">
        <v>3115</v>
      </c>
      <c r="C249" s="597" t="s">
        <v>3772</v>
      </c>
      <c r="D249" s="598"/>
      <c r="E249" s="1212"/>
      <c r="F249" s="1213"/>
      <c r="G249" s="1213"/>
      <c r="H249" s="1213"/>
      <c r="I249" s="1213"/>
      <c r="J249" s="1213"/>
      <c r="K249" s="1213"/>
      <c r="L249" s="1213"/>
      <c r="M249" s="1213"/>
      <c r="N249" s="1213"/>
      <c r="O249" s="1213"/>
      <c r="P249" s="1214"/>
    </row>
    <row r="250" spans="1:18" ht="12.4" customHeight="1">
      <c r="B250" s="252" t="s">
        <v>4028</v>
      </c>
      <c r="C250" s="46" t="s">
        <v>1194</v>
      </c>
      <c r="E250" s="1215"/>
      <c r="F250" s="1216"/>
      <c r="M250" s="7"/>
      <c r="N250" s="125"/>
      <c r="O250" s="125"/>
      <c r="P250" s="125"/>
    </row>
    <row r="251" spans="1:18" ht="6.4" customHeight="1"/>
    <row r="252" spans="1:18" s="53" customFormat="1" ht="11.25" customHeight="1">
      <c r="A252" s="52"/>
      <c r="B252" s="59" t="s">
        <v>582</v>
      </c>
      <c r="C252" s="52"/>
      <c r="D252" s="58"/>
      <c r="E252" s="58"/>
      <c r="F252" s="58"/>
      <c r="G252" s="58"/>
      <c r="H252" s="46"/>
      <c r="I252" s="46"/>
      <c r="J252" s="46"/>
      <c r="K252" s="46"/>
      <c r="M252" s="56"/>
      <c r="N252" s="77"/>
      <c r="O252" s="4"/>
      <c r="P252" s="33"/>
    </row>
    <row r="253" spans="1:18" s="53" customFormat="1" ht="23.65" customHeight="1">
      <c r="A253" s="1152" t="s">
        <v>62</v>
      </c>
      <c r="B253" s="1153"/>
      <c r="C253" s="1153"/>
      <c r="D253" s="1153"/>
      <c r="E253" s="1153"/>
      <c r="F253" s="1153"/>
      <c r="G253" s="1153"/>
      <c r="H253" s="1153"/>
      <c r="I253" s="1153"/>
      <c r="J253" s="1153"/>
      <c r="K253" s="1153"/>
      <c r="L253" s="1153"/>
      <c r="M253" s="1153"/>
      <c r="N253" s="1153"/>
      <c r="O253" s="1153"/>
      <c r="P253" s="1154"/>
    </row>
    <row r="254" spans="1:18" s="53" customFormat="1" ht="23.6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3089</v>
      </c>
      <c r="C255" s="135"/>
      <c r="D255" s="133"/>
      <c r="E255" s="261"/>
      <c r="F255" s="737"/>
      <c r="G255" s="737"/>
      <c r="H255" s="737"/>
      <c r="I255" s="737"/>
      <c r="J255" s="737"/>
      <c r="K255" s="737"/>
      <c r="L255" s="737"/>
      <c r="M255" s="737"/>
      <c r="N255" s="127"/>
      <c r="O255" s="259"/>
      <c r="P255" s="3"/>
    </row>
    <row r="256" spans="1:18" s="53" customFormat="1" ht="23.65" customHeight="1">
      <c r="A256" s="991"/>
      <c r="B256" s="992"/>
      <c r="C256" s="992"/>
      <c r="D256" s="992"/>
      <c r="E256" s="992"/>
      <c r="F256" s="992"/>
      <c r="G256" s="992"/>
      <c r="H256" s="992"/>
      <c r="I256" s="992"/>
      <c r="J256" s="992"/>
      <c r="K256" s="992"/>
      <c r="L256" s="992"/>
      <c r="M256" s="992"/>
      <c r="N256" s="992"/>
      <c r="O256" s="992"/>
      <c r="P256" s="993"/>
    </row>
    <row r="257" spans="1:18" s="53" customFormat="1" ht="23.65" customHeight="1">
      <c r="A257" s="995"/>
      <c r="B257" s="996"/>
      <c r="C257" s="996"/>
      <c r="D257" s="996"/>
      <c r="E257" s="996"/>
      <c r="F257" s="996"/>
      <c r="G257" s="996"/>
      <c r="H257" s="996"/>
      <c r="I257" s="996"/>
      <c r="J257" s="996"/>
      <c r="K257" s="996"/>
      <c r="L257" s="996"/>
      <c r="M257" s="996"/>
      <c r="N257" s="996"/>
      <c r="O257" s="996"/>
      <c r="P257" s="997"/>
    </row>
    <row r="258" spans="1:18" ht="6.4" customHeight="1"/>
    <row r="259" spans="1:18" s="53" customFormat="1" ht="15">
      <c r="A259" s="210" t="s">
        <v>2811</v>
      </c>
      <c r="B259" s="142" t="s">
        <v>2812</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3606</v>
      </c>
      <c r="C260" s="52"/>
      <c r="D260" s="58"/>
      <c r="E260" s="58"/>
      <c r="F260" s="58"/>
      <c r="G260" s="58"/>
      <c r="H260" s="46"/>
      <c r="I260" s="46"/>
      <c r="J260" s="46"/>
      <c r="K260" s="46"/>
      <c r="M260" s="56"/>
      <c r="N260" s="77"/>
      <c r="O260" s="1166" t="s">
        <v>3834</v>
      </c>
      <c r="P260" s="234"/>
    </row>
    <row r="261" spans="1:18" s="53" customFormat="1" ht="24.4" customHeight="1">
      <c r="A261" s="52"/>
      <c r="B261" s="1056" t="s">
        <v>4075</v>
      </c>
      <c r="C261" s="1057"/>
      <c r="D261" s="1057"/>
      <c r="E261" s="1057"/>
      <c r="F261" s="1057"/>
      <c r="G261" s="1057"/>
      <c r="H261" s="1057"/>
      <c r="I261" s="1057"/>
      <c r="J261" s="1057"/>
      <c r="K261" s="1057"/>
      <c r="L261" s="1057"/>
      <c r="M261" s="56"/>
      <c r="N261" s="77"/>
      <c r="O261" s="1166" t="s">
        <v>3834</v>
      </c>
      <c r="P261" s="234"/>
    </row>
    <row r="262" spans="1:18" s="53" customFormat="1" ht="12" customHeight="1">
      <c r="A262" s="52"/>
      <c r="B262" s="59" t="s">
        <v>582</v>
      </c>
      <c r="C262" s="52"/>
      <c r="D262" s="58"/>
      <c r="E262" s="58"/>
      <c r="F262" s="58"/>
      <c r="G262" s="58"/>
      <c r="H262" s="46"/>
      <c r="I262" s="46"/>
      <c r="J262" s="46"/>
      <c r="K262" s="46"/>
      <c r="M262" s="56"/>
      <c r="N262" s="77"/>
      <c r="O262" s="4"/>
      <c r="P262" s="33"/>
    </row>
    <row r="263" spans="1:18" s="53" customFormat="1" ht="12" customHeight="1">
      <c r="A263" s="1152" t="s">
        <v>0</v>
      </c>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t="s">
        <v>9</v>
      </c>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3089</v>
      </c>
      <c r="C265" s="135"/>
      <c r="D265" s="133"/>
      <c r="E265" s="261"/>
      <c r="F265" s="737"/>
      <c r="G265" s="737"/>
      <c r="H265" s="737"/>
      <c r="I265" s="737"/>
      <c r="J265" s="737"/>
      <c r="K265" s="737"/>
      <c r="L265" s="737"/>
      <c r="M265" s="737"/>
      <c r="N265" s="127"/>
      <c r="O265" s="259"/>
      <c r="P265" s="3"/>
    </row>
    <row r="266" spans="1:18" s="53" customFormat="1" ht="23.65" customHeight="1">
      <c r="A266" s="1073"/>
      <c r="B266" s="1074"/>
      <c r="C266" s="1074"/>
      <c r="D266" s="1074"/>
      <c r="E266" s="1074"/>
      <c r="F266" s="1074"/>
      <c r="G266" s="1074"/>
      <c r="H266" s="1074"/>
      <c r="I266" s="1074"/>
      <c r="J266" s="1074"/>
      <c r="K266" s="1074"/>
      <c r="L266" s="1074"/>
      <c r="M266" s="1074"/>
      <c r="N266" s="1074"/>
      <c r="O266" s="1074"/>
      <c r="P266" s="1075"/>
    </row>
    <row r="267" spans="1:18" s="53" customFormat="1" ht="23.65" customHeight="1">
      <c r="A267" s="1011"/>
      <c r="B267" s="1012"/>
      <c r="C267" s="1012"/>
      <c r="D267" s="1012"/>
      <c r="E267" s="1012"/>
      <c r="F267" s="1012"/>
      <c r="G267" s="1012"/>
      <c r="H267" s="1012"/>
      <c r="I267" s="1012"/>
      <c r="J267" s="1012"/>
      <c r="K267" s="1012"/>
      <c r="L267" s="1012"/>
      <c r="M267" s="1012"/>
      <c r="N267" s="1012"/>
      <c r="O267" s="1012"/>
      <c r="P267" s="1013"/>
    </row>
    <row r="268" spans="1:18" s="53" customFormat="1" ht="23.65" customHeight="1">
      <c r="A268" s="995"/>
      <c r="B268" s="996"/>
      <c r="C268" s="996"/>
      <c r="D268" s="996"/>
      <c r="E268" s="996"/>
      <c r="F268" s="996"/>
      <c r="G268" s="996"/>
      <c r="H268" s="996"/>
      <c r="I268" s="996"/>
      <c r="J268" s="996"/>
      <c r="K268" s="996"/>
      <c r="L268" s="996"/>
      <c r="M268" s="996"/>
      <c r="N268" s="996"/>
      <c r="O268" s="996"/>
      <c r="P268" s="997"/>
    </row>
    <row r="269" spans="1:18" s="53" customFormat="1" ht="15.4"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2813</v>
      </c>
      <c r="B270" s="151" t="s">
        <v>2815</v>
      </c>
      <c r="C270" s="119"/>
      <c r="D270" s="73"/>
      <c r="E270" s="65"/>
      <c r="J270" s="76"/>
      <c r="M270" s="3">
        <v>6</v>
      </c>
      <c r="N270" s="7"/>
      <c r="O270" s="96">
        <f>MIN($M270,O272+O271)</f>
        <v>6</v>
      </c>
      <c r="P270" s="96">
        <f>MIN($M270,P272+P271)</f>
        <v>0</v>
      </c>
      <c r="Q270" s="146" t="s">
        <v>651</v>
      </c>
    </row>
    <row r="271" spans="1:18" s="53" customFormat="1" ht="12" customHeight="1">
      <c r="A271" s="189" t="s">
        <v>3000</v>
      </c>
      <c r="B271" s="147" t="s">
        <v>2817</v>
      </c>
      <c r="D271" s="42"/>
      <c r="E271" s="42"/>
      <c r="F271" s="42"/>
      <c r="L271" s="573" t="str">
        <f>IF(OR($O271=$M271,$O271=0,$O271=""),"","* * Check Score! * *")</f>
        <v/>
      </c>
      <c r="M271" s="7">
        <v>3</v>
      </c>
      <c r="N271" s="62" t="s">
        <v>3000</v>
      </c>
      <c r="O271" s="1162">
        <v>3</v>
      </c>
      <c r="P271" s="89"/>
      <c r="Q271" s="146"/>
      <c r="R271" s="573" t="str">
        <f>IF(OR($O271=$M271,$O271=0,$O271=""),"","* * Check Score! * *")</f>
        <v/>
      </c>
    </row>
    <row r="272" spans="1:18" s="53" customFormat="1" ht="12" customHeight="1">
      <c r="A272" s="189" t="s">
        <v>3112</v>
      </c>
      <c r="B272" s="147" t="s">
        <v>2818</v>
      </c>
      <c r="D272" s="50"/>
      <c r="E272" s="50"/>
      <c r="F272" s="40"/>
      <c r="G272" s="139"/>
      <c r="H272" s="139"/>
      <c r="I272" s="139"/>
      <c r="J272" s="139"/>
      <c r="K272" s="139"/>
      <c r="L272" s="46"/>
      <c r="M272" s="7">
        <v>3</v>
      </c>
      <c r="N272" s="62" t="s">
        <v>3112</v>
      </c>
      <c r="O272" s="1162">
        <v>3</v>
      </c>
      <c r="P272" s="89"/>
      <c r="R272" s="573" t="str">
        <f>IF(OR($O272=$M272,$O272=0,$O272=""),"","* * Check Score! * *")</f>
        <v/>
      </c>
    </row>
    <row r="273" spans="1:18" s="53" customFormat="1" ht="22.9" customHeight="1">
      <c r="A273" s="189"/>
      <c r="B273" s="1054" t="s">
        <v>3627</v>
      </c>
      <c r="C273" s="1051"/>
      <c r="D273" s="1051"/>
      <c r="E273" s="1051"/>
      <c r="F273" s="1051"/>
      <c r="G273" s="1051"/>
      <c r="H273" s="1051"/>
      <c r="I273" s="1051"/>
      <c r="J273" s="1051"/>
      <c r="K273" s="1051"/>
      <c r="L273" s="1051"/>
      <c r="M273" s="1051"/>
      <c r="N273" s="62"/>
      <c r="O273" s="1166" t="s">
        <v>66</v>
      </c>
      <c r="P273" s="234"/>
      <c r="R273" s="573"/>
    </row>
    <row r="274" spans="1:18" s="53" customFormat="1" ht="12" customHeight="1">
      <c r="A274" s="52"/>
      <c r="B274" s="59" t="s">
        <v>582</v>
      </c>
      <c r="C274" s="52"/>
      <c r="D274" s="58"/>
      <c r="E274" s="58"/>
      <c r="F274" s="58"/>
      <c r="G274" s="58"/>
      <c r="H274" s="46"/>
      <c r="I274" s="46"/>
      <c r="J274" s="46"/>
      <c r="K274" s="46"/>
      <c r="M274" s="56"/>
      <c r="N274" s="77"/>
      <c r="O274" s="4"/>
      <c r="P274" s="33"/>
    </row>
    <row r="275" spans="1:18" s="53" customFormat="1" ht="12" customHeight="1">
      <c r="A275" s="1159"/>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3089</v>
      </c>
      <c r="C276" s="135"/>
      <c r="D276" s="117"/>
      <c r="E276" s="136"/>
      <c r="F276" s="740"/>
      <c r="G276" s="740"/>
      <c r="H276" s="740"/>
      <c r="I276" s="740"/>
      <c r="J276" s="740"/>
      <c r="K276" s="740"/>
      <c r="L276" s="740"/>
      <c r="M276" s="740"/>
      <c r="N276" s="94"/>
      <c r="O276" s="90"/>
      <c r="P276" s="3"/>
    </row>
    <row r="277" spans="1:18" s="53" customFormat="1" ht="12" customHeight="1">
      <c r="A277" s="998"/>
      <c r="B277" s="999"/>
      <c r="C277" s="999"/>
      <c r="D277" s="999"/>
      <c r="E277" s="999"/>
      <c r="F277" s="999"/>
      <c r="G277" s="999"/>
      <c r="H277" s="999"/>
      <c r="I277" s="999"/>
      <c r="J277" s="999"/>
      <c r="K277" s="999"/>
      <c r="L277" s="999"/>
      <c r="M277" s="999"/>
      <c r="N277" s="999"/>
      <c r="O277" s="999"/>
      <c r="P277" s="1000"/>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2814</v>
      </c>
      <c r="B279" s="142" t="s">
        <v>2816</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65" customHeight="1">
      <c r="B281" s="195" t="s">
        <v>3840</v>
      </c>
      <c r="M281" s="52"/>
      <c r="N281" s="52"/>
      <c r="O281" s="1166" t="s">
        <v>3834</v>
      </c>
      <c r="P281" s="234"/>
    </row>
    <row r="282" spans="1:18" s="45" customFormat="1" ht="3" customHeight="1">
      <c r="M282" s="52"/>
      <c r="N282" s="52"/>
      <c r="O282" s="52"/>
      <c r="P282" s="52"/>
    </row>
    <row r="283" spans="1:18" ht="12.4" customHeight="1">
      <c r="B283" s="258" t="s">
        <v>3000</v>
      </c>
      <c r="C283" s="256" t="s">
        <v>2185</v>
      </c>
      <c r="D283" s="42"/>
      <c r="E283" s="42"/>
      <c r="F283" s="42"/>
      <c r="G283" s="42"/>
      <c r="H283" s="42"/>
      <c r="I283" s="42"/>
      <c r="J283" s="42"/>
      <c r="K283" s="42"/>
      <c r="L283" s="42"/>
      <c r="M283" s="156"/>
      <c r="N283" s="62" t="s">
        <v>3000</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4" customHeight="1">
      <c r="B285" s="258" t="s">
        <v>3112</v>
      </c>
      <c r="C285" s="256" t="s">
        <v>478</v>
      </c>
      <c r="D285" s="42"/>
      <c r="E285" s="42"/>
      <c r="F285" s="42"/>
      <c r="G285" s="50"/>
      <c r="H285" s="50"/>
      <c r="I285" s="50"/>
      <c r="J285" s="50"/>
      <c r="K285" s="50"/>
      <c r="M285" s="139"/>
      <c r="N285" s="62" t="s">
        <v>3112</v>
      </c>
      <c r="O285" s="1166" t="s">
        <v>4009</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582</v>
      </c>
      <c r="C287" s="52"/>
      <c r="D287" s="58"/>
      <c r="E287" s="58"/>
      <c r="F287" s="58"/>
      <c r="G287" s="58"/>
      <c r="H287" s="46"/>
      <c r="I287" s="46"/>
      <c r="J287" s="46"/>
      <c r="K287" s="46"/>
      <c r="M287" s="56"/>
      <c r="N287" s="77"/>
      <c r="O287" s="4"/>
      <c r="P287" s="33"/>
    </row>
    <row r="288" spans="1:18" s="53" customFormat="1" ht="23.65" customHeight="1">
      <c r="A288" s="1152" t="s">
        <v>42</v>
      </c>
      <c r="B288" s="1153"/>
      <c r="C288" s="1153"/>
      <c r="D288" s="1153"/>
      <c r="E288" s="1153"/>
      <c r="F288" s="1153"/>
      <c r="G288" s="1153"/>
      <c r="H288" s="1153"/>
      <c r="I288" s="1153"/>
      <c r="J288" s="1153"/>
      <c r="K288" s="1153"/>
      <c r="L288" s="1153"/>
      <c r="M288" s="1153"/>
      <c r="N288" s="1153"/>
      <c r="O288" s="1153"/>
      <c r="P288" s="1154"/>
      <c r="Q288" s="1029" t="s">
        <v>1931</v>
      </c>
      <c r="R288" s="1029"/>
    </row>
    <row r="289" spans="1:19" s="67" customFormat="1" ht="23.65" customHeight="1">
      <c r="A289" s="1155" t="s">
        <v>10</v>
      </c>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3089</v>
      </c>
      <c r="C290" s="60"/>
      <c r="D290" s="84"/>
      <c r="E290" s="737"/>
      <c r="F290" s="737"/>
      <c r="G290" s="737"/>
      <c r="H290" s="737"/>
      <c r="I290" s="737"/>
      <c r="J290" s="737"/>
      <c r="K290" s="737"/>
      <c r="L290" s="737"/>
      <c r="M290" s="737"/>
      <c r="N290" s="127"/>
      <c r="O290" s="259"/>
      <c r="P290" s="3"/>
    </row>
    <row r="291" spans="1:19" s="53" customFormat="1" ht="23.65" customHeight="1">
      <c r="A291" s="991"/>
      <c r="B291" s="992"/>
      <c r="C291" s="992"/>
      <c r="D291" s="992"/>
      <c r="E291" s="992"/>
      <c r="F291" s="992"/>
      <c r="G291" s="992"/>
      <c r="H291" s="992"/>
      <c r="I291" s="992"/>
      <c r="J291" s="992"/>
      <c r="K291" s="992"/>
      <c r="L291" s="992"/>
      <c r="M291" s="992"/>
      <c r="N291" s="992"/>
      <c r="O291" s="992"/>
      <c r="P291" s="993"/>
      <c r="Q291" s="1029" t="s">
        <v>1931</v>
      </c>
      <c r="R291" s="1029"/>
    </row>
    <row r="292" spans="1:19" s="53" customFormat="1" ht="23.6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399999999999999" customHeight="1" thickBot="1">
      <c r="A294" s="67"/>
      <c r="B294" s="85"/>
      <c r="C294" s="60"/>
      <c r="D294" s="45"/>
      <c r="E294" s="45"/>
      <c r="F294" s="67"/>
      <c r="G294" s="53"/>
      <c r="H294" s="212" t="s">
        <v>673</v>
      </c>
      <c r="I294" s="213"/>
      <c r="J294" s="213"/>
      <c r="K294" s="213"/>
      <c r="L294" s="139"/>
      <c r="M294" s="214">
        <f>M6</f>
        <v>90</v>
      </c>
      <c r="N294" s="215"/>
      <c r="O294" s="216">
        <f>O8+O31+O38+O55+O64+O74+O82+O93+O132+O146+O166+O175+O191+O199+O207+O213+O227+O270+O279</f>
        <v>57</v>
      </c>
      <c r="P294" s="216">
        <f>P8+P31+P38+P55+P64+P74+P82+P93+P132+P146+P166+P175+P191+P199+P207+P213+P227+P259+P270+P279</f>
        <v>13</v>
      </c>
    </row>
    <row r="295" spans="1:19" s="52" customFormat="1" ht="24.4" customHeight="1">
      <c r="A295" s="67"/>
      <c r="B295" s="85"/>
      <c r="C295" s="67"/>
      <c r="D295" s="45"/>
      <c r="E295" s="45"/>
      <c r="F295" s="87"/>
      <c r="G295" s="87"/>
      <c r="H295" s="88"/>
      <c r="I295" s="86"/>
      <c r="J295" s="86"/>
      <c r="K295" s="86"/>
      <c r="L295" s="53"/>
      <c r="M295" s="45"/>
      <c r="N295" s="3"/>
      <c r="O295" s="3"/>
      <c r="P295" s="91"/>
    </row>
    <row r="296" spans="1:19" s="52" customFormat="1" ht="24.4"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2612</v>
      </c>
      <c r="D300" s="113"/>
      <c r="E300" s="113"/>
      <c r="F300" s="113"/>
      <c r="G300" s="113"/>
      <c r="H300" s="113"/>
      <c r="I300" s="113"/>
      <c r="J300" s="113" t="s">
        <v>1969</v>
      </c>
      <c r="K300" s="209"/>
      <c r="L300" s="166"/>
      <c r="M300" s="155"/>
      <c r="Q300" s="155"/>
      <c r="R300" s="155"/>
      <c r="S300" s="155"/>
    </row>
    <row r="301" spans="1:19">
      <c r="A301" s="155"/>
      <c r="B301" s="155"/>
      <c r="C301" s="166" t="s">
        <v>3353</v>
      </c>
      <c r="D301" s="166"/>
      <c r="E301" s="166"/>
      <c r="F301" s="166"/>
      <c r="G301" s="166"/>
      <c r="H301" s="166"/>
      <c r="I301" s="166"/>
      <c r="J301" s="166" t="s">
        <v>2803</v>
      </c>
      <c r="K301" s="166"/>
      <c r="L301" s="166"/>
      <c r="M301" s="155"/>
      <c r="Q301" s="155"/>
      <c r="R301" s="155"/>
      <c r="S301" s="155"/>
    </row>
    <row r="302" spans="1:19" ht="15">
      <c r="A302" s="155"/>
      <c r="B302" s="155"/>
      <c r="C302" s="113" t="s">
        <v>3942</v>
      </c>
      <c r="D302" s="113"/>
      <c r="E302" s="113"/>
      <c r="F302" s="113"/>
      <c r="G302" s="113"/>
      <c r="H302" s="113"/>
      <c r="I302" s="113"/>
      <c r="J302" s="358" t="s">
        <v>516</v>
      </c>
      <c r="K302" s="209"/>
      <c r="L302" s="166"/>
      <c r="M302" s="250"/>
      <c r="N302" s="251"/>
      <c r="Q302" s="155"/>
      <c r="R302" s="155"/>
      <c r="S302" s="155"/>
    </row>
    <row r="303" spans="1:19" ht="15">
      <c r="A303" s="155"/>
      <c r="B303" s="155"/>
      <c r="C303" s="113" t="s">
        <v>3354</v>
      </c>
      <c r="D303" s="113"/>
      <c r="E303" s="113"/>
      <c r="F303" s="113"/>
      <c r="G303" s="113"/>
      <c r="H303" s="113"/>
      <c r="I303" s="113"/>
      <c r="J303" s="358" t="s">
        <v>2614</v>
      </c>
      <c r="K303" s="209"/>
      <c r="L303" s="166"/>
      <c r="M303" s="250"/>
      <c r="N303" s="251"/>
      <c r="Q303" s="155"/>
      <c r="R303" s="155"/>
      <c r="S303" s="155"/>
    </row>
    <row r="304" spans="1:19" ht="15">
      <c r="A304" s="155"/>
      <c r="B304" s="155"/>
      <c r="C304" s="113" t="s">
        <v>3355</v>
      </c>
      <c r="D304" s="113"/>
      <c r="E304" s="113"/>
      <c r="F304" s="113"/>
      <c r="G304" s="113"/>
      <c r="H304" s="113"/>
      <c r="I304" s="113"/>
      <c r="J304" s="358" t="s">
        <v>2615</v>
      </c>
      <c r="K304" s="209"/>
      <c r="L304" s="166"/>
      <c r="M304" s="250"/>
      <c r="N304" s="251"/>
      <c r="Q304" s="155"/>
      <c r="R304" s="155"/>
      <c r="S304" s="155"/>
    </row>
    <row r="305" spans="1:19" ht="15">
      <c r="A305" s="155"/>
      <c r="B305" s="155"/>
      <c r="C305" s="359" t="s">
        <v>3356</v>
      </c>
      <c r="D305" s="113"/>
      <c r="E305" s="113"/>
      <c r="F305" s="113"/>
      <c r="G305" s="113"/>
      <c r="H305" s="113"/>
      <c r="I305" s="113"/>
      <c r="J305" s="358" t="s">
        <v>3802</v>
      </c>
      <c r="K305" s="209"/>
      <c r="L305" s="166"/>
      <c r="M305" s="250"/>
      <c r="N305" s="251"/>
      <c r="Q305" s="155"/>
      <c r="R305" s="155"/>
      <c r="S305" s="155"/>
    </row>
    <row r="306" spans="1:19" ht="15">
      <c r="A306" s="155"/>
      <c r="B306" s="155"/>
      <c r="C306" s="359" t="s">
        <v>3357</v>
      </c>
      <c r="D306" s="113"/>
      <c r="E306" s="113"/>
      <c r="F306" s="113"/>
      <c r="G306" s="113"/>
      <c r="H306" s="113"/>
      <c r="I306" s="113"/>
      <c r="J306" s="358" t="s">
        <v>2752</v>
      </c>
      <c r="K306" s="209"/>
      <c r="L306" s="166"/>
      <c r="M306" s="250"/>
      <c r="N306" s="251"/>
      <c r="Q306" s="155"/>
      <c r="R306" s="155"/>
      <c r="S306" s="155"/>
    </row>
    <row r="307" spans="1:19" ht="15">
      <c r="A307" s="155"/>
      <c r="B307" s="155"/>
      <c r="C307" s="359"/>
      <c r="D307" s="113"/>
      <c r="E307" s="113"/>
      <c r="F307" s="113"/>
      <c r="G307" s="113"/>
      <c r="H307" s="113"/>
      <c r="I307" s="113"/>
      <c r="J307" s="358" t="s">
        <v>2753</v>
      </c>
      <c r="K307" s="209"/>
      <c r="L307" s="166"/>
      <c r="M307" s="250"/>
      <c r="N307" s="251"/>
      <c r="Q307" s="155"/>
      <c r="R307" s="155"/>
      <c r="S307" s="155"/>
    </row>
    <row r="308" spans="1:19" ht="15">
      <c r="A308" s="155"/>
      <c r="B308" s="155"/>
      <c r="C308" s="166" t="s">
        <v>2803</v>
      </c>
      <c r="D308" s="113"/>
      <c r="E308" s="113"/>
      <c r="F308" s="113"/>
      <c r="G308" s="113"/>
      <c r="H308" s="113"/>
      <c r="I308" s="113"/>
      <c r="J308" s="358" t="s">
        <v>2754</v>
      </c>
      <c r="K308" s="209"/>
      <c r="L308" s="166"/>
      <c r="M308" s="250"/>
      <c r="N308" s="251"/>
      <c r="Q308" s="155"/>
      <c r="R308" s="155"/>
      <c r="S308" s="155"/>
    </row>
    <row r="309" spans="1:19" ht="15">
      <c r="A309" s="155"/>
      <c r="B309" s="155"/>
      <c r="C309" s="360" t="s">
        <v>2226</v>
      </c>
      <c r="D309" s="113"/>
      <c r="E309" s="113"/>
      <c r="F309" s="113"/>
      <c r="G309" s="113"/>
      <c r="H309" s="113"/>
      <c r="I309" s="113"/>
      <c r="J309" s="358" t="s">
        <v>2755</v>
      </c>
      <c r="K309" s="209"/>
      <c r="L309" s="166"/>
      <c r="M309" s="250"/>
      <c r="N309" s="251"/>
      <c r="Q309" s="155"/>
      <c r="R309" s="155"/>
      <c r="S309" s="155"/>
    </row>
    <row r="310" spans="1:19" ht="15">
      <c r="A310" s="155"/>
      <c r="B310" s="155"/>
      <c r="C310" s="360" t="s">
        <v>2227</v>
      </c>
      <c r="D310" s="113"/>
      <c r="E310" s="113"/>
      <c r="F310" s="113"/>
      <c r="G310" s="113"/>
      <c r="H310" s="113"/>
      <c r="I310" s="113"/>
      <c r="J310" s="358" t="s">
        <v>2756</v>
      </c>
      <c r="K310" s="209"/>
      <c r="L310" s="166"/>
      <c r="M310" s="250"/>
      <c r="N310" s="251"/>
      <c r="Q310" s="155"/>
      <c r="R310" s="155"/>
      <c r="S310" s="155"/>
    </row>
    <row r="311" spans="1:19" ht="15">
      <c r="A311" s="155"/>
      <c r="B311" s="155"/>
      <c r="C311" s="361" t="s">
        <v>3285</v>
      </c>
      <c r="D311" s="113"/>
      <c r="E311" s="113"/>
      <c r="F311" s="113"/>
      <c r="G311" s="113"/>
      <c r="H311" s="113"/>
      <c r="I311" s="113"/>
      <c r="J311" s="358" t="s">
        <v>2757</v>
      </c>
      <c r="K311" s="209"/>
      <c r="L311" s="166"/>
      <c r="M311" s="250"/>
      <c r="N311" s="251"/>
      <c r="Q311" s="155"/>
      <c r="R311" s="155"/>
      <c r="S311" s="155"/>
    </row>
    <row r="312" spans="1:19" ht="15">
      <c r="A312" s="155"/>
      <c r="B312" s="155"/>
      <c r="C312" s="361" t="s">
        <v>2216</v>
      </c>
      <c r="D312" s="113"/>
      <c r="E312" s="113"/>
      <c r="F312" s="113"/>
      <c r="G312" s="113"/>
      <c r="H312" s="113"/>
      <c r="I312" s="113"/>
      <c r="J312" s="358" t="s">
        <v>1077</v>
      </c>
      <c r="K312" s="209"/>
      <c r="L312" s="166"/>
      <c r="M312" s="250"/>
      <c r="N312" s="251"/>
      <c r="Q312" s="155"/>
      <c r="R312" s="155"/>
      <c r="S312" s="155"/>
    </row>
    <row r="313" spans="1:19" ht="15">
      <c r="A313" s="155"/>
      <c r="B313" s="155"/>
      <c r="C313" s="361" t="s">
        <v>2338</v>
      </c>
      <c r="D313" s="113"/>
      <c r="E313" s="113"/>
      <c r="F313" s="113"/>
      <c r="G313" s="113"/>
      <c r="H313" s="113"/>
      <c r="I313" s="113"/>
      <c r="J313" s="358" t="s">
        <v>2758</v>
      </c>
      <c r="K313" s="209"/>
      <c r="L313" s="166"/>
      <c r="M313" s="250"/>
      <c r="N313" s="251"/>
      <c r="Q313" s="155"/>
      <c r="R313" s="155"/>
      <c r="S313" s="155"/>
    </row>
    <row r="314" spans="1:19" ht="15">
      <c r="A314" s="155"/>
      <c r="B314" s="155"/>
      <c r="C314" s="360" t="s">
        <v>3267</v>
      </c>
      <c r="D314" s="113"/>
      <c r="E314" s="113"/>
      <c r="F314" s="113"/>
      <c r="G314" s="113"/>
      <c r="H314" s="113"/>
      <c r="I314" s="113"/>
      <c r="J314" s="358" t="s">
        <v>2759</v>
      </c>
      <c r="K314" s="209"/>
      <c r="L314" s="166"/>
      <c r="M314" s="250"/>
      <c r="N314" s="251"/>
      <c r="Q314" s="155"/>
      <c r="R314" s="155"/>
      <c r="S314" s="155"/>
    </row>
    <row r="315" spans="1:19" ht="15">
      <c r="A315" s="155"/>
      <c r="B315" s="155"/>
      <c r="C315" s="360" t="s">
        <v>3335</v>
      </c>
      <c r="D315" s="113"/>
      <c r="E315" s="113"/>
      <c r="F315" s="113"/>
      <c r="G315" s="113"/>
      <c r="H315" s="113"/>
      <c r="I315" s="113"/>
      <c r="J315" s="358" t="s">
        <v>2760</v>
      </c>
      <c r="K315" s="166"/>
      <c r="L315" s="166"/>
      <c r="M315" s="250"/>
      <c r="N315" s="251"/>
      <c r="Q315" s="155"/>
      <c r="R315" s="155"/>
      <c r="S315" s="155"/>
    </row>
    <row r="316" spans="1:19" ht="15">
      <c r="A316" s="155"/>
      <c r="B316" s="155"/>
      <c r="C316" s="360" t="s">
        <v>3336</v>
      </c>
      <c r="D316" s="166"/>
      <c r="E316" s="166"/>
      <c r="F316" s="166"/>
      <c r="G316" s="166"/>
      <c r="H316" s="166"/>
      <c r="I316" s="166"/>
      <c r="J316" s="358" t="s">
        <v>128</v>
      </c>
      <c r="K316" s="166"/>
      <c r="L316" s="166"/>
      <c r="M316" s="250"/>
      <c r="N316" s="251"/>
      <c r="Q316" s="155"/>
      <c r="R316" s="155"/>
      <c r="S316" s="155"/>
    </row>
    <row r="317" spans="1:19" ht="15">
      <c r="A317" s="155"/>
      <c r="B317" s="155"/>
      <c r="C317" s="360" t="s">
        <v>3283</v>
      </c>
      <c r="D317" s="166"/>
      <c r="E317" s="166"/>
      <c r="F317" s="166"/>
      <c r="G317" s="166"/>
      <c r="H317" s="166"/>
      <c r="I317" s="166"/>
      <c r="J317" s="362"/>
      <c r="K317" s="166"/>
      <c r="L317" s="166"/>
      <c r="M317" s="250"/>
      <c r="N317" s="251"/>
      <c r="Q317" s="155"/>
      <c r="R317" s="155"/>
      <c r="S317" s="155"/>
    </row>
    <row r="318" spans="1:19">
      <c r="A318" s="155"/>
      <c r="B318" s="155"/>
      <c r="C318" s="360" t="s">
        <v>3284</v>
      </c>
      <c r="D318" s="166"/>
      <c r="E318" s="166"/>
      <c r="F318" s="166"/>
      <c r="G318" s="166"/>
      <c r="H318" s="166"/>
      <c r="I318" s="166"/>
      <c r="J318" s="166"/>
      <c r="K318" s="166"/>
      <c r="L318" s="166"/>
      <c r="M318" s="155"/>
      <c r="Q318" s="155"/>
      <c r="R318" s="155"/>
      <c r="S318" s="155"/>
    </row>
    <row r="319" spans="1:19">
      <c r="A319" s="155"/>
      <c r="B319" s="155"/>
      <c r="C319" s="360" t="s">
        <v>2339</v>
      </c>
      <c r="D319" s="166"/>
      <c r="E319" s="166"/>
      <c r="F319" s="166"/>
      <c r="G319" s="166"/>
      <c r="H319" s="166"/>
      <c r="I319" s="166"/>
      <c r="J319" s="166"/>
      <c r="K319" s="166"/>
      <c r="L319" s="166"/>
      <c r="M319" s="155"/>
      <c r="Q319" s="155"/>
      <c r="R319" s="155"/>
      <c r="S319" s="155"/>
    </row>
    <row r="320" spans="1:19">
      <c r="A320" s="155"/>
      <c r="B320" s="155"/>
      <c r="C320" s="360" t="s">
        <v>3601</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2316</v>
      </c>
      <c r="H323" s="672" t="s">
        <v>2317</v>
      </c>
      <c r="I323" s="672" t="s">
        <v>2318</v>
      </c>
      <c r="J323" s="166"/>
      <c r="K323" s="166"/>
      <c r="L323" s="166"/>
      <c r="M323" s="250"/>
      <c r="N323" s="251"/>
    </row>
    <row r="324" spans="1:19" ht="38.25">
      <c r="A324" s="155"/>
      <c r="B324" s="155"/>
      <c r="C324" s="166"/>
      <c r="D324" s="166"/>
      <c r="E324" s="166"/>
      <c r="F324" s="166"/>
      <c r="G324" s="673" t="s">
        <v>3922</v>
      </c>
      <c r="H324" s="673" t="s">
        <v>3923</v>
      </c>
      <c r="I324" s="673" t="s">
        <v>1842</v>
      </c>
      <c r="J324" s="166"/>
      <c r="K324" s="166"/>
      <c r="L324" s="166"/>
      <c r="M324" s="250"/>
      <c r="N324" s="251"/>
    </row>
    <row r="325" spans="1:19" ht="25.5">
      <c r="A325" s="155"/>
      <c r="B325" s="155"/>
      <c r="C325" s="166"/>
      <c r="D325" s="166"/>
      <c r="E325" s="166"/>
      <c r="F325" s="166"/>
      <c r="G325" s="673" t="s">
        <v>2530</v>
      </c>
      <c r="H325" s="674" t="s">
        <v>1855</v>
      </c>
      <c r="I325" s="674" t="s">
        <v>2280</v>
      </c>
      <c r="J325" s="166"/>
      <c r="K325" s="166"/>
      <c r="L325" s="166"/>
      <c r="M325" s="250"/>
      <c r="N325" s="251"/>
    </row>
    <row r="326" spans="1:19">
      <c r="A326" s="155"/>
      <c r="B326" s="155"/>
      <c r="C326" s="166"/>
      <c r="D326" s="166"/>
      <c r="E326" s="166"/>
      <c r="F326" s="166"/>
      <c r="G326" s="673" t="s">
        <v>3413</v>
      </c>
      <c r="H326" s="674" t="s">
        <v>2188</v>
      </c>
      <c r="I326" s="674" t="s">
        <v>2292</v>
      </c>
      <c r="J326" s="166"/>
      <c r="K326" s="166"/>
      <c r="L326" s="166"/>
      <c r="M326" s="250"/>
      <c r="N326" s="251"/>
    </row>
    <row r="327" spans="1:19">
      <c r="A327" s="155"/>
      <c r="B327" s="155"/>
      <c r="C327" s="166"/>
      <c r="D327" s="166"/>
      <c r="E327" s="166"/>
      <c r="F327" s="166"/>
      <c r="G327" s="673" t="s">
        <v>2531</v>
      </c>
      <c r="H327" s="674" t="s">
        <v>3935</v>
      </c>
      <c r="I327" s="674" t="s">
        <v>2188</v>
      </c>
      <c r="J327" s="166"/>
      <c r="K327" s="166"/>
      <c r="L327" s="166"/>
      <c r="M327" s="250"/>
      <c r="N327" s="251"/>
    </row>
    <row r="328" spans="1:19" ht="25.5">
      <c r="A328" s="155"/>
      <c r="B328" s="155"/>
      <c r="C328" s="166"/>
      <c r="D328" s="166"/>
      <c r="E328" s="166"/>
      <c r="F328" s="166"/>
      <c r="G328" s="673" t="s">
        <v>108</v>
      </c>
      <c r="H328" s="674" t="s">
        <v>3936</v>
      </c>
      <c r="I328" s="674" t="s">
        <v>3868</v>
      </c>
      <c r="J328" s="166"/>
      <c r="K328" s="166"/>
      <c r="L328" s="166"/>
      <c r="M328" s="250"/>
      <c r="N328" s="251"/>
    </row>
    <row r="329" spans="1:19">
      <c r="A329" s="155"/>
      <c r="B329" s="155"/>
      <c r="C329" s="166"/>
      <c r="D329" s="166"/>
      <c r="E329" s="166"/>
      <c r="F329" s="166"/>
      <c r="G329" s="673" t="s">
        <v>2188</v>
      </c>
      <c r="H329" s="674" t="s">
        <v>3054</v>
      </c>
      <c r="I329" s="674" t="s">
        <v>3874</v>
      </c>
      <c r="J329" s="166"/>
      <c r="K329" s="166"/>
      <c r="L329" s="166"/>
      <c r="M329" s="250"/>
      <c r="N329" s="251"/>
    </row>
    <row r="330" spans="1:19">
      <c r="A330" s="155"/>
      <c r="B330" s="155"/>
      <c r="C330" s="166"/>
      <c r="D330" s="166"/>
      <c r="E330" s="166"/>
      <c r="F330" s="166"/>
      <c r="G330" s="673" t="s">
        <v>2319</v>
      </c>
      <c r="H330" s="674" t="s">
        <v>3514</v>
      </c>
      <c r="I330" s="674" t="s">
        <v>3876</v>
      </c>
      <c r="J330" s="166"/>
      <c r="K330" s="166"/>
      <c r="L330" s="166"/>
      <c r="M330" s="250"/>
      <c r="N330" s="251"/>
    </row>
    <row r="331" spans="1:19" ht="25.5">
      <c r="A331" s="155"/>
      <c r="B331" s="155"/>
      <c r="C331" s="166"/>
      <c r="D331" s="166"/>
      <c r="E331" s="166"/>
      <c r="F331" s="166"/>
      <c r="G331" s="673" t="s">
        <v>1671</v>
      </c>
      <c r="H331" s="674" t="s">
        <v>3937</v>
      </c>
      <c r="I331" s="674" t="s">
        <v>4023</v>
      </c>
      <c r="J331" s="166"/>
      <c r="K331" s="166"/>
      <c r="L331" s="166"/>
      <c r="M331" s="250"/>
      <c r="N331" s="251"/>
    </row>
    <row r="332" spans="1:19">
      <c r="A332" s="155"/>
      <c r="B332" s="155"/>
      <c r="C332" s="166"/>
      <c r="D332" s="166"/>
      <c r="E332" s="166"/>
      <c r="F332" s="166"/>
      <c r="G332" s="673" t="s">
        <v>3876</v>
      </c>
      <c r="H332" s="674" t="s">
        <v>1098</v>
      </c>
      <c r="I332" s="674" t="s">
        <v>204</v>
      </c>
      <c r="J332" s="166"/>
      <c r="K332" s="166"/>
      <c r="L332" s="166"/>
      <c r="M332" s="250"/>
      <c r="N332" s="251"/>
    </row>
    <row r="333" spans="1:19">
      <c r="A333" s="155"/>
      <c r="B333" s="155"/>
      <c r="C333" s="166"/>
      <c r="D333" s="166"/>
      <c r="E333" s="166"/>
      <c r="F333" s="166"/>
      <c r="G333" s="673" t="s">
        <v>3392</v>
      </c>
      <c r="H333" s="674" t="s">
        <v>2611</v>
      </c>
      <c r="I333" s="674" t="s">
        <v>1778</v>
      </c>
      <c r="J333" s="166"/>
      <c r="K333" s="166"/>
      <c r="L333" s="166"/>
      <c r="M333" s="250"/>
      <c r="N333" s="251"/>
    </row>
    <row r="334" spans="1:19" ht="25.5">
      <c r="A334" s="155"/>
      <c r="B334" s="155"/>
      <c r="C334" s="166"/>
      <c r="D334" s="166"/>
      <c r="E334" s="166"/>
      <c r="F334" s="166"/>
      <c r="G334" s="673" t="s">
        <v>1021</v>
      </c>
      <c r="H334" s="674" t="s">
        <v>3938</v>
      </c>
      <c r="I334" s="674" t="s">
        <v>1780</v>
      </c>
      <c r="J334" s="166"/>
      <c r="K334" s="166"/>
      <c r="L334" s="166"/>
      <c r="M334" s="250"/>
      <c r="N334" s="251"/>
    </row>
    <row r="335" spans="1:19" ht="25.5">
      <c r="A335" s="155"/>
      <c r="B335" s="155"/>
      <c r="C335" s="166"/>
      <c r="D335" s="166"/>
      <c r="E335" s="166"/>
      <c r="F335" s="166"/>
      <c r="G335" s="673" t="s">
        <v>2544</v>
      </c>
      <c r="H335" s="674" t="s">
        <v>2320</v>
      </c>
      <c r="I335" s="674" t="s">
        <v>1479</v>
      </c>
      <c r="J335" s="166"/>
      <c r="K335" s="166"/>
      <c r="L335" s="166"/>
      <c r="M335" s="250"/>
      <c r="N335" s="251"/>
    </row>
    <row r="336" spans="1:19">
      <c r="A336" s="155"/>
      <c r="B336" s="155"/>
      <c r="C336" s="166"/>
      <c r="D336" s="166"/>
      <c r="E336" s="166"/>
      <c r="F336" s="166"/>
      <c r="G336" s="673" t="s">
        <v>1478</v>
      </c>
      <c r="H336" s="674" t="s">
        <v>3328</v>
      </c>
      <c r="I336" s="674" t="s">
        <v>1483</v>
      </c>
      <c r="J336" s="166"/>
      <c r="K336" s="166"/>
      <c r="L336" s="166"/>
      <c r="M336" s="250"/>
      <c r="N336" s="251"/>
    </row>
    <row r="337" spans="1:14">
      <c r="A337" s="155"/>
      <c r="B337" s="155"/>
      <c r="C337" s="166"/>
      <c r="D337" s="166"/>
      <c r="E337" s="166"/>
      <c r="F337" s="166"/>
      <c r="G337" s="673" t="s">
        <v>690</v>
      </c>
      <c r="H337" s="674" t="s">
        <v>3141</v>
      </c>
      <c r="I337" s="674" t="s">
        <v>1103</v>
      </c>
      <c r="J337" s="166"/>
      <c r="K337" s="166"/>
      <c r="L337" s="166"/>
      <c r="M337" s="250"/>
      <c r="N337" s="251"/>
    </row>
    <row r="338" spans="1:14" ht="51">
      <c r="A338" s="155"/>
      <c r="B338" s="155"/>
      <c r="C338" s="166"/>
      <c r="D338" s="166"/>
      <c r="E338" s="166"/>
      <c r="F338" s="166"/>
      <c r="G338" s="673" t="s">
        <v>420</v>
      </c>
      <c r="H338" s="674" t="s">
        <v>3941</v>
      </c>
      <c r="I338" s="674" t="s">
        <v>1095</v>
      </c>
      <c r="J338" s="166"/>
      <c r="K338" s="166"/>
      <c r="L338" s="166"/>
      <c r="M338" s="250"/>
      <c r="N338" s="251"/>
    </row>
    <row r="339" spans="1:14" ht="25.5">
      <c r="A339" s="155"/>
      <c r="B339" s="155"/>
      <c r="C339" s="166"/>
      <c r="D339" s="166"/>
      <c r="E339" s="166"/>
      <c r="F339" s="166"/>
      <c r="G339" s="673" t="s">
        <v>2545</v>
      </c>
      <c r="H339" s="674" t="s">
        <v>3934</v>
      </c>
      <c r="I339" s="674" t="s">
        <v>540</v>
      </c>
      <c r="J339" s="166"/>
      <c r="K339" s="166"/>
      <c r="L339" s="166"/>
      <c r="M339" s="250"/>
      <c r="N339" s="251"/>
    </row>
    <row r="340" spans="1:14" ht="25.5">
      <c r="A340" s="155"/>
      <c r="B340" s="155"/>
      <c r="C340" s="166"/>
      <c r="D340" s="166"/>
      <c r="E340" s="166"/>
      <c r="F340" s="166"/>
      <c r="G340" s="673" t="s">
        <v>955</v>
      </c>
      <c r="H340" s="674" t="s">
        <v>3939</v>
      </c>
      <c r="I340" s="674" t="s">
        <v>352</v>
      </c>
      <c r="J340" s="166"/>
      <c r="K340" s="166"/>
      <c r="L340" s="166"/>
      <c r="M340" s="250"/>
      <c r="N340" s="251"/>
    </row>
    <row r="341" spans="1:14">
      <c r="A341" s="155"/>
      <c r="B341" s="155"/>
      <c r="C341" s="166"/>
      <c r="D341" s="166"/>
      <c r="E341" s="166"/>
      <c r="F341" s="166"/>
      <c r="G341" s="673" t="s">
        <v>2546</v>
      </c>
      <c r="H341" s="674" t="s">
        <v>3940</v>
      </c>
      <c r="I341" s="674" t="s">
        <v>437</v>
      </c>
      <c r="J341" s="166"/>
      <c r="K341" s="166"/>
      <c r="L341" s="166"/>
      <c r="M341" s="250"/>
      <c r="N341" s="251"/>
    </row>
    <row r="342" spans="1:14">
      <c r="A342" s="155"/>
      <c r="B342" s="155"/>
      <c r="C342" s="166"/>
      <c r="D342" s="166"/>
      <c r="E342" s="166"/>
      <c r="F342" s="166"/>
      <c r="G342" s="673" t="s">
        <v>2908</v>
      </c>
      <c r="H342" s="674" t="s">
        <v>2311</v>
      </c>
      <c r="I342" s="674" t="s">
        <v>439</v>
      </c>
      <c r="J342" s="166"/>
      <c r="K342" s="166"/>
      <c r="L342" s="166"/>
      <c r="M342" s="250"/>
      <c r="N342" s="251"/>
    </row>
    <row r="343" spans="1:14">
      <c r="A343" s="155"/>
      <c r="B343" s="155"/>
      <c r="C343" s="166"/>
      <c r="D343" s="166"/>
      <c r="E343" s="166"/>
      <c r="F343" s="166"/>
      <c r="G343" s="673" t="s">
        <v>860</v>
      </c>
      <c r="H343" s="674"/>
      <c r="I343" s="674" t="s">
        <v>2087</v>
      </c>
      <c r="J343" s="166"/>
      <c r="K343" s="166"/>
      <c r="L343" s="166"/>
      <c r="M343" s="250"/>
      <c r="N343" s="251"/>
    </row>
    <row r="344" spans="1:14">
      <c r="A344" s="155"/>
      <c r="B344" s="155"/>
      <c r="C344" s="166"/>
      <c r="D344" s="166"/>
      <c r="E344" s="166"/>
      <c r="F344" s="166"/>
      <c r="G344" s="673" t="s">
        <v>972</v>
      </c>
      <c r="H344" s="674"/>
      <c r="I344" s="674" t="s">
        <v>2089</v>
      </c>
      <c r="J344" s="166"/>
      <c r="K344" s="166"/>
      <c r="L344" s="166"/>
      <c r="M344" s="250"/>
      <c r="N344" s="251"/>
    </row>
    <row r="345" spans="1:14">
      <c r="A345" s="155"/>
      <c r="B345" s="155"/>
      <c r="C345" s="166"/>
      <c r="D345" s="166"/>
      <c r="E345" s="166"/>
      <c r="F345" s="166"/>
      <c r="G345" s="673" t="s">
        <v>3441</v>
      </c>
      <c r="H345" s="674"/>
      <c r="I345" s="674" t="s">
        <v>2283</v>
      </c>
      <c r="J345" s="166"/>
      <c r="K345" s="166"/>
      <c r="L345" s="166"/>
      <c r="M345" s="250"/>
      <c r="N345" s="251"/>
    </row>
    <row r="346" spans="1:14">
      <c r="A346" s="155"/>
      <c r="B346" s="155"/>
      <c r="C346" s="166"/>
      <c r="D346" s="166"/>
      <c r="E346" s="166"/>
      <c r="F346" s="166"/>
      <c r="G346" s="673" t="s">
        <v>510</v>
      </c>
      <c r="H346" s="674"/>
      <c r="I346" s="674" t="s">
        <v>471</v>
      </c>
      <c r="J346" s="166"/>
      <c r="K346" s="166"/>
      <c r="L346" s="166"/>
      <c r="M346" s="250"/>
      <c r="N346" s="251"/>
    </row>
    <row r="347" spans="1:14">
      <c r="A347" s="155"/>
      <c r="B347" s="155"/>
      <c r="C347" s="166"/>
      <c r="D347" s="166"/>
      <c r="E347" s="166"/>
      <c r="F347" s="166"/>
      <c r="G347" s="673" t="s">
        <v>3328</v>
      </c>
      <c r="H347" s="674"/>
      <c r="I347" s="674" t="s">
        <v>2875</v>
      </c>
      <c r="J347" s="166"/>
      <c r="K347" s="166"/>
      <c r="L347" s="166"/>
      <c r="M347" s="250"/>
      <c r="N347" s="251"/>
    </row>
    <row r="348" spans="1:14" ht="51">
      <c r="A348" s="155"/>
      <c r="B348" s="155"/>
      <c r="C348" s="166"/>
      <c r="D348" s="166"/>
      <c r="E348" s="166"/>
      <c r="F348" s="166"/>
      <c r="G348" s="673" t="s">
        <v>2547</v>
      </c>
      <c r="H348" s="674"/>
      <c r="I348" s="674" t="s">
        <v>2403</v>
      </c>
      <c r="J348" s="166"/>
      <c r="K348" s="166"/>
      <c r="L348" s="166"/>
      <c r="M348" s="250"/>
      <c r="N348" s="251"/>
    </row>
    <row r="349" spans="1:14">
      <c r="A349" s="155"/>
      <c r="B349" s="155"/>
      <c r="C349" s="166"/>
      <c r="D349" s="166"/>
      <c r="E349" s="166"/>
      <c r="F349" s="166"/>
      <c r="G349" s="673" t="s">
        <v>3386</v>
      </c>
      <c r="H349" s="674"/>
      <c r="I349" s="674" t="s">
        <v>2405</v>
      </c>
      <c r="J349" s="166"/>
      <c r="K349" s="166"/>
      <c r="L349" s="166"/>
      <c r="M349" s="250"/>
      <c r="N349" s="251"/>
    </row>
    <row r="350" spans="1:14">
      <c r="A350" s="155"/>
      <c r="B350" s="155"/>
      <c r="C350" s="166"/>
      <c r="D350" s="166"/>
      <c r="E350" s="166"/>
      <c r="F350" s="166"/>
      <c r="G350" s="673" t="s">
        <v>3388</v>
      </c>
      <c r="H350" s="674"/>
      <c r="I350" s="674" t="s">
        <v>1752</v>
      </c>
      <c r="J350" s="166"/>
      <c r="K350" s="166"/>
      <c r="L350" s="166"/>
      <c r="M350" s="250"/>
      <c r="N350" s="251"/>
    </row>
    <row r="351" spans="1:14">
      <c r="A351" s="155"/>
      <c r="B351" s="155"/>
      <c r="C351" s="166"/>
      <c r="D351" s="166"/>
      <c r="E351" s="166"/>
      <c r="F351" s="166"/>
      <c r="G351" s="673" t="s">
        <v>3266</v>
      </c>
      <c r="H351" s="674"/>
      <c r="I351" s="674" t="s">
        <v>3399</v>
      </c>
      <c r="J351" s="166"/>
      <c r="K351" s="166"/>
      <c r="L351" s="166"/>
      <c r="M351" s="250"/>
      <c r="N351" s="251"/>
    </row>
    <row r="352" spans="1:14" ht="25.5">
      <c r="A352" s="155"/>
      <c r="B352" s="155"/>
      <c r="C352" s="166"/>
      <c r="D352" s="166"/>
      <c r="E352" s="166"/>
      <c r="F352" s="166"/>
      <c r="G352" s="673" t="s">
        <v>2548</v>
      </c>
      <c r="H352" s="674"/>
      <c r="I352" s="674" t="s">
        <v>3161</v>
      </c>
      <c r="J352" s="166"/>
      <c r="K352" s="166"/>
      <c r="L352" s="166"/>
      <c r="M352" s="250"/>
      <c r="N352" s="251"/>
    </row>
    <row r="353" spans="1:14">
      <c r="A353" s="155"/>
      <c r="B353" s="155"/>
      <c r="C353" s="166"/>
      <c r="D353" s="166"/>
      <c r="E353" s="166"/>
      <c r="F353" s="166"/>
      <c r="G353" s="673" t="s">
        <v>3574</v>
      </c>
      <c r="H353" s="674"/>
      <c r="I353" s="674" t="s">
        <v>3167</v>
      </c>
      <c r="J353" s="166"/>
      <c r="K353" s="166"/>
      <c r="L353" s="166"/>
      <c r="M353" s="250"/>
      <c r="N353" s="251"/>
    </row>
    <row r="354" spans="1:14">
      <c r="A354" s="155"/>
      <c r="B354" s="155"/>
      <c r="C354" s="166"/>
      <c r="D354" s="166"/>
      <c r="E354" s="166"/>
      <c r="F354" s="166"/>
      <c r="G354" s="673" t="s">
        <v>3320</v>
      </c>
      <c r="H354" s="674"/>
      <c r="I354" s="674" t="s">
        <v>3171</v>
      </c>
      <c r="J354" s="166"/>
      <c r="K354" s="166"/>
      <c r="L354" s="166"/>
      <c r="M354" s="250"/>
      <c r="N354" s="251"/>
    </row>
    <row r="355" spans="1:14">
      <c r="A355" s="155"/>
      <c r="B355" s="155"/>
      <c r="C355" s="166"/>
      <c r="D355" s="166"/>
      <c r="E355" s="166"/>
      <c r="F355" s="166"/>
      <c r="G355" s="673" t="s">
        <v>2859</v>
      </c>
      <c r="H355" s="674"/>
      <c r="I355" s="674" t="s">
        <v>2790</v>
      </c>
      <c r="J355" s="166"/>
      <c r="K355" s="166"/>
      <c r="L355" s="166"/>
      <c r="M355" s="250"/>
      <c r="N355" s="251"/>
    </row>
    <row r="356" spans="1:14" ht="13.5">
      <c r="A356" s="155"/>
      <c r="B356" s="155"/>
      <c r="C356" s="675"/>
      <c r="D356" s="675"/>
      <c r="E356" s="166"/>
      <c r="F356" s="166"/>
      <c r="G356" s="639" t="s">
        <v>2979</v>
      </c>
      <c r="H356" s="507"/>
      <c r="I356" s="674" t="s">
        <v>2791</v>
      </c>
      <c r="J356" s="166"/>
      <c r="K356" s="166"/>
      <c r="L356" s="166"/>
      <c r="M356" s="250"/>
      <c r="N356" s="251"/>
    </row>
    <row r="357" spans="1:14" ht="13.5">
      <c r="A357" s="155"/>
      <c r="B357" s="155"/>
      <c r="C357" s="675"/>
      <c r="D357" s="675"/>
      <c r="E357" s="166"/>
      <c r="F357" s="166"/>
      <c r="G357" s="639" t="s">
        <v>99</v>
      </c>
      <c r="H357" s="507"/>
      <c r="I357" s="568" t="s">
        <v>97</v>
      </c>
      <c r="J357" s="166"/>
      <c r="K357" s="166"/>
      <c r="L357" s="166"/>
      <c r="M357" s="250"/>
      <c r="N357" s="251"/>
    </row>
    <row r="358" spans="1:14" ht="13.5">
      <c r="A358" s="155"/>
      <c r="B358" s="155"/>
      <c r="C358" s="675"/>
      <c r="D358" s="676"/>
      <c r="E358" s="166"/>
      <c r="F358" s="166"/>
      <c r="G358" s="639" t="s">
        <v>646</v>
      </c>
      <c r="H358" s="507"/>
      <c r="I358" s="166" t="s">
        <v>103</v>
      </c>
      <c r="J358" s="166"/>
      <c r="K358" s="166"/>
      <c r="L358" s="166"/>
      <c r="M358" s="250"/>
      <c r="N358" s="251"/>
    </row>
    <row r="359" spans="1:14">
      <c r="A359" s="155"/>
      <c r="B359" s="155"/>
      <c r="C359" s="675"/>
      <c r="D359" s="676"/>
      <c r="E359" s="676"/>
      <c r="F359" s="123"/>
      <c r="G359" s="677" t="s">
        <v>647</v>
      </c>
      <c r="H359" s="166"/>
      <c r="I359" s="166" t="s">
        <v>3750</v>
      </c>
      <c r="J359" s="166"/>
      <c r="K359" s="166"/>
      <c r="L359" s="166"/>
      <c r="M359" s="155"/>
    </row>
    <row r="360" spans="1:14">
      <c r="A360" s="155"/>
      <c r="B360" s="155"/>
      <c r="C360" s="675"/>
      <c r="D360" s="123"/>
      <c r="E360" s="123"/>
      <c r="F360" s="123"/>
      <c r="G360" s="677" t="s">
        <v>2568</v>
      </c>
      <c r="H360" s="166"/>
      <c r="I360" s="166" t="s">
        <v>3754</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mergeCells count="140">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A1:P1"/>
    <mergeCell ref="G25:J25"/>
    <mergeCell ref="L22:O22"/>
    <mergeCell ref="A22:E22"/>
    <mergeCell ref="L21:O21"/>
    <mergeCell ref="G20:J20"/>
    <mergeCell ref="L23:O23"/>
    <mergeCell ref="G19:J19"/>
    <mergeCell ref="G18:J18"/>
    <mergeCell ref="A14:P14"/>
    <mergeCell ref="A15:P15"/>
    <mergeCell ref="A26:E26"/>
    <mergeCell ref="G26:J26"/>
    <mergeCell ref="L26:O26"/>
    <mergeCell ref="A18:E18"/>
    <mergeCell ref="A19:E19"/>
    <mergeCell ref="A20:E20"/>
    <mergeCell ref="A17:D17"/>
    <mergeCell ref="G17:I17"/>
    <mergeCell ref="A21:E21"/>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paperSize="0" scale="91" fitToHeight="0" orientation="landscape" horizontalDpi="4294967292" verticalDpi="4294967292"/>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sheetPr enableFormatConditionsCalculation="0">
    <pageSetUpPr fitToPage="1"/>
  </sheetPr>
  <dimension ref="A1:F27"/>
  <sheetViews>
    <sheetView showGridLines="0" workbookViewId="0">
      <selection activeCell="E14" sqref="E14"/>
    </sheetView>
  </sheetViews>
  <sheetFormatPr defaultColWidth="8.7109375" defaultRowHeight="12.75"/>
  <cols>
    <col min="1" max="1" width="88.42578125" style="31" customWidth="1"/>
    <col min="2" max="16384" width="8.7109375" style="31"/>
  </cols>
  <sheetData>
    <row r="1" spans="1:6" ht="15.75">
      <c r="A1" s="1146" t="s">
        <v>959</v>
      </c>
    </row>
    <row r="2" spans="1:6" ht="16.5">
      <c r="A2" s="1147" t="str">
        <f>'Part I-Project Information'!F22</f>
        <v>Endeavor Pointe</v>
      </c>
    </row>
    <row r="3" spans="1:6" ht="16.5">
      <c r="A3" s="1147" t="str">
        <f>CONCATENATE('Part I-Project Information'!F24,", ", 'Part I-Project Information'!J25," County")</f>
        <v>LaFayette, Walker County</v>
      </c>
    </row>
    <row r="4" spans="1:6" ht="12" customHeight="1"/>
    <row r="5" spans="1:6" ht="111" customHeight="1">
      <c r="A5" s="1148" t="s">
        <v>36</v>
      </c>
      <c r="B5" s="774" t="s">
        <v>1604</v>
      </c>
      <c r="C5" s="774"/>
      <c r="D5" s="774"/>
      <c r="E5" s="774"/>
      <c r="F5" s="774"/>
    </row>
    <row r="6" spans="1:6" ht="6.4" customHeight="1">
      <c r="A6" s="1149"/>
      <c r="B6" s="774"/>
      <c r="C6" s="774"/>
      <c r="D6" s="774"/>
      <c r="E6" s="774"/>
      <c r="F6" s="774"/>
    </row>
    <row r="7" spans="1:6" ht="111" customHeight="1">
      <c r="A7" s="1148" t="s">
        <v>6</v>
      </c>
      <c r="C7" s="1150"/>
    </row>
    <row r="8" spans="1:6" ht="6.4" customHeight="1">
      <c r="A8" s="1149"/>
    </row>
    <row r="9" spans="1:6" ht="111" customHeight="1">
      <c r="A9" s="1148" t="s">
        <v>1</v>
      </c>
    </row>
    <row r="10" spans="1:6" ht="6.4" customHeight="1">
      <c r="A10" s="1149"/>
    </row>
    <row r="11" spans="1:6" ht="111" customHeight="1">
      <c r="A11" s="1148" t="s">
        <v>4104</v>
      </c>
    </row>
    <row r="12" spans="1:6" ht="6.4" customHeight="1">
      <c r="A12" s="1149"/>
    </row>
    <row r="13" spans="1:6" ht="111" customHeight="1">
      <c r="A13" s="1148"/>
    </row>
    <row r="14" spans="1:6" ht="6.4" customHeight="1">
      <c r="A14" s="1149"/>
    </row>
    <row r="15" spans="1:6" ht="111" customHeight="1">
      <c r="A15" s="1148"/>
    </row>
    <row r="16" spans="1:6" ht="6.4" customHeight="1">
      <c r="A16" s="1149"/>
    </row>
    <row r="17" spans="1:1" ht="111" customHeight="1">
      <c r="A17" s="1148"/>
    </row>
    <row r="18" spans="1:1" ht="6.4" customHeight="1">
      <c r="A18" s="1149"/>
    </row>
    <row r="19" spans="1:1" ht="111" customHeight="1">
      <c r="A19" s="1148"/>
    </row>
    <row r="20" spans="1:1" ht="6.4" customHeight="1">
      <c r="A20" s="1149"/>
    </row>
    <row r="21" spans="1:1" ht="111" customHeight="1">
      <c r="A21" s="1148"/>
    </row>
    <row r="22" spans="1:1" ht="6.4" customHeight="1">
      <c r="A22" s="1149"/>
    </row>
    <row r="23" spans="1:1" ht="111" customHeight="1">
      <c r="A23" s="1148"/>
    </row>
    <row r="24" spans="1:1" ht="6.4" customHeight="1">
      <c r="A24" s="1149"/>
    </row>
    <row r="25" spans="1:1" ht="111" customHeight="1">
      <c r="A25" s="1148"/>
    </row>
    <row r="26" spans="1:1" ht="6.4" customHeight="1">
      <c r="A26" s="1149"/>
    </row>
    <row r="27" spans="1:1" ht="111" customHeight="1">
      <c r="A27" s="1148"/>
    </row>
  </sheetData>
  <sheetProtection password="DDE0" sheet="1" objects="1" scenarios="1"/>
  <mergeCells count="1">
    <mergeCell ref="B5:F6"/>
  </mergeCells>
  <phoneticPr fontId="5" type="noConversion"/>
  <printOptions horizontalCentered="1"/>
  <pageMargins left="0.5" right="0.5" top="0.5" bottom="0.5" header="0.25" footer="0.25"/>
  <pageSetup paperSize="0" fitToHeight="0" orientation="portrait" horizontalDpi="4294967292" verticalDpi="4294967292"/>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sheetPr codeName="Sheet13" enableFormatConditionsCalculation="0">
    <pageSetUpPr fitToPage="1"/>
  </sheetPr>
  <dimension ref="A1:Z58"/>
  <sheetViews>
    <sheetView showGridLines="0" topLeftCell="A3" workbookViewId="0">
      <selection activeCell="A14" sqref="A14:M14"/>
    </sheetView>
  </sheetViews>
  <sheetFormatPr defaultColWidth="8.7109375" defaultRowHeight="15.75"/>
  <cols>
    <col min="1" max="1" width="3.7109375" style="1128" customWidth="1"/>
    <col min="2" max="6" width="6.42578125" style="1128" customWidth="1"/>
    <col min="7" max="7" width="9.7109375" style="1128" customWidth="1"/>
    <col min="8" max="13" width="6.42578125" style="1128" customWidth="1"/>
    <col min="14" max="15" width="5.7109375" style="1128" customWidth="1"/>
    <col min="16" max="16384" width="8.7109375" style="1128"/>
  </cols>
  <sheetData>
    <row r="1" spans="1:26" ht="19.5">
      <c r="N1" s="1129" t="s">
        <v>2392</v>
      </c>
      <c r="O1" s="1129"/>
      <c r="P1" s="1129"/>
      <c r="Q1" s="1129"/>
      <c r="R1" s="1129"/>
      <c r="S1" s="1129"/>
      <c r="T1" s="1129"/>
      <c r="U1" s="1129"/>
      <c r="V1" s="1129"/>
      <c r="W1" s="1129"/>
      <c r="X1" s="1129"/>
      <c r="Y1" s="1129"/>
      <c r="Z1" s="1129"/>
    </row>
    <row r="3" spans="1:26">
      <c r="N3" s="1130" t="s">
        <v>2393</v>
      </c>
      <c r="O3" s="1130"/>
      <c r="P3" s="1130"/>
      <c r="Q3" s="1130"/>
      <c r="R3" s="1130"/>
      <c r="S3" s="1130"/>
      <c r="T3" s="1130"/>
      <c r="U3" s="1130"/>
      <c r="V3" s="1130"/>
      <c r="W3" s="1130"/>
      <c r="X3" s="1130"/>
      <c r="Y3" s="1130"/>
      <c r="Z3" s="1130"/>
    </row>
    <row r="4" spans="1:26">
      <c r="N4" s="1131" t="s">
        <v>2394</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1072</v>
      </c>
    </row>
    <row r="7" spans="1:26" ht="11.65" customHeight="1">
      <c r="A7" s="1132"/>
      <c r="B7" s="1132"/>
      <c r="C7" s="1132"/>
      <c r="D7" s="1132"/>
      <c r="E7" s="1132"/>
      <c r="F7" s="1132"/>
      <c r="G7" s="1132"/>
      <c r="H7" s="1132"/>
      <c r="I7" s="1132"/>
      <c r="J7" s="1132"/>
      <c r="K7" s="1132"/>
      <c r="L7" s="1132"/>
      <c r="M7" s="1132"/>
    </row>
    <row r="8" spans="1:26" ht="63.4" customHeight="1">
      <c r="A8" s="1134" t="s">
        <v>3555</v>
      </c>
      <c r="B8" s="1134"/>
      <c r="C8" s="1134"/>
      <c r="D8" s="1134"/>
      <c r="E8" s="1134"/>
      <c r="F8" s="1134"/>
      <c r="G8" s="1134"/>
      <c r="H8" s="1134"/>
      <c r="I8" s="1134"/>
      <c r="J8" s="1134"/>
      <c r="K8" s="1134"/>
      <c r="L8" s="1134"/>
      <c r="M8" s="1134"/>
    </row>
    <row r="9" spans="1:26" ht="11.65" customHeight="1">
      <c r="A9" s="1132"/>
      <c r="B9" s="1132"/>
      <c r="C9" s="1132"/>
      <c r="D9" s="1132"/>
      <c r="E9" s="1132"/>
      <c r="F9" s="1132"/>
      <c r="G9" s="1132"/>
      <c r="H9" s="1132"/>
      <c r="I9" s="1132"/>
      <c r="J9" s="1132"/>
      <c r="K9" s="1132"/>
      <c r="L9" s="1132"/>
      <c r="M9" s="1132"/>
    </row>
    <row r="10" spans="1:26">
      <c r="A10" s="1132" t="s">
        <v>1201</v>
      </c>
      <c r="B10" s="1132"/>
      <c r="C10" s="1132"/>
      <c r="D10" s="1132"/>
      <c r="E10" s="1132"/>
      <c r="F10" s="1132"/>
      <c r="G10" s="1132"/>
      <c r="H10" s="1132"/>
      <c r="I10" s="1132"/>
      <c r="J10" s="1132"/>
      <c r="K10" s="1132"/>
      <c r="L10" s="1132"/>
      <c r="M10" s="1132"/>
    </row>
    <row r="11" spans="1:26" ht="11.65" customHeight="1">
      <c r="A11" s="1132"/>
      <c r="B11" s="1132"/>
      <c r="C11" s="1132"/>
      <c r="D11" s="1132"/>
      <c r="E11" s="1132"/>
      <c r="F11" s="1132"/>
      <c r="G11" s="1132"/>
      <c r="H11" s="1132"/>
      <c r="I11" s="1132"/>
      <c r="J11" s="1132"/>
      <c r="K11" s="1132"/>
      <c r="L11" s="1132"/>
      <c r="M11" s="1132"/>
    </row>
    <row r="12" spans="1:26">
      <c r="A12" s="1135" t="s">
        <v>3153</v>
      </c>
      <c r="B12" s="1135"/>
      <c r="C12" s="1135"/>
      <c r="D12" s="1135"/>
      <c r="E12" s="1135"/>
      <c r="F12" s="1135"/>
      <c r="G12" s="1135"/>
      <c r="H12" s="1135"/>
      <c r="I12" s="1135"/>
      <c r="J12" s="1135"/>
      <c r="K12" s="1135"/>
      <c r="L12" s="1135"/>
      <c r="M12" s="1135"/>
    </row>
    <row r="13" spans="1:26" ht="11.65" customHeight="1">
      <c r="A13" s="1135"/>
      <c r="B13" s="1135"/>
      <c r="C13" s="1135"/>
      <c r="D13" s="1135"/>
      <c r="E13" s="1135"/>
      <c r="F13" s="1135"/>
      <c r="G13" s="1135"/>
      <c r="H13" s="1135"/>
      <c r="I13" s="1135"/>
      <c r="J13" s="1135"/>
      <c r="K13" s="1135"/>
      <c r="L13" s="1135"/>
      <c r="M13" s="1135"/>
    </row>
    <row r="14" spans="1:26" ht="48.4" customHeight="1">
      <c r="A14" s="1136" t="s">
        <v>958</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2903</v>
      </c>
      <c r="B16" s="1138" t="s">
        <v>90</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4" customHeight="1">
      <c r="A18" s="1137" t="s">
        <v>2904</v>
      </c>
      <c r="B18" s="1138" t="s">
        <v>979</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4" customHeight="1">
      <c r="A20" s="1137" t="s">
        <v>2905</v>
      </c>
      <c r="B20" s="1138" t="s">
        <v>1493</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650000000000006" customHeight="1">
      <c r="A22" s="1137" t="s">
        <v>3672</v>
      </c>
      <c r="B22" s="1138" t="s">
        <v>1256</v>
      </c>
      <c r="C22" s="1138"/>
      <c r="D22" s="1138"/>
      <c r="E22" s="1138"/>
      <c r="F22" s="1138"/>
      <c r="G22" s="1138"/>
      <c r="H22" s="1138"/>
      <c r="I22" s="1138"/>
      <c r="J22" s="1138"/>
      <c r="K22" s="1138"/>
      <c r="L22" s="1138"/>
      <c r="M22" s="1138"/>
    </row>
    <row r="23" spans="1:13" ht="165.4" customHeight="1">
      <c r="A23" s="1137" t="s">
        <v>2445</v>
      </c>
      <c r="B23" s="1138" t="s">
        <v>3259</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2446</v>
      </c>
      <c r="B25" s="1138" t="s">
        <v>2340</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91</v>
      </c>
      <c r="B27" s="1138" t="s">
        <v>2341</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2437</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2438</v>
      </c>
      <c r="B31" s="1138" t="s">
        <v>2308</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4" customHeight="1">
      <c r="A33" s="1139" t="s">
        <v>2438</v>
      </c>
      <c r="B33" s="1138" t="s">
        <v>2007</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2438</v>
      </c>
      <c r="B35" s="1138" t="s">
        <v>1796</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1553</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4" customHeight="1">
      <c r="A39" s="1138" t="s">
        <v>1558</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1559</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1560</v>
      </c>
      <c r="B44" s="1143"/>
      <c r="C44" s="1143"/>
      <c r="D44" s="1143"/>
      <c r="E44" s="1143"/>
      <c r="F44" s="1143"/>
      <c r="G44" s="1142"/>
      <c r="H44" s="1143" t="s">
        <v>2997</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1561</v>
      </c>
      <c r="B48" s="1143"/>
      <c r="C48" s="1143"/>
      <c r="D48" s="1143"/>
      <c r="E48" s="1143"/>
      <c r="F48" s="1143"/>
      <c r="G48" s="1142"/>
      <c r="H48" s="1143" t="s">
        <v>1635</v>
      </c>
      <c r="I48" s="1143"/>
      <c r="J48" s="1143"/>
      <c r="K48" s="1143"/>
      <c r="L48" s="1143"/>
      <c r="M48" s="1143"/>
    </row>
    <row r="49" spans="1:13" ht="11.65" customHeight="1">
      <c r="A49" s="1135"/>
      <c r="B49" s="1135"/>
      <c r="C49" s="1135"/>
      <c r="D49" s="1135"/>
      <c r="E49" s="1135"/>
      <c r="F49" s="1135"/>
      <c r="G49" s="1135"/>
      <c r="H49" s="1135"/>
      <c r="I49" s="1135"/>
      <c r="J49" s="1135"/>
      <c r="K49" s="1135"/>
      <c r="L49" s="1135"/>
      <c r="M49" s="1135"/>
    </row>
    <row r="50" spans="1:13" ht="11.65" customHeight="1">
      <c r="A50" s="1132"/>
      <c r="B50" s="1132"/>
      <c r="C50" s="1132"/>
      <c r="D50" s="1132"/>
      <c r="E50" s="1132"/>
      <c r="F50" s="1132"/>
      <c r="G50" s="1132"/>
      <c r="H50" s="1145" t="s">
        <v>1636</v>
      </c>
      <c r="I50" s="1145"/>
      <c r="J50" s="1145"/>
      <c r="K50" s="1145"/>
      <c r="L50" s="1145"/>
      <c r="M50" s="1145"/>
    </row>
    <row r="51" spans="1:13" ht="11.65" customHeight="1">
      <c r="A51" s="1132"/>
      <c r="B51" s="1132"/>
      <c r="C51" s="1132"/>
      <c r="D51" s="1132"/>
      <c r="E51" s="1132"/>
      <c r="F51" s="1132"/>
      <c r="G51" s="1132"/>
    </row>
    <row r="52" spans="1:13" ht="11.65" customHeight="1">
      <c r="A52" s="1132"/>
      <c r="B52" s="1132"/>
      <c r="C52" s="1132"/>
      <c r="D52" s="1132"/>
      <c r="E52" s="1132"/>
      <c r="F52" s="1132"/>
      <c r="G52" s="1132"/>
      <c r="H52" s="1132"/>
      <c r="I52" s="1132"/>
      <c r="J52" s="1132"/>
      <c r="K52" s="1132"/>
      <c r="L52" s="1132"/>
      <c r="M52" s="1132"/>
    </row>
    <row r="53" spans="1:13" ht="11.65" customHeight="1">
      <c r="A53" s="1132"/>
      <c r="B53" s="1132"/>
      <c r="C53" s="1132"/>
      <c r="D53" s="1132"/>
      <c r="E53" s="1132"/>
      <c r="F53" s="1132"/>
      <c r="G53" s="1132"/>
      <c r="H53" s="1132"/>
      <c r="I53" s="1132"/>
      <c r="J53" s="1132"/>
      <c r="K53" s="1132"/>
      <c r="L53" s="1132"/>
      <c r="M53" s="1132"/>
    </row>
    <row r="54" spans="1:13" ht="11.65" customHeight="1"/>
    <row r="55" spans="1:13" ht="11.65" customHeight="1"/>
    <row r="56" spans="1:13" ht="11.65" customHeight="1"/>
    <row r="57" spans="1:13" ht="11.65" customHeight="1"/>
    <row r="58" spans="1:13" ht="11.65" customHeight="1"/>
  </sheetData>
  <sheetProtection password="DDE0"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sheetPr codeName="Sheet14" enableFormatConditionsCalculation="0"/>
  <dimension ref="A1:Z187"/>
  <sheetViews>
    <sheetView showGridLines="0" zoomScale="120" workbookViewId="0">
      <selection activeCell="C18" sqref="C18"/>
    </sheetView>
  </sheetViews>
  <sheetFormatPr defaultColWidth="8.7109375" defaultRowHeight="12.75"/>
  <cols>
    <col min="1" max="1" width="1.7109375" style="31" customWidth="1"/>
    <col min="2" max="2" width="5.28515625" style="31" customWidth="1"/>
    <col min="3" max="3" width="9.7109375" style="31" customWidth="1"/>
    <col min="4" max="8" width="7.7109375" style="31" customWidth="1"/>
    <col min="9" max="9" width="10.42578125" style="31" customWidth="1"/>
    <col min="10" max="18" width="7.7109375" style="31" customWidth="1"/>
    <col min="19" max="16384" width="8.71093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1114</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2892</v>
      </c>
      <c r="B4" s="419"/>
      <c r="C4" s="419"/>
      <c r="D4" s="241"/>
      <c r="E4" s="241"/>
      <c r="F4" s="419" t="s">
        <v>2893</v>
      </c>
      <c r="G4" s="419"/>
      <c r="H4" s="241"/>
      <c r="I4" s="241"/>
      <c r="J4" s="419" t="s">
        <v>2894</v>
      </c>
      <c r="K4" s="419"/>
      <c r="L4" s="419"/>
      <c r="M4" s="419"/>
      <c r="N4" s="419"/>
      <c r="O4" s="419"/>
      <c r="P4" s="241"/>
      <c r="Q4" s="420" t="s">
        <v>2895</v>
      </c>
      <c r="R4" s="421" t="s">
        <v>2896</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65" customHeight="1">
      <c r="A6" s="423" t="s">
        <v>2897</v>
      </c>
      <c r="B6" s="243"/>
      <c r="C6" s="243"/>
      <c r="D6" s="241"/>
      <c r="E6" s="241"/>
      <c r="F6" s="243" t="s">
        <v>932</v>
      </c>
      <c r="G6" s="243"/>
      <c r="H6" s="241"/>
      <c r="I6" s="241"/>
      <c r="J6" s="243" t="s">
        <v>2898</v>
      </c>
      <c r="K6" s="243"/>
      <c r="L6" s="243"/>
      <c r="M6" s="243"/>
      <c r="N6" s="243"/>
      <c r="O6" s="243"/>
      <c r="P6" s="241"/>
      <c r="Q6" s="424" t="s">
        <v>2899</v>
      </c>
      <c r="R6" s="424">
        <v>950000</v>
      </c>
      <c r="S6" s="241"/>
      <c r="T6" s="241"/>
      <c r="U6" s="241"/>
      <c r="V6" s="425"/>
      <c r="W6" s="425"/>
      <c r="X6" s="244"/>
    </row>
    <row r="7" spans="1:26" s="418" customFormat="1" ht="11.65" customHeight="1">
      <c r="A7" s="423"/>
      <c r="B7" s="243"/>
      <c r="C7" s="243"/>
      <c r="D7" s="241"/>
      <c r="E7" s="241"/>
      <c r="F7" s="243"/>
      <c r="G7" s="243"/>
      <c r="H7" s="241"/>
      <c r="I7" s="241"/>
      <c r="J7" s="243" t="s">
        <v>1933</v>
      </c>
      <c r="K7" s="243"/>
      <c r="L7" s="243"/>
      <c r="M7" s="243"/>
      <c r="N7" s="243"/>
      <c r="O7" s="243"/>
      <c r="P7" s="241"/>
      <c r="Q7" s="424" t="s">
        <v>2899</v>
      </c>
      <c r="R7" s="424">
        <v>1700000</v>
      </c>
      <c r="S7" s="241"/>
      <c r="T7" s="241"/>
      <c r="U7" s="241"/>
      <c r="V7" s="425"/>
      <c r="W7" s="425"/>
      <c r="X7" s="244"/>
    </row>
    <row r="8" spans="1:26" s="418" customFormat="1" ht="11.65" customHeight="1">
      <c r="A8" s="243"/>
      <c r="B8" s="243"/>
      <c r="C8" s="243"/>
      <c r="D8" s="241"/>
      <c r="E8" s="241"/>
      <c r="F8" s="243" t="s">
        <v>3774</v>
      </c>
      <c r="G8" s="243"/>
      <c r="H8" s="241"/>
      <c r="I8" s="241"/>
      <c r="J8" s="243" t="s">
        <v>2928</v>
      </c>
      <c r="K8" s="243"/>
      <c r="L8" s="243"/>
      <c r="M8" s="243"/>
      <c r="N8" s="243"/>
      <c r="O8" s="243"/>
      <c r="P8" s="241"/>
      <c r="Q8" s="424">
        <v>800000</v>
      </c>
      <c r="R8" s="424">
        <v>2500000</v>
      </c>
      <c r="S8" s="426"/>
      <c r="T8" s="426"/>
      <c r="U8" s="241"/>
      <c r="V8" s="427"/>
      <c r="W8" s="427"/>
      <c r="X8" s="427"/>
    </row>
    <row r="9" spans="1:26" s="418" customFormat="1" ht="11.65" customHeight="1">
      <c r="A9" s="423"/>
      <c r="B9" s="243"/>
      <c r="C9" s="243"/>
      <c r="D9" s="241"/>
      <c r="E9" s="241"/>
      <c r="F9" s="243"/>
      <c r="G9" s="243"/>
      <c r="H9" s="241"/>
      <c r="I9" s="241"/>
      <c r="J9" s="243" t="s">
        <v>3729</v>
      </c>
      <c r="K9" s="243"/>
      <c r="L9" s="243"/>
      <c r="M9" s="243"/>
      <c r="N9" s="243"/>
      <c r="O9" s="243"/>
      <c r="P9" s="241"/>
      <c r="Q9" s="424" t="s">
        <v>2899</v>
      </c>
      <c r="R9" s="747">
        <v>0.25</v>
      </c>
      <c r="S9" s="241"/>
      <c r="T9" s="241"/>
      <c r="U9" s="241"/>
      <c r="V9" s="425"/>
      <c r="W9" s="425"/>
      <c r="X9" s="244"/>
    </row>
    <row r="10" spans="1:26" s="418" customFormat="1" ht="11.65" customHeight="1">
      <c r="A10" s="243"/>
      <c r="B10" s="243"/>
      <c r="C10" s="243"/>
      <c r="D10" s="241"/>
      <c r="E10" s="241"/>
      <c r="F10" s="243"/>
      <c r="G10" s="243"/>
      <c r="H10" s="241"/>
      <c r="I10" s="241"/>
      <c r="J10" s="428" t="s">
        <v>760</v>
      </c>
      <c r="K10" s="428" t="s">
        <v>3702</v>
      </c>
      <c r="L10" s="428" t="s">
        <v>3703</v>
      </c>
      <c r="M10" s="428" t="s">
        <v>3704</v>
      </c>
      <c r="N10" s="428" t="s">
        <v>3705</v>
      </c>
      <c r="O10" s="243"/>
      <c r="P10" s="241"/>
      <c r="Q10" s="429"/>
      <c r="R10" s="429"/>
      <c r="S10" s="426"/>
      <c r="T10" s="426"/>
      <c r="U10" s="241"/>
      <c r="V10" s="427"/>
      <c r="W10" s="427"/>
      <c r="X10" s="427"/>
    </row>
    <row r="11" spans="1:26" s="418" customFormat="1" ht="11.65" customHeight="1">
      <c r="A11" s="243"/>
      <c r="B11" s="243"/>
      <c r="C11" s="243"/>
      <c r="D11" s="241"/>
      <c r="E11" s="241"/>
      <c r="F11" s="243" t="s">
        <v>1940</v>
      </c>
      <c r="G11" s="243"/>
      <c r="H11" s="241"/>
      <c r="I11" s="241"/>
      <c r="J11" s="430">
        <v>110481</v>
      </c>
      <c r="K11" s="430">
        <v>126647</v>
      </c>
      <c r="L11" s="430">
        <v>154003</v>
      </c>
      <c r="M11" s="430">
        <v>199229</v>
      </c>
      <c r="N11" s="430">
        <v>218693</v>
      </c>
      <c r="O11" s="243"/>
      <c r="Q11" s="424" t="s">
        <v>2899</v>
      </c>
      <c r="R11" s="424">
        <f>'Part VI-Revenues &amp; Expenses'!$H$63*$J11+'Part VI-Revenues &amp; Expenses'!$I$63*$K11+'Part VI-Revenues &amp; Expenses'!$J$63*$L11+'Part VI-Revenues &amp; Expenses'!$K$63*$M11+'Part VI-Revenues &amp; Expenses'!$L$63*$N11</f>
        <v>9637344</v>
      </c>
      <c r="S11" s="452" t="s">
        <v>1709</v>
      </c>
      <c r="T11" s="426"/>
      <c r="U11" s="241"/>
      <c r="V11" s="427"/>
      <c r="W11" s="427"/>
      <c r="X11" s="427"/>
    </row>
    <row r="12" spans="1:26" s="418" customFormat="1" ht="11.65" customHeight="1">
      <c r="A12" s="243"/>
      <c r="B12" s="243"/>
      <c r="C12" s="243"/>
      <c r="D12" s="241"/>
      <c r="E12" s="241"/>
      <c r="F12" s="243" t="s">
        <v>1942</v>
      </c>
      <c r="G12" s="243"/>
      <c r="H12" s="241"/>
      <c r="I12" s="241"/>
      <c r="J12" s="430">
        <v>132577</v>
      </c>
      <c r="K12" s="430">
        <v>151976</v>
      </c>
      <c r="L12" s="430">
        <v>184804</v>
      </c>
      <c r="M12" s="430">
        <v>239075</v>
      </c>
      <c r="N12" s="430">
        <v>262432</v>
      </c>
      <c r="O12" s="243"/>
      <c r="Q12" s="424" t="s">
        <v>2899</v>
      </c>
      <c r="R12" s="424">
        <f>'Part VI-Revenues &amp; Expenses'!$H$63*$J12+'Part VI-Revenues &amp; Expenses'!$I$63*$K12+'Part VI-Revenues &amp; Expenses'!$J$63*$L12+'Part VI-Revenues &amp; Expenses'!$K$63*$M12+'Part VI-Revenues &amp; Expenses'!$L$63*$N12</f>
        <v>11564832</v>
      </c>
      <c r="S12" s="452" t="s">
        <v>1709</v>
      </c>
      <c r="T12" s="241"/>
      <c r="U12" s="241"/>
      <c r="V12" s="427"/>
      <c r="W12" s="427"/>
      <c r="X12" s="427"/>
    </row>
    <row r="13" spans="1:26" s="418" customFormat="1" ht="11.65" customHeight="1">
      <c r="A13" s="243"/>
      <c r="B13" s="243"/>
      <c r="C13" s="243"/>
      <c r="D13" s="241"/>
      <c r="E13" s="241"/>
      <c r="F13" s="243" t="s">
        <v>1941</v>
      </c>
      <c r="G13" s="243"/>
      <c r="H13" s="241"/>
      <c r="I13" s="241"/>
      <c r="J13" s="430">
        <v>121529</v>
      </c>
      <c r="K13" s="430">
        <v>139312</v>
      </c>
      <c r="L13" s="430">
        <v>169403</v>
      </c>
      <c r="M13" s="430">
        <v>219152</v>
      </c>
      <c r="N13" s="430">
        <v>240562</v>
      </c>
      <c r="O13" s="243"/>
      <c r="Q13" s="424" t="s">
        <v>2899</v>
      </c>
      <c r="R13" s="424">
        <f>'Part VI-Revenues &amp; Expenses'!$H$63*$J13+'Part VI-Revenues &amp; Expenses'!$I$63*$K13+'Part VI-Revenues &amp; Expenses'!$J$63*$L13+'Part VI-Revenues &amp; Expenses'!$K$63*$M13+'Part VI-Revenues &amp; Expenses'!$L$63*$N13</f>
        <v>10601064</v>
      </c>
      <c r="S13" s="452" t="s">
        <v>1709</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2106</v>
      </c>
      <c r="B15" s="419"/>
      <c r="C15" s="419"/>
      <c r="D15" s="419"/>
      <c r="E15" s="241"/>
      <c r="F15" s="419"/>
      <c r="G15" s="419"/>
      <c r="H15" s="419"/>
      <c r="I15" s="241"/>
      <c r="J15" s="243"/>
      <c r="K15" s="419"/>
      <c r="L15" s="419"/>
      <c r="M15" s="419"/>
      <c r="N15" s="419"/>
      <c r="O15" s="419"/>
      <c r="P15" s="241"/>
      <c r="Q15" s="420"/>
      <c r="R15" s="421"/>
      <c r="S15" s="422"/>
    </row>
    <row r="16" spans="1:26" s="418" customFormat="1" ht="11.65" customHeight="1">
      <c r="A16" s="241"/>
      <c r="B16" s="243" t="s">
        <v>2106</v>
      </c>
      <c r="C16" s="243"/>
      <c r="D16" s="241"/>
      <c r="E16" s="241"/>
      <c r="F16" s="243" t="s">
        <v>2107</v>
      </c>
      <c r="G16" s="243" t="s">
        <v>2126</v>
      </c>
      <c r="H16" s="241"/>
      <c r="I16" s="241"/>
      <c r="J16" s="243" t="s">
        <v>2336</v>
      </c>
      <c r="K16" s="243"/>
      <c r="L16" s="243"/>
      <c r="M16" s="243"/>
      <c r="N16" s="243"/>
      <c r="O16" s="243"/>
      <c r="P16" s="241"/>
      <c r="Q16" s="245">
        <v>4500</v>
      </c>
      <c r="R16" s="433" t="s">
        <v>2899</v>
      </c>
      <c r="S16" s="434"/>
    </row>
    <row r="17" spans="1:21" s="418" customFormat="1" ht="11.65" customHeight="1">
      <c r="A17" s="241"/>
      <c r="B17" s="243"/>
      <c r="C17" s="243"/>
      <c r="D17" s="241"/>
      <c r="E17" s="241"/>
      <c r="F17" s="243"/>
      <c r="G17" s="243" t="s">
        <v>2521</v>
      </c>
      <c r="H17" s="241"/>
      <c r="I17" s="241"/>
      <c r="J17" s="243" t="s">
        <v>2336</v>
      </c>
      <c r="K17" s="243"/>
      <c r="L17" s="243"/>
      <c r="M17" s="243"/>
      <c r="N17" s="243"/>
      <c r="O17" s="243"/>
      <c r="P17" s="241"/>
      <c r="Q17" s="245">
        <v>4000</v>
      </c>
      <c r="R17" s="433" t="s">
        <v>2899</v>
      </c>
      <c r="S17" s="434"/>
    </row>
    <row r="18" spans="1:21" s="418" customFormat="1" ht="11.65" customHeight="1">
      <c r="A18" s="243"/>
      <c r="B18" s="243"/>
      <c r="C18" s="243"/>
      <c r="D18" s="241"/>
      <c r="E18" s="241"/>
      <c r="F18" s="243" t="s">
        <v>3155</v>
      </c>
      <c r="G18" s="243"/>
      <c r="H18" s="241"/>
      <c r="I18" s="241"/>
      <c r="J18" s="243" t="s">
        <v>2336</v>
      </c>
      <c r="K18" s="243"/>
      <c r="L18" s="243"/>
      <c r="M18" s="243"/>
      <c r="N18" s="243"/>
      <c r="O18" s="243"/>
      <c r="P18" s="241"/>
      <c r="Q18" s="245">
        <v>3000</v>
      </c>
      <c r="R18" s="433" t="s">
        <v>2899</v>
      </c>
      <c r="S18" s="434"/>
    </row>
    <row r="19" spans="1:21" s="418" customFormat="1" ht="11.65" customHeight="1">
      <c r="A19" s="243"/>
      <c r="B19" s="243"/>
      <c r="C19" s="243"/>
      <c r="D19" s="241"/>
      <c r="E19" s="241"/>
      <c r="F19" s="243" t="s">
        <v>2108</v>
      </c>
      <c r="G19" s="243"/>
      <c r="H19" s="241"/>
      <c r="I19" s="241"/>
      <c r="J19" s="243" t="s">
        <v>2336</v>
      </c>
      <c r="K19" s="243"/>
      <c r="L19" s="243"/>
      <c r="M19" s="243"/>
      <c r="N19" s="243"/>
      <c r="O19" s="243"/>
      <c r="P19" s="241"/>
      <c r="Q19" s="245">
        <v>3000</v>
      </c>
      <c r="R19" s="433" t="s">
        <v>2899</v>
      </c>
      <c r="S19" s="434"/>
      <c r="T19" s="434"/>
      <c r="U19" s="434"/>
    </row>
    <row r="20" spans="1:21" s="418" customFormat="1" ht="11.65" customHeight="1">
      <c r="A20" s="243"/>
      <c r="B20" s="243" t="s">
        <v>2109</v>
      </c>
      <c r="C20" s="243"/>
      <c r="D20" s="241"/>
      <c r="E20" s="241"/>
      <c r="F20" s="243" t="s">
        <v>403</v>
      </c>
      <c r="G20" s="243"/>
      <c r="H20" s="241"/>
      <c r="I20" s="241"/>
      <c r="J20" s="243" t="s">
        <v>2336</v>
      </c>
      <c r="K20" s="243"/>
      <c r="L20" s="243"/>
      <c r="M20" s="243"/>
      <c r="N20" s="243"/>
      <c r="O20" s="243"/>
      <c r="P20" s="241"/>
      <c r="Q20" s="435">
        <v>350</v>
      </c>
      <c r="R20" s="433" t="s">
        <v>2899</v>
      </c>
      <c r="S20" s="434"/>
      <c r="T20" s="434"/>
      <c r="U20" s="434"/>
    </row>
    <row r="21" spans="1:21" s="418" customFormat="1" ht="11.65" customHeight="1">
      <c r="A21" s="243"/>
      <c r="B21" s="243"/>
      <c r="C21" s="243"/>
      <c r="D21" s="241"/>
      <c r="E21" s="241"/>
      <c r="F21" s="243" t="s">
        <v>2110</v>
      </c>
      <c r="G21" s="243"/>
      <c r="H21" s="241"/>
      <c r="I21" s="241"/>
      <c r="J21" s="243" t="s">
        <v>2336</v>
      </c>
      <c r="K21" s="243"/>
      <c r="L21" s="243"/>
      <c r="M21" s="243"/>
      <c r="N21" s="243"/>
      <c r="O21" s="243"/>
      <c r="P21" s="241"/>
      <c r="Q21" s="435">
        <v>250</v>
      </c>
      <c r="R21" s="433" t="s">
        <v>2899</v>
      </c>
      <c r="S21" s="434"/>
      <c r="T21" s="434"/>
      <c r="U21" s="434"/>
    </row>
    <row r="22" spans="1:21" s="418" customFormat="1" ht="11.65" customHeight="1">
      <c r="A22" s="243"/>
      <c r="B22" s="243"/>
      <c r="C22" s="243"/>
      <c r="D22" s="243"/>
      <c r="E22" s="241"/>
      <c r="F22" s="243" t="s">
        <v>2111</v>
      </c>
      <c r="G22" s="243"/>
      <c r="H22" s="241"/>
      <c r="I22" s="241"/>
      <c r="J22" s="243" t="s">
        <v>2336</v>
      </c>
      <c r="K22" s="243"/>
      <c r="L22" s="243"/>
      <c r="M22" s="243"/>
      <c r="N22" s="243"/>
      <c r="O22" s="243"/>
      <c r="P22" s="241"/>
      <c r="Q22" s="435">
        <v>420</v>
      </c>
      <c r="R22" s="433" t="s">
        <v>2899</v>
      </c>
      <c r="S22" s="434"/>
      <c r="T22" s="434"/>
      <c r="U22" s="434"/>
    </row>
    <row r="23" spans="1:21" s="418" customFormat="1" ht="11.65" customHeight="1">
      <c r="A23" s="243"/>
      <c r="B23" s="243"/>
      <c r="C23" s="243"/>
      <c r="D23" s="243"/>
      <c r="E23" s="241"/>
      <c r="F23" s="243" t="s">
        <v>2014</v>
      </c>
      <c r="G23" s="243"/>
      <c r="H23" s="241"/>
      <c r="I23" s="241"/>
      <c r="J23" s="243" t="s">
        <v>2336</v>
      </c>
      <c r="K23" s="243"/>
      <c r="L23" s="243"/>
      <c r="M23" s="243"/>
      <c r="N23" s="243"/>
      <c r="O23" s="243"/>
      <c r="P23" s="241"/>
      <c r="Q23" s="435">
        <v>420</v>
      </c>
      <c r="R23" s="433" t="s">
        <v>2899</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2112</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65" customHeight="1">
      <c r="A26" s="243"/>
      <c r="B26" s="243" t="s">
        <v>2117</v>
      </c>
      <c r="C26" s="243"/>
      <c r="D26" s="243"/>
      <c r="E26" s="241"/>
      <c r="F26" s="246" t="s">
        <v>2118</v>
      </c>
      <c r="G26" s="243"/>
      <c r="H26" s="241"/>
      <c r="I26" s="241"/>
      <c r="J26" s="243" t="s">
        <v>2119</v>
      </c>
      <c r="K26" s="243"/>
      <c r="L26" s="243"/>
      <c r="M26" s="243"/>
      <c r="N26" s="243"/>
      <c r="O26" s="243"/>
      <c r="P26" s="241"/>
      <c r="Q26" s="1079">
        <v>4000</v>
      </c>
      <c r="R26" s="1080"/>
      <c r="S26" s="434"/>
      <c r="T26" s="434"/>
      <c r="U26" s="434"/>
    </row>
    <row r="27" spans="1:21" s="418" customFormat="1" ht="11.65" customHeight="1">
      <c r="A27" s="243"/>
      <c r="B27" s="243"/>
      <c r="C27" s="243"/>
      <c r="D27" s="243"/>
      <c r="E27" s="241"/>
      <c r="F27" s="246" t="s">
        <v>2118</v>
      </c>
      <c r="G27" s="243"/>
      <c r="H27" s="241"/>
      <c r="I27" s="241"/>
      <c r="J27" s="243" t="s">
        <v>2120</v>
      </c>
      <c r="K27" s="243"/>
      <c r="L27" s="243"/>
      <c r="M27" s="243"/>
      <c r="N27" s="243"/>
      <c r="O27" s="243"/>
      <c r="P27" s="241"/>
      <c r="Q27" s="1079">
        <v>3000</v>
      </c>
      <c r="R27" s="1080"/>
      <c r="S27" s="434"/>
      <c r="T27" s="434"/>
      <c r="U27" s="434"/>
    </row>
    <row r="28" spans="1:21" s="418" customFormat="1" ht="11.65" customHeight="1">
      <c r="A28" s="241"/>
      <c r="B28" s="241"/>
      <c r="C28" s="243"/>
      <c r="D28" s="243"/>
      <c r="E28" s="241"/>
      <c r="F28" s="246" t="s">
        <v>2121</v>
      </c>
      <c r="G28" s="243"/>
      <c r="H28" s="241"/>
      <c r="I28" s="241"/>
      <c r="J28" s="243" t="s">
        <v>2119</v>
      </c>
      <c r="K28" s="243"/>
      <c r="L28" s="243"/>
      <c r="M28" s="243"/>
      <c r="N28" s="243"/>
      <c r="O28" s="243"/>
      <c r="P28" s="241"/>
      <c r="Q28" s="1079">
        <v>1000</v>
      </c>
      <c r="R28" s="1080"/>
      <c r="S28" s="434"/>
      <c r="T28" s="434"/>
      <c r="U28" s="434"/>
    </row>
    <row r="29" spans="1:21" s="418" customFormat="1" ht="11.65" customHeight="1">
      <c r="A29" s="243"/>
      <c r="B29" s="243"/>
      <c r="C29" s="243"/>
      <c r="D29" s="243"/>
      <c r="E29" s="241"/>
      <c r="F29" s="246" t="s">
        <v>2121</v>
      </c>
      <c r="G29" s="243"/>
      <c r="H29" s="241"/>
      <c r="I29" s="241"/>
      <c r="J29" s="243" t="s">
        <v>2120</v>
      </c>
      <c r="K29" s="243"/>
      <c r="L29" s="243"/>
      <c r="M29" s="243"/>
      <c r="N29" s="243"/>
      <c r="O29" s="243"/>
      <c r="P29" s="241"/>
      <c r="Q29" s="1079">
        <v>500</v>
      </c>
      <c r="R29" s="1080"/>
      <c r="S29" s="434"/>
      <c r="T29" s="434"/>
      <c r="U29" s="434"/>
    </row>
    <row r="30" spans="1:21" s="418" customFormat="1" ht="11.65" customHeight="1">
      <c r="A30" s="243"/>
      <c r="B30" s="243"/>
      <c r="C30" s="243"/>
      <c r="D30" s="243"/>
      <c r="E30" s="241"/>
      <c r="F30" s="246" t="s">
        <v>1645</v>
      </c>
      <c r="G30" s="243"/>
      <c r="H30" s="241"/>
      <c r="I30" s="241"/>
      <c r="J30" s="243" t="s">
        <v>2119</v>
      </c>
      <c r="K30" s="243"/>
      <c r="L30" s="243"/>
      <c r="M30" s="243"/>
      <c r="N30" s="243"/>
      <c r="O30" s="243"/>
      <c r="P30" s="241"/>
      <c r="Q30" s="1079">
        <v>5000</v>
      </c>
      <c r="R30" s="1080"/>
      <c r="S30" s="434"/>
      <c r="T30" s="434"/>
      <c r="U30" s="434"/>
    </row>
    <row r="31" spans="1:21" s="418" customFormat="1" ht="11.65" customHeight="1">
      <c r="A31" s="243"/>
      <c r="B31" s="243"/>
      <c r="C31" s="243"/>
      <c r="D31" s="243"/>
      <c r="E31" s="241"/>
      <c r="F31" s="246" t="s">
        <v>1645</v>
      </c>
      <c r="G31" s="243"/>
      <c r="H31" s="241"/>
      <c r="I31" s="241"/>
      <c r="J31" s="243" t="s">
        <v>2120</v>
      </c>
      <c r="K31" s="243"/>
      <c r="L31" s="243"/>
      <c r="M31" s="243"/>
      <c r="N31" s="243"/>
      <c r="O31" s="243"/>
      <c r="P31" s="241"/>
      <c r="Q31" s="1079">
        <v>3500</v>
      </c>
      <c r="R31" s="1080"/>
      <c r="S31" s="434"/>
      <c r="T31" s="434"/>
      <c r="U31" s="434"/>
    </row>
    <row r="32" spans="1:21" s="418" customFormat="1" ht="11.65" customHeight="1">
      <c r="A32" s="243"/>
      <c r="B32" s="243" t="s">
        <v>1646</v>
      </c>
      <c r="C32" s="243"/>
      <c r="D32" s="241"/>
      <c r="E32" s="241"/>
      <c r="F32" s="243" t="s">
        <v>403</v>
      </c>
      <c r="G32" s="243"/>
      <c r="H32" s="241"/>
      <c r="I32" s="241"/>
      <c r="J32" s="243" t="s">
        <v>702</v>
      </c>
      <c r="K32" s="243"/>
      <c r="L32" s="243"/>
      <c r="M32" s="243"/>
      <c r="N32" s="243"/>
      <c r="O32" s="243"/>
      <c r="P32" s="241"/>
      <c r="Q32" s="424">
        <v>25000</v>
      </c>
      <c r="R32" s="433" t="s">
        <v>703</v>
      </c>
      <c r="S32" s="434"/>
      <c r="T32" s="434"/>
      <c r="U32" s="434"/>
    </row>
    <row r="33" spans="1:21" s="418" customFormat="1" ht="11.65" customHeight="1">
      <c r="A33" s="243"/>
      <c r="B33" s="243"/>
      <c r="C33" s="243"/>
      <c r="D33" s="241"/>
      <c r="E33" s="241"/>
      <c r="F33" s="243"/>
      <c r="G33" s="243"/>
      <c r="H33" s="241"/>
      <c r="I33" s="241"/>
      <c r="J33" s="243" t="s">
        <v>819</v>
      </c>
      <c r="K33" s="243"/>
      <c r="L33" s="243"/>
      <c r="M33" s="243"/>
      <c r="N33" s="243"/>
      <c r="O33" s="243"/>
      <c r="P33" s="241"/>
      <c r="Q33" s="424">
        <v>30000</v>
      </c>
      <c r="R33" s="433" t="s">
        <v>703</v>
      </c>
      <c r="S33" s="434"/>
      <c r="T33" s="434"/>
      <c r="U33" s="434"/>
    </row>
    <row r="34" spans="1:21" s="418" customFormat="1" ht="11.65" customHeight="1">
      <c r="A34" s="243"/>
      <c r="B34" s="243" t="s">
        <v>3234</v>
      </c>
      <c r="C34" s="243"/>
      <c r="D34" s="241"/>
      <c r="E34" s="241"/>
      <c r="F34" s="243" t="s">
        <v>2110</v>
      </c>
      <c r="G34" s="243"/>
      <c r="H34" s="241"/>
      <c r="I34" s="241"/>
      <c r="J34" s="243" t="s">
        <v>1719</v>
      </c>
      <c r="K34" s="243"/>
      <c r="L34" s="243"/>
      <c r="M34" s="243"/>
      <c r="N34" s="243"/>
      <c r="O34" s="243"/>
      <c r="P34" s="241"/>
      <c r="Q34" s="747" t="s">
        <v>1720</v>
      </c>
      <c r="R34" s="747">
        <v>0.05</v>
      </c>
      <c r="S34" s="434"/>
      <c r="T34" s="434"/>
      <c r="U34" s="434"/>
    </row>
    <row r="35" spans="1:21" s="418" customFormat="1" ht="11.65" customHeight="1">
      <c r="A35" s="243"/>
      <c r="B35" s="243"/>
      <c r="C35" s="243"/>
      <c r="D35" s="241"/>
      <c r="E35" s="241"/>
      <c r="F35" s="243"/>
      <c r="G35" s="243"/>
      <c r="H35" s="241"/>
      <c r="I35" s="241"/>
      <c r="J35" s="243" t="s">
        <v>3070</v>
      </c>
      <c r="K35" s="243"/>
      <c r="L35" s="243"/>
      <c r="M35" s="243"/>
      <c r="N35" s="243"/>
      <c r="O35" s="243"/>
      <c r="P35" s="241"/>
      <c r="Q35" s="747" t="s">
        <v>1720</v>
      </c>
      <c r="R35" s="424">
        <v>500000</v>
      </c>
      <c r="S35" s="434"/>
      <c r="T35" s="434"/>
      <c r="U35" s="434"/>
    </row>
    <row r="36" spans="1:21" s="418" customFormat="1" ht="11.65" customHeight="1">
      <c r="A36" s="243"/>
      <c r="B36" s="243"/>
      <c r="C36" s="243"/>
      <c r="D36" s="241"/>
      <c r="E36" s="241"/>
      <c r="F36" s="243" t="s">
        <v>403</v>
      </c>
      <c r="G36" s="243"/>
      <c r="H36" s="241"/>
      <c r="I36" s="241"/>
      <c r="J36" s="243" t="s">
        <v>1719</v>
      </c>
      <c r="K36" s="243"/>
      <c r="L36" s="243"/>
      <c r="M36" s="243"/>
      <c r="N36" s="243"/>
      <c r="O36" s="243"/>
      <c r="P36" s="241"/>
      <c r="Q36" s="747" t="s">
        <v>1720</v>
      </c>
      <c r="R36" s="747">
        <v>7.0000000000000007E-2</v>
      </c>
      <c r="S36" s="434"/>
      <c r="T36" s="434"/>
      <c r="U36" s="434"/>
    </row>
    <row r="37" spans="1:21" s="418" customFormat="1" ht="11.65" customHeight="1">
      <c r="A37" s="243"/>
      <c r="B37" s="243"/>
      <c r="C37" s="243"/>
      <c r="D37" s="241"/>
      <c r="E37" s="241"/>
      <c r="F37" s="243"/>
      <c r="G37" s="243"/>
      <c r="H37" s="241"/>
      <c r="I37" s="241"/>
      <c r="J37" s="243" t="s">
        <v>3070</v>
      </c>
      <c r="K37" s="243"/>
      <c r="L37" s="243"/>
      <c r="M37" s="243"/>
      <c r="N37" s="243"/>
      <c r="O37" s="243"/>
      <c r="P37" s="241"/>
      <c r="Q37" s="747" t="s">
        <v>1720</v>
      </c>
      <c r="R37" s="424">
        <v>500000</v>
      </c>
      <c r="S37" s="434"/>
      <c r="T37" s="434"/>
      <c r="U37" s="434"/>
    </row>
    <row r="38" spans="1:21" s="418" customFormat="1" ht="11.65" customHeight="1">
      <c r="A38" s="243"/>
      <c r="B38" s="243" t="s">
        <v>3051</v>
      </c>
      <c r="C38" s="243"/>
      <c r="D38" s="241"/>
      <c r="E38" s="241"/>
      <c r="F38" s="243" t="s">
        <v>2899</v>
      </c>
      <c r="G38" s="243"/>
      <c r="H38" s="241"/>
      <c r="I38" s="241"/>
      <c r="J38" s="243" t="s">
        <v>596</v>
      </c>
      <c r="K38" s="243"/>
      <c r="L38" s="243"/>
      <c r="M38" s="243"/>
      <c r="N38" s="243"/>
      <c r="O38" s="243"/>
      <c r="P38" s="241"/>
      <c r="Q38" s="433" t="s">
        <v>2899</v>
      </c>
      <c r="R38" s="747">
        <v>0.06</v>
      </c>
      <c r="S38" s="434"/>
      <c r="T38" s="434"/>
      <c r="U38" s="434"/>
    </row>
    <row r="39" spans="1:21" s="418" customFormat="1" ht="11.65" customHeight="1">
      <c r="A39" s="243"/>
      <c r="B39" s="243" t="s">
        <v>3183</v>
      </c>
      <c r="C39" s="243"/>
      <c r="D39" s="241"/>
      <c r="E39" s="241"/>
      <c r="F39" s="243" t="s">
        <v>2899</v>
      </c>
      <c r="G39" s="243"/>
      <c r="H39" s="241"/>
      <c r="I39" s="241"/>
      <c r="J39" s="243" t="s">
        <v>596</v>
      </c>
      <c r="K39" s="243"/>
      <c r="L39" s="243"/>
      <c r="M39" s="243"/>
      <c r="N39" s="243"/>
      <c r="O39" s="243"/>
      <c r="P39" s="241"/>
      <c r="Q39" s="433" t="s">
        <v>2899</v>
      </c>
      <c r="R39" s="747">
        <v>0.02</v>
      </c>
      <c r="S39" s="434"/>
      <c r="T39" s="434"/>
      <c r="U39" s="434"/>
    </row>
    <row r="40" spans="1:21" s="418" customFormat="1" ht="11.65" customHeight="1">
      <c r="A40" s="243"/>
      <c r="B40" s="243" t="s">
        <v>1718</v>
      </c>
      <c r="C40" s="243"/>
      <c r="D40" s="241"/>
      <c r="E40" s="241"/>
      <c r="F40" s="243" t="s">
        <v>2899</v>
      </c>
      <c r="G40" s="243"/>
      <c r="H40" s="241"/>
      <c r="I40" s="241"/>
      <c r="J40" s="243" t="s">
        <v>596</v>
      </c>
      <c r="K40" s="243"/>
      <c r="L40" s="243"/>
      <c r="M40" s="243"/>
      <c r="N40" s="243"/>
      <c r="O40" s="243"/>
      <c r="P40" s="241"/>
      <c r="Q40" s="433" t="s">
        <v>2899</v>
      </c>
      <c r="R40" s="747">
        <v>0.06</v>
      </c>
      <c r="S40" s="434"/>
      <c r="T40" s="434"/>
      <c r="U40" s="434"/>
    </row>
    <row r="41" spans="1:21" s="418" customFormat="1" ht="11.65" customHeight="1">
      <c r="A41" s="243"/>
      <c r="B41" s="246" t="s">
        <v>1772</v>
      </c>
      <c r="C41" s="243"/>
      <c r="D41" s="241"/>
      <c r="E41" s="241"/>
      <c r="F41" s="243" t="s">
        <v>1773</v>
      </c>
      <c r="G41" s="243"/>
      <c r="H41" s="241"/>
      <c r="I41" s="241"/>
      <c r="J41" s="243" t="s">
        <v>1774</v>
      </c>
      <c r="K41" s="243"/>
      <c r="L41" s="243"/>
      <c r="M41" s="243"/>
      <c r="N41" s="243"/>
      <c r="O41" s="243"/>
      <c r="P41" s="241"/>
      <c r="Q41" s="1078">
        <v>7.0000000000000007E-2</v>
      </c>
      <c r="R41" s="1078"/>
      <c r="S41" s="434"/>
      <c r="T41" s="434"/>
      <c r="U41" s="434"/>
    </row>
    <row r="42" spans="1:21" s="418" customFormat="1" ht="11.65" customHeight="1">
      <c r="A42" s="243"/>
      <c r="B42" s="246" t="s">
        <v>1775</v>
      </c>
      <c r="C42" s="243"/>
      <c r="D42" s="241"/>
      <c r="E42" s="241"/>
      <c r="F42" s="243" t="s">
        <v>1773</v>
      </c>
      <c r="G42" s="243"/>
      <c r="H42" s="241"/>
      <c r="I42" s="241"/>
      <c r="J42" s="243" t="s">
        <v>1774</v>
      </c>
      <c r="K42" s="243"/>
      <c r="L42" s="243"/>
      <c r="M42" s="243"/>
      <c r="N42" s="243"/>
      <c r="O42" s="243"/>
      <c r="P42" s="241"/>
      <c r="Q42" s="1078">
        <v>7.0000000000000007E-2</v>
      </c>
      <c r="R42" s="1078"/>
      <c r="S42" s="434"/>
      <c r="T42" s="434"/>
      <c r="U42" s="434"/>
    </row>
    <row r="43" spans="1:21" s="418" customFormat="1" ht="11.65" customHeight="1">
      <c r="A43" s="243"/>
      <c r="B43" s="246" t="s">
        <v>851</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65" customHeight="1">
      <c r="A44" s="243"/>
      <c r="B44" s="243" t="s">
        <v>1776</v>
      </c>
      <c r="C44" s="243"/>
      <c r="D44" s="241"/>
      <c r="E44" s="241"/>
      <c r="F44" s="243" t="s">
        <v>2534</v>
      </c>
      <c r="G44" s="243"/>
      <c r="H44" s="241"/>
      <c r="I44" s="241"/>
      <c r="J44" s="243" t="s">
        <v>2336</v>
      </c>
      <c r="K44" s="243"/>
      <c r="L44" s="243"/>
      <c r="M44" s="243"/>
      <c r="N44" s="243"/>
      <c r="O44" s="243"/>
      <c r="P44" s="241"/>
      <c r="Q44" s="433">
        <v>700</v>
      </c>
      <c r="R44" s="433" t="s">
        <v>2899</v>
      </c>
      <c r="S44" s="434"/>
      <c r="T44" s="434"/>
      <c r="U44" s="434"/>
    </row>
    <row r="45" spans="1:21" s="418" customFormat="1" ht="11.65" customHeight="1">
      <c r="A45" s="243"/>
      <c r="B45" s="243"/>
      <c r="C45" s="243"/>
      <c r="D45" s="241"/>
      <c r="E45" s="241"/>
      <c r="F45" s="243" t="s">
        <v>2743</v>
      </c>
      <c r="G45" s="243"/>
      <c r="H45" s="241"/>
      <c r="I45" s="241"/>
      <c r="J45" s="243" t="s">
        <v>2336</v>
      </c>
      <c r="K45" s="243"/>
      <c r="L45" s="243"/>
      <c r="M45" s="243"/>
      <c r="N45" s="243"/>
      <c r="O45" s="243"/>
      <c r="P45" s="241"/>
      <c r="Q45" s="433">
        <v>150</v>
      </c>
      <c r="R45" s="433" t="s">
        <v>2899</v>
      </c>
      <c r="S45" s="434"/>
      <c r="T45" s="434"/>
      <c r="U45" s="434"/>
    </row>
    <row r="46" spans="1:21" s="418" customFormat="1" ht="11.65" customHeight="1">
      <c r="A46" s="243"/>
      <c r="B46" s="243" t="s">
        <v>3084</v>
      </c>
      <c r="C46" s="243"/>
      <c r="D46" s="241"/>
      <c r="E46" s="241"/>
      <c r="F46" s="243"/>
      <c r="G46" s="243"/>
      <c r="H46" s="243"/>
      <c r="I46" s="241"/>
      <c r="J46" s="243" t="s">
        <v>2896</v>
      </c>
      <c r="K46" s="243"/>
      <c r="L46" s="243"/>
      <c r="M46" s="243"/>
      <c r="N46" s="243"/>
      <c r="O46" s="243"/>
      <c r="P46" s="241"/>
      <c r="Q46" s="1079">
        <v>1800000</v>
      </c>
      <c r="R46" s="1080"/>
      <c r="S46" s="434"/>
      <c r="T46" s="434"/>
      <c r="U46" s="434"/>
    </row>
    <row r="47" spans="1:21" s="418" customFormat="1" ht="11.65" customHeight="1">
      <c r="A47" s="243"/>
      <c r="B47" s="243"/>
      <c r="C47" s="243"/>
      <c r="D47" s="241"/>
      <c r="E47" s="241"/>
      <c r="F47" s="243" t="s">
        <v>2744</v>
      </c>
      <c r="G47" s="243"/>
      <c r="H47" s="243" t="s">
        <v>3709</v>
      </c>
      <c r="I47" s="241"/>
      <c r="J47" s="243" t="s">
        <v>2025</v>
      </c>
      <c r="K47" s="243"/>
      <c r="L47" s="243"/>
      <c r="M47" s="243"/>
      <c r="N47" s="243"/>
      <c r="O47" s="243"/>
      <c r="P47" s="241"/>
      <c r="Q47" s="1078">
        <v>0.15</v>
      </c>
      <c r="R47" s="1078"/>
      <c r="S47" s="434"/>
      <c r="T47" s="434"/>
      <c r="U47" s="434"/>
    </row>
    <row r="48" spans="1:21" s="418" customFormat="1" ht="11.65" customHeight="1">
      <c r="A48" s="243"/>
      <c r="B48" s="583"/>
      <c r="C48" s="243"/>
      <c r="D48" s="241"/>
      <c r="E48" s="241"/>
      <c r="F48" s="243"/>
      <c r="G48" s="243"/>
      <c r="H48" s="243" t="s">
        <v>1721</v>
      </c>
      <c r="I48" s="243" t="s">
        <v>1722</v>
      </c>
      <c r="J48" s="243" t="s">
        <v>1914</v>
      </c>
      <c r="K48" s="243"/>
      <c r="L48" s="243"/>
      <c r="M48" s="243"/>
      <c r="N48" s="243"/>
      <c r="O48" s="243"/>
      <c r="P48" s="241"/>
      <c r="Q48" s="1078">
        <v>0.15</v>
      </c>
      <c r="R48" s="1078"/>
      <c r="S48" s="434"/>
      <c r="T48" s="434"/>
      <c r="U48" s="434"/>
    </row>
    <row r="49" spans="1:21" s="418" customFormat="1" ht="11.65" customHeight="1">
      <c r="A49" s="243"/>
      <c r="B49" s="583"/>
      <c r="C49" s="243"/>
      <c r="D49" s="241"/>
      <c r="E49" s="241"/>
      <c r="F49" s="243"/>
      <c r="G49" s="243"/>
      <c r="H49" s="243"/>
      <c r="I49" s="243" t="s">
        <v>1723</v>
      </c>
      <c r="J49" s="243" t="s">
        <v>1918</v>
      </c>
      <c r="K49" s="243"/>
      <c r="L49" s="243"/>
      <c r="M49" s="243"/>
      <c r="N49" s="243"/>
      <c r="O49" s="243"/>
      <c r="P49" s="241"/>
      <c r="Q49" s="1078">
        <v>0.15</v>
      </c>
      <c r="R49" s="1078"/>
      <c r="S49" s="434"/>
      <c r="T49" s="434"/>
      <c r="U49" s="434"/>
    </row>
    <row r="50" spans="1:21" s="418" customFormat="1" ht="11.65" customHeight="1">
      <c r="A50" s="243"/>
      <c r="B50" s="583"/>
      <c r="C50" s="243"/>
      <c r="D50" s="241"/>
      <c r="E50" s="241"/>
      <c r="F50" s="243"/>
      <c r="G50" s="243"/>
      <c r="H50" s="243" t="s">
        <v>1727</v>
      </c>
      <c r="I50" s="241"/>
      <c r="J50" s="243" t="s">
        <v>1918</v>
      </c>
      <c r="K50" s="243"/>
      <c r="L50" s="243"/>
      <c r="M50" s="243"/>
      <c r="N50" s="243"/>
      <c r="O50" s="243"/>
      <c r="P50" s="241"/>
      <c r="Q50" s="1078">
        <v>0.15</v>
      </c>
      <c r="R50" s="1078"/>
      <c r="S50" s="434"/>
      <c r="T50" s="434"/>
      <c r="U50" s="434"/>
    </row>
    <row r="51" spans="1:21" s="418" customFormat="1" ht="11.65" customHeight="1">
      <c r="A51" s="243"/>
      <c r="B51" s="583"/>
      <c r="C51" s="243"/>
      <c r="D51" s="241"/>
      <c r="E51" s="241"/>
      <c r="F51" s="243"/>
      <c r="G51" s="243"/>
      <c r="H51" s="243"/>
      <c r="I51" s="243" t="s">
        <v>1919</v>
      </c>
      <c r="J51" s="243" t="s">
        <v>1728</v>
      </c>
      <c r="K51" s="243"/>
      <c r="L51" s="243"/>
      <c r="M51" s="243"/>
      <c r="N51" s="243"/>
      <c r="O51" s="243"/>
      <c r="P51" s="241"/>
      <c r="Q51" s="1078">
        <v>0.15</v>
      </c>
      <c r="R51" s="1078"/>
      <c r="S51" s="434"/>
      <c r="T51" s="434"/>
      <c r="U51" s="434"/>
    </row>
    <row r="52" spans="1:21" s="418" customFormat="1" ht="11.65" customHeight="1">
      <c r="A52" s="243"/>
      <c r="B52" s="583"/>
      <c r="C52" s="243"/>
      <c r="D52" s="241"/>
      <c r="E52" s="241"/>
      <c r="F52" s="243" t="s">
        <v>2934</v>
      </c>
      <c r="G52" s="243"/>
      <c r="H52" s="243"/>
      <c r="I52" s="241"/>
      <c r="J52" s="243" t="s">
        <v>3684</v>
      </c>
      <c r="K52" s="243"/>
      <c r="L52" s="243"/>
      <c r="M52" s="243"/>
      <c r="N52" s="243"/>
      <c r="O52" s="243"/>
      <c r="P52" s="241"/>
      <c r="Q52" s="1078">
        <v>0.15</v>
      </c>
      <c r="R52" s="1078"/>
      <c r="S52" s="434"/>
      <c r="T52" s="434"/>
      <c r="U52" s="434"/>
    </row>
    <row r="53" spans="1:21" s="418" customFormat="1" ht="11.65" customHeight="1">
      <c r="A53" s="243"/>
      <c r="B53" s="583"/>
      <c r="C53" s="243"/>
      <c r="D53" s="241"/>
      <c r="E53" s="241"/>
      <c r="G53" s="243"/>
      <c r="H53" s="243"/>
      <c r="I53" s="241"/>
      <c r="J53" s="243" t="s">
        <v>3685</v>
      </c>
      <c r="K53" s="243"/>
      <c r="L53" s="243"/>
      <c r="M53" s="243"/>
      <c r="N53" s="243"/>
      <c r="O53" s="243"/>
      <c r="P53" s="241"/>
      <c r="Q53" s="1078" t="s">
        <v>3686</v>
      </c>
      <c r="R53" s="1078"/>
      <c r="S53" s="434"/>
      <c r="T53" s="434"/>
      <c r="U53" s="434"/>
    </row>
    <row r="54" spans="1:21" s="418" customFormat="1" ht="11.65" customHeight="1">
      <c r="A54" s="243"/>
      <c r="B54" s="583"/>
      <c r="C54" s="243"/>
      <c r="D54" s="241"/>
      <c r="E54" s="241"/>
      <c r="F54" s="243" t="s">
        <v>3223</v>
      </c>
      <c r="G54" s="243"/>
      <c r="H54" s="243"/>
      <c r="I54" s="241"/>
      <c r="J54" s="243"/>
      <c r="K54" s="243"/>
      <c r="L54" s="243"/>
      <c r="M54" s="243"/>
      <c r="N54" s="243"/>
      <c r="O54" s="243"/>
      <c r="P54" s="241"/>
      <c r="Q54" s="586">
        <v>0</v>
      </c>
      <c r="R54" s="586">
        <v>15</v>
      </c>
      <c r="S54" s="434"/>
      <c r="T54" s="434"/>
      <c r="U54" s="434"/>
    </row>
    <row r="55" spans="1:21" s="418" customFormat="1" ht="11.65" customHeight="1">
      <c r="A55" s="243"/>
      <c r="B55" s="583"/>
      <c r="C55" s="243"/>
      <c r="D55" s="241"/>
      <c r="E55" s="241"/>
      <c r="F55" s="243" t="s">
        <v>3222</v>
      </c>
      <c r="G55" s="243"/>
      <c r="I55" s="241"/>
      <c r="J55" s="243"/>
      <c r="K55" s="243"/>
      <c r="L55" s="243"/>
      <c r="M55" s="243"/>
      <c r="N55" s="243"/>
      <c r="O55" s="243"/>
      <c r="P55" s="241"/>
      <c r="Q55" s="747">
        <v>0</v>
      </c>
      <c r="R55" s="747">
        <v>0.5</v>
      </c>
      <c r="S55" s="434"/>
      <c r="T55" s="434"/>
      <c r="U55" s="434"/>
    </row>
    <row r="56" spans="1:21" s="418" customFormat="1" ht="11.65" customHeight="1">
      <c r="A56" s="243"/>
      <c r="B56" s="243" t="s">
        <v>2935</v>
      </c>
      <c r="C56" s="243"/>
      <c r="D56" s="243"/>
      <c r="E56" s="243"/>
      <c r="F56" s="243"/>
      <c r="G56" s="243"/>
      <c r="H56" s="241"/>
      <c r="I56" s="241"/>
      <c r="J56" s="243" t="s">
        <v>2927</v>
      </c>
      <c r="K56" s="243"/>
      <c r="L56" s="243"/>
      <c r="M56" s="243"/>
      <c r="N56" s="243"/>
      <c r="O56" s="243"/>
      <c r="P56" s="241"/>
      <c r="Q56" s="436">
        <v>6</v>
      </c>
      <c r="R56" s="433" t="s">
        <v>2899</v>
      </c>
      <c r="S56" s="434"/>
      <c r="T56" s="434"/>
      <c r="U56" s="434"/>
    </row>
    <row r="57" spans="1:21" s="418" customFormat="1" ht="11.65" customHeight="1">
      <c r="A57" s="243"/>
      <c r="B57" s="243"/>
      <c r="C57" s="243"/>
      <c r="D57" s="243"/>
      <c r="E57" s="243"/>
      <c r="F57" s="243"/>
      <c r="G57" s="243"/>
      <c r="H57" s="241"/>
      <c r="I57" s="241"/>
      <c r="J57" s="243" t="s">
        <v>2794</v>
      </c>
      <c r="K57" s="243"/>
      <c r="L57" s="243"/>
      <c r="M57" s="243"/>
      <c r="N57" s="243"/>
      <c r="O57" s="243"/>
      <c r="P57" s="241"/>
      <c r="Q57" s="436">
        <v>6</v>
      </c>
      <c r="R57" s="433" t="s">
        <v>2899</v>
      </c>
      <c r="S57" s="434"/>
      <c r="T57" s="434"/>
      <c r="U57" s="434"/>
    </row>
    <row r="58" spans="1:21" s="418" customFormat="1" ht="11.65" customHeight="1">
      <c r="A58" s="243"/>
      <c r="B58" s="587" t="s">
        <v>3224</v>
      </c>
      <c r="C58" s="243"/>
      <c r="D58" s="241"/>
      <c r="E58" s="241"/>
      <c r="F58" s="243"/>
      <c r="G58" s="243"/>
      <c r="I58" s="241"/>
      <c r="J58" s="243" t="s">
        <v>3225</v>
      </c>
      <c r="K58" s="243"/>
      <c r="L58" s="243"/>
      <c r="M58" s="243"/>
      <c r="N58" s="243"/>
      <c r="O58" s="243"/>
      <c r="P58" s="241"/>
      <c r="Q58" s="436">
        <v>3</v>
      </c>
      <c r="R58" s="433" t="s">
        <v>2899</v>
      </c>
      <c r="S58" s="434"/>
      <c r="T58" s="434"/>
      <c r="U58" s="434"/>
    </row>
    <row r="59" spans="1:21" s="418" customFormat="1" ht="11.65" customHeight="1">
      <c r="A59" s="243"/>
      <c r="B59" s="246" t="s">
        <v>2795</v>
      </c>
      <c r="C59" s="243"/>
      <c r="D59" s="241"/>
      <c r="E59" s="243"/>
      <c r="F59" s="243"/>
      <c r="G59" s="243"/>
      <c r="H59" s="241"/>
      <c r="I59" s="241"/>
      <c r="J59" s="243" t="s">
        <v>2928</v>
      </c>
      <c r="K59" s="243"/>
      <c r="L59" s="243"/>
      <c r="M59" s="243"/>
      <c r="N59" s="243"/>
      <c r="O59" s="243"/>
      <c r="P59" s="241"/>
      <c r="Q59" s="1079">
        <v>3000</v>
      </c>
      <c r="R59" s="10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2929</v>
      </c>
      <c r="B61" s="243"/>
      <c r="C61" s="243"/>
      <c r="D61" s="243"/>
      <c r="E61" s="243"/>
      <c r="F61" s="243"/>
      <c r="G61" s="243"/>
      <c r="H61" s="243"/>
      <c r="I61" s="241"/>
      <c r="J61" s="243"/>
      <c r="K61" s="243"/>
      <c r="L61" s="243"/>
      <c r="M61" s="243"/>
      <c r="N61" s="243"/>
      <c r="O61" s="243"/>
      <c r="P61" s="241"/>
      <c r="Q61" s="243"/>
      <c r="R61" s="243"/>
      <c r="S61" s="434"/>
      <c r="T61" s="434"/>
      <c r="U61" s="434"/>
    </row>
    <row r="62" spans="1:21" ht="11.65" customHeight="1">
      <c r="B62" s="437" t="s">
        <v>3777</v>
      </c>
      <c r="C62" s="746"/>
      <c r="D62" s="746"/>
      <c r="E62" s="746"/>
      <c r="F62" s="746"/>
      <c r="G62" s="746"/>
      <c r="J62" s="438">
        <v>1</v>
      </c>
      <c r="K62" s="438">
        <v>2</v>
      </c>
      <c r="L62" s="438">
        <v>3</v>
      </c>
      <c r="M62" s="438">
        <v>4</v>
      </c>
      <c r="N62" s="438">
        <v>5</v>
      </c>
      <c r="O62" s="438">
        <v>6</v>
      </c>
      <c r="P62" s="438">
        <v>7</v>
      </c>
      <c r="Q62" s="438">
        <v>8</v>
      </c>
    </row>
    <row r="63" spans="1:21" ht="10.9" customHeight="1">
      <c r="B63" s="746"/>
      <c r="C63" s="746"/>
      <c r="D63" s="746"/>
      <c r="E63" s="746"/>
      <c r="F63" s="746"/>
      <c r="G63" s="746"/>
      <c r="J63" s="439">
        <v>0.7</v>
      </c>
      <c r="K63" s="439">
        <v>0.8</v>
      </c>
      <c r="L63" s="439">
        <v>0.9</v>
      </c>
      <c r="M63" s="438" t="s">
        <v>117</v>
      </c>
      <c r="N63" s="439">
        <v>1.08</v>
      </c>
      <c r="O63" s="439">
        <v>1.1599999999999999</v>
      </c>
      <c r="P63" s="439">
        <v>1.24</v>
      </c>
      <c r="Q63" s="439">
        <v>1.32</v>
      </c>
    </row>
    <row r="64" spans="1:21" s="434" customFormat="1" ht="11.65" customHeight="1">
      <c r="A64" s="243"/>
      <c r="B64" s="243" t="s">
        <v>2930</v>
      </c>
      <c r="C64" s="243"/>
      <c r="D64" s="243"/>
      <c r="E64" s="243"/>
      <c r="F64" s="243"/>
      <c r="G64" s="243"/>
      <c r="H64" s="243"/>
      <c r="J64" s="243" t="s">
        <v>2931</v>
      </c>
      <c r="K64" s="243"/>
      <c r="L64" s="243"/>
      <c r="M64" s="243"/>
      <c r="N64" s="243"/>
      <c r="O64" s="243"/>
      <c r="Q64" s="1078">
        <v>0.02</v>
      </c>
      <c r="R64" s="1078"/>
    </row>
    <row r="65" spans="1:21" s="434" customFormat="1" ht="11.65" customHeight="1">
      <c r="A65" s="243"/>
      <c r="B65" s="243" t="s">
        <v>2799</v>
      </c>
      <c r="C65" s="243"/>
      <c r="D65" s="243"/>
      <c r="E65" s="243"/>
      <c r="F65" s="243"/>
      <c r="G65" s="243"/>
      <c r="H65" s="243"/>
      <c r="J65" s="243" t="s">
        <v>2931</v>
      </c>
      <c r="K65" s="243"/>
      <c r="L65" s="243"/>
      <c r="M65" s="243"/>
      <c r="N65" s="243"/>
      <c r="O65" s="243"/>
      <c r="Q65" s="1078">
        <v>7.0000000000000007E-2</v>
      </c>
      <c r="R65" s="1078"/>
    </row>
    <row r="66" spans="1:21" s="434" customFormat="1" ht="11.65" customHeight="1">
      <c r="A66" s="243"/>
      <c r="B66" s="243" t="s">
        <v>2800</v>
      </c>
      <c r="C66" s="243"/>
      <c r="D66" s="243"/>
      <c r="E66" s="243"/>
      <c r="F66" s="243"/>
      <c r="G66" s="243"/>
      <c r="H66" s="243"/>
      <c r="J66" s="243" t="s">
        <v>2931</v>
      </c>
      <c r="K66" s="243"/>
      <c r="L66" s="243"/>
      <c r="M66" s="243"/>
      <c r="N66" s="243"/>
      <c r="O66" s="243"/>
      <c r="Q66" s="1078">
        <v>7.0000000000000007E-2</v>
      </c>
      <c r="R66" s="1078"/>
    </row>
    <row r="67" spans="1:21" s="418" customFormat="1" ht="11.65" customHeight="1">
      <c r="A67" s="243"/>
      <c r="B67" s="243" t="s">
        <v>305</v>
      </c>
      <c r="C67" s="243"/>
      <c r="D67" s="241"/>
      <c r="E67" s="241"/>
      <c r="F67" s="241"/>
      <c r="G67" s="243"/>
      <c r="H67" s="241"/>
      <c r="I67" s="241"/>
      <c r="J67" s="243" t="s">
        <v>2931</v>
      </c>
      <c r="K67" s="243"/>
      <c r="L67" s="243"/>
      <c r="M67" s="243"/>
      <c r="N67" s="243"/>
      <c r="O67" s="243"/>
      <c r="P67" s="241"/>
      <c r="Q67" s="1078">
        <v>0.03</v>
      </c>
      <c r="R67" s="1078"/>
      <c r="S67" s="434"/>
      <c r="T67" s="434"/>
      <c r="U67" s="434"/>
    </row>
    <row r="68" spans="1:21" s="418" customFormat="1" ht="11.65" customHeight="1">
      <c r="A68" s="243"/>
      <c r="B68" s="243" t="s">
        <v>306</v>
      </c>
      <c r="C68" s="243"/>
      <c r="D68" s="241"/>
      <c r="E68" s="241"/>
      <c r="F68" s="241"/>
      <c r="G68" s="243"/>
      <c r="H68" s="241"/>
      <c r="I68" s="241"/>
      <c r="J68" s="243" t="s">
        <v>2931</v>
      </c>
      <c r="K68" s="243"/>
      <c r="L68" s="243"/>
      <c r="M68" s="243"/>
      <c r="N68" s="243"/>
      <c r="O68" s="243"/>
      <c r="P68" s="241"/>
      <c r="Q68" s="1078">
        <v>0.03</v>
      </c>
      <c r="R68" s="1078"/>
      <c r="S68" s="434"/>
      <c r="T68" s="434"/>
      <c r="U68" s="434"/>
    </row>
    <row r="69" spans="1:21" s="418" customFormat="1" ht="11.65" customHeight="1">
      <c r="A69" s="243"/>
      <c r="B69" s="243" t="s">
        <v>186</v>
      </c>
      <c r="C69" s="243"/>
      <c r="D69" s="241"/>
      <c r="E69" s="241"/>
      <c r="F69" s="241"/>
      <c r="G69" s="243"/>
      <c r="H69" s="241"/>
      <c r="I69" s="241"/>
      <c r="J69" s="243" t="s">
        <v>2931</v>
      </c>
      <c r="K69" s="243"/>
      <c r="L69" s="243"/>
      <c r="M69" s="243"/>
      <c r="N69" s="243"/>
      <c r="O69" s="243"/>
      <c r="P69" s="241"/>
      <c r="Q69" s="1078">
        <v>0</v>
      </c>
      <c r="R69" s="10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2010</v>
      </c>
      <c r="J75" s="1125" t="s">
        <v>1512</v>
      </c>
      <c r="K75" s="1125"/>
      <c r="L75" s="398"/>
    </row>
    <row r="76" spans="1:21" ht="13.5">
      <c r="C76" s="576" t="s">
        <v>2220</v>
      </c>
      <c r="D76" s="579" t="s">
        <v>1677</v>
      </c>
      <c r="J76" s="1126" t="s">
        <v>1383</v>
      </c>
      <c r="K76" s="1126" t="s">
        <v>1381</v>
      </c>
      <c r="L76" s="580" t="s">
        <v>1382</v>
      </c>
    </row>
    <row r="77" spans="1:21" ht="9" customHeight="1">
      <c r="C77" s="577" t="s">
        <v>2661</v>
      </c>
      <c r="D77" s="1127">
        <v>48600</v>
      </c>
      <c r="J77" s="427">
        <v>0</v>
      </c>
      <c r="K77" s="427">
        <v>0.7</v>
      </c>
      <c r="L77" s="427">
        <v>1</v>
      </c>
    </row>
    <row r="78" spans="1:21" ht="9" customHeight="1">
      <c r="C78" s="577" t="s">
        <v>1678</v>
      </c>
      <c r="D78" s="1127">
        <v>57700</v>
      </c>
      <c r="J78" s="427">
        <v>1</v>
      </c>
      <c r="K78" s="427">
        <v>0.75</v>
      </c>
      <c r="L78" s="427">
        <v>1.5</v>
      </c>
    </row>
    <row r="79" spans="1:21" ht="9" customHeight="1">
      <c r="C79" s="577" t="s">
        <v>1538</v>
      </c>
      <c r="D79" s="1127">
        <v>71800</v>
      </c>
      <c r="J79" s="427">
        <v>2</v>
      </c>
      <c r="K79" s="427">
        <v>0.9</v>
      </c>
      <c r="L79" s="427">
        <v>3</v>
      </c>
    </row>
    <row r="80" spans="1:21" ht="9" customHeight="1">
      <c r="C80" s="577" t="s">
        <v>1539</v>
      </c>
      <c r="D80" s="1127">
        <v>55600</v>
      </c>
      <c r="J80" s="427">
        <v>3</v>
      </c>
      <c r="K80" s="427">
        <v>1.04</v>
      </c>
      <c r="L80" s="427">
        <v>4.5</v>
      </c>
    </row>
    <row r="81" spans="3:12" ht="9" customHeight="1">
      <c r="C81" s="577" t="s">
        <v>108</v>
      </c>
      <c r="D81" s="1127">
        <v>54700</v>
      </c>
      <c r="J81" s="427">
        <v>4</v>
      </c>
      <c r="K81" s="427">
        <v>1.1599999999999999</v>
      </c>
      <c r="L81" s="427">
        <v>6</v>
      </c>
    </row>
    <row r="82" spans="3:12" ht="9" customHeight="1">
      <c r="C82" s="577" t="s">
        <v>1679</v>
      </c>
      <c r="D82" s="1127">
        <v>55900</v>
      </c>
      <c r="J82" s="427">
        <v>5</v>
      </c>
      <c r="K82" s="427">
        <v>1.28</v>
      </c>
      <c r="L82" s="427">
        <v>7.5</v>
      </c>
    </row>
    <row r="83" spans="3:12" ht="9" customHeight="1">
      <c r="C83" s="577" t="s">
        <v>2415</v>
      </c>
      <c r="D83" s="1127">
        <v>55900</v>
      </c>
    </row>
    <row r="84" spans="3:12" ht="9" customHeight="1">
      <c r="C84" s="577" t="s">
        <v>263</v>
      </c>
      <c r="D84" s="1127">
        <v>51800</v>
      </c>
    </row>
    <row r="85" spans="3:12" ht="9" customHeight="1">
      <c r="C85" s="577" t="s">
        <v>547</v>
      </c>
      <c r="D85" s="1127">
        <v>52400</v>
      </c>
    </row>
    <row r="86" spans="3:12" ht="9" customHeight="1">
      <c r="C86" s="578" t="s">
        <v>1869</v>
      </c>
      <c r="D86" s="1127">
        <v>60200</v>
      </c>
    </row>
    <row r="87" spans="3:12" ht="9" customHeight="1">
      <c r="C87" s="578" t="s">
        <v>1540</v>
      </c>
      <c r="D87" s="1127">
        <v>47500</v>
      </c>
    </row>
    <row r="88" spans="3:12" ht="9" customHeight="1">
      <c r="C88" s="578" t="s">
        <v>1680</v>
      </c>
      <c r="D88" s="1127">
        <v>44900</v>
      </c>
    </row>
    <row r="89" spans="3:12" ht="9" customHeight="1">
      <c r="C89" s="577" t="s">
        <v>1541</v>
      </c>
      <c r="D89" s="1127">
        <v>54100</v>
      </c>
    </row>
    <row r="90" spans="3:12" ht="9" customHeight="1">
      <c r="C90" s="578" t="s">
        <v>2092</v>
      </c>
      <c r="D90" s="1127">
        <v>40400</v>
      </c>
    </row>
    <row r="91" spans="3:12" ht="9" customHeight="1">
      <c r="C91" s="577" t="s">
        <v>2283</v>
      </c>
      <c r="D91" s="1127">
        <v>53200</v>
      </c>
    </row>
    <row r="92" spans="3:12" ht="9" customHeight="1">
      <c r="C92" s="578" t="s">
        <v>1543</v>
      </c>
      <c r="D92" s="1127">
        <v>47200</v>
      </c>
    </row>
    <row r="93" spans="3:12" ht="9" customHeight="1">
      <c r="C93" s="578" t="s">
        <v>3188</v>
      </c>
      <c r="D93" s="1127">
        <v>63600</v>
      </c>
    </row>
    <row r="94" spans="3:12" ht="9" customHeight="1">
      <c r="C94" s="578" t="s">
        <v>3903</v>
      </c>
      <c r="D94" s="1127">
        <v>52500</v>
      </c>
    </row>
    <row r="95" spans="3:12" ht="9" customHeight="1">
      <c r="C95" s="577" t="s">
        <v>3328</v>
      </c>
      <c r="D95" s="1127">
        <v>52400</v>
      </c>
    </row>
    <row r="96" spans="3:12" ht="9" customHeight="1">
      <c r="C96" s="577" t="s">
        <v>2289</v>
      </c>
      <c r="D96" s="1127">
        <v>59000</v>
      </c>
    </row>
    <row r="97" spans="3:4" ht="9" customHeight="1">
      <c r="C97" s="577" t="s">
        <v>2859</v>
      </c>
      <c r="D97" s="1127">
        <v>48300</v>
      </c>
    </row>
    <row r="98" spans="3:4" ht="9" customHeight="1">
      <c r="C98" s="577" t="s">
        <v>2732</v>
      </c>
      <c r="D98" s="1127">
        <v>66000</v>
      </c>
    </row>
    <row r="99" spans="3:4" ht="9" customHeight="1">
      <c r="C99" s="578" t="s">
        <v>2130</v>
      </c>
      <c r="D99" s="1127">
        <v>43400</v>
      </c>
    </row>
    <row r="100" spans="3:4" ht="9" customHeight="1">
      <c r="C100" s="578" t="s">
        <v>2657</v>
      </c>
      <c r="D100" s="1127">
        <v>40600</v>
      </c>
    </row>
    <row r="101" spans="3:4" ht="9" customHeight="1">
      <c r="C101" s="578" t="s">
        <v>2659</v>
      </c>
      <c r="D101" s="1127">
        <v>40600</v>
      </c>
    </row>
    <row r="102" spans="3:4" ht="9" customHeight="1">
      <c r="C102" s="577" t="s">
        <v>258</v>
      </c>
      <c r="D102" s="1127">
        <v>51900</v>
      </c>
    </row>
    <row r="103" spans="3:4" ht="9" customHeight="1">
      <c r="C103" s="578" t="s">
        <v>2004</v>
      </c>
      <c r="D103" s="1127">
        <v>53700</v>
      </c>
    </row>
    <row r="104" spans="3:4" ht="9" customHeight="1">
      <c r="C104" s="578" t="s">
        <v>1681</v>
      </c>
      <c r="D104" s="1127">
        <v>41100</v>
      </c>
    </row>
    <row r="105" spans="3:4" ht="9" customHeight="1">
      <c r="C105" s="578" t="s">
        <v>2281</v>
      </c>
      <c r="D105" s="1127">
        <v>43100</v>
      </c>
    </row>
    <row r="106" spans="3:4" ht="9" customHeight="1">
      <c r="C106" s="577" t="s">
        <v>2285</v>
      </c>
      <c r="D106" s="1127">
        <v>51100</v>
      </c>
    </row>
    <row r="107" spans="3:4" ht="9" customHeight="1">
      <c r="C107" s="577" t="s">
        <v>2291</v>
      </c>
      <c r="D107" s="1127">
        <v>53600</v>
      </c>
    </row>
    <row r="108" spans="3:4" ht="9" customHeight="1">
      <c r="C108" s="578" t="s">
        <v>2189</v>
      </c>
      <c r="D108" s="1127">
        <v>38600</v>
      </c>
    </row>
    <row r="109" spans="3:4" ht="9" customHeight="1">
      <c r="C109" s="577" t="s">
        <v>1232</v>
      </c>
      <c r="D109" s="1127">
        <v>56000</v>
      </c>
    </row>
    <row r="110" spans="3:4" ht="9" customHeight="1">
      <c r="C110" s="578" t="s">
        <v>1234</v>
      </c>
      <c r="D110" s="1127">
        <v>38200</v>
      </c>
    </row>
    <row r="111" spans="3:4" ht="9" customHeight="1">
      <c r="C111" s="578" t="s">
        <v>260</v>
      </c>
      <c r="D111" s="1127">
        <v>41600</v>
      </c>
    </row>
    <row r="112" spans="3:4" ht="9" customHeight="1">
      <c r="C112" s="578" t="s">
        <v>265</v>
      </c>
      <c r="D112" s="1127">
        <v>45100</v>
      </c>
    </row>
    <row r="113" spans="3:4" ht="9" customHeight="1">
      <c r="C113" s="578" t="s">
        <v>3869</v>
      </c>
      <c r="D113" s="1127">
        <v>34600</v>
      </c>
    </row>
    <row r="114" spans="3:4" ht="9" customHeight="1">
      <c r="C114" s="578" t="s">
        <v>3872</v>
      </c>
      <c r="D114" s="1127">
        <v>39500</v>
      </c>
    </row>
    <row r="115" spans="3:4" ht="9" customHeight="1">
      <c r="C115" s="578" t="s">
        <v>3875</v>
      </c>
      <c r="D115" s="1127">
        <v>44700</v>
      </c>
    </row>
    <row r="116" spans="3:4" ht="9" customHeight="1">
      <c r="C116" s="578" t="s">
        <v>4021</v>
      </c>
      <c r="D116" s="1127">
        <v>43300</v>
      </c>
    </row>
    <row r="117" spans="3:4" ht="9" customHeight="1">
      <c r="C117" s="578" t="s">
        <v>4024</v>
      </c>
      <c r="D117" s="1127">
        <v>39600</v>
      </c>
    </row>
    <row r="118" spans="3:4" ht="9" customHeight="1">
      <c r="C118" s="578" t="s">
        <v>201</v>
      </c>
      <c r="D118" s="1127">
        <v>40700</v>
      </c>
    </row>
    <row r="119" spans="3:4" ht="9" customHeight="1">
      <c r="C119" s="578" t="s">
        <v>205</v>
      </c>
      <c r="D119" s="1127">
        <v>40600</v>
      </c>
    </row>
    <row r="120" spans="3:4" ht="9" customHeight="1">
      <c r="C120" s="578" t="s">
        <v>1777</v>
      </c>
      <c r="D120" s="1127">
        <v>43200</v>
      </c>
    </row>
    <row r="121" spans="3:4" ht="9" customHeight="1">
      <c r="C121" s="578" t="s">
        <v>1779</v>
      </c>
      <c r="D121" s="1127">
        <v>44000</v>
      </c>
    </row>
    <row r="122" spans="3:4" ht="9" customHeight="1">
      <c r="C122" s="578" t="s">
        <v>1565</v>
      </c>
      <c r="D122" s="1127">
        <v>38800</v>
      </c>
    </row>
    <row r="123" spans="3:4" ht="9" customHeight="1">
      <c r="C123" s="578" t="s">
        <v>1484</v>
      </c>
      <c r="D123" s="1127">
        <v>42000</v>
      </c>
    </row>
    <row r="124" spans="3:4" ht="9" customHeight="1">
      <c r="C124" s="578" t="s">
        <v>3651</v>
      </c>
      <c r="D124" s="1127">
        <v>38500</v>
      </c>
    </row>
    <row r="125" spans="3:4" ht="9" customHeight="1">
      <c r="C125" s="578" t="s">
        <v>1218</v>
      </c>
      <c r="D125" s="1127">
        <v>38700</v>
      </c>
    </row>
    <row r="126" spans="3:4" ht="9" customHeight="1">
      <c r="C126" s="578" t="s">
        <v>1220</v>
      </c>
      <c r="D126" s="1127">
        <v>43600</v>
      </c>
    </row>
    <row r="127" spans="3:4" ht="9" customHeight="1">
      <c r="C127" s="577" t="s">
        <v>1100</v>
      </c>
      <c r="D127" s="1127">
        <v>46700</v>
      </c>
    </row>
    <row r="128" spans="3:4" ht="9" customHeight="1">
      <c r="C128" s="578" t="s">
        <v>1102</v>
      </c>
      <c r="D128" s="1127">
        <v>46600</v>
      </c>
    </row>
    <row r="129" spans="3:4" ht="9" customHeight="1">
      <c r="C129" s="577" t="s">
        <v>1348</v>
      </c>
      <c r="D129" s="1127">
        <v>45500</v>
      </c>
    </row>
    <row r="130" spans="3:4" ht="9" customHeight="1">
      <c r="C130" s="578" t="s">
        <v>1351</v>
      </c>
      <c r="D130" s="1127">
        <v>53200</v>
      </c>
    </row>
    <row r="131" spans="3:4" ht="9" customHeight="1">
      <c r="C131" s="578" t="s">
        <v>1096</v>
      </c>
      <c r="D131" s="1127">
        <v>42600</v>
      </c>
    </row>
    <row r="132" spans="3:4" ht="9" customHeight="1">
      <c r="C132" s="578" t="s">
        <v>1104</v>
      </c>
      <c r="D132" s="1127">
        <v>49500</v>
      </c>
    </row>
    <row r="133" spans="3:4" ht="9" customHeight="1">
      <c r="C133" s="578" t="s">
        <v>285</v>
      </c>
      <c r="D133" s="1127">
        <v>52600</v>
      </c>
    </row>
    <row r="134" spans="3:4" ht="9" customHeight="1">
      <c r="C134" s="578" t="s">
        <v>541</v>
      </c>
      <c r="D134" s="1127">
        <v>33900</v>
      </c>
    </row>
    <row r="135" spans="3:4" ht="9" customHeight="1">
      <c r="C135" s="578" t="s">
        <v>545</v>
      </c>
      <c r="D135" s="1127">
        <v>49200</v>
      </c>
    </row>
    <row r="136" spans="3:4" ht="9" customHeight="1">
      <c r="C136" s="578" t="s">
        <v>353</v>
      </c>
      <c r="D136" s="1127">
        <v>43800</v>
      </c>
    </row>
    <row r="137" spans="3:4" ht="9" customHeight="1">
      <c r="C137" s="578" t="s">
        <v>355</v>
      </c>
      <c r="D137" s="1127">
        <v>56600</v>
      </c>
    </row>
    <row r="138" spans="3:4" ht="9" customHeight="1">
      <c r="C138" s="578" t="s">
        <v>436</v>
      </c>
      <c r="D138" s="1127">
        <v>38500</v>
      </c>
    </row>
    <row r="139" spans="3:4" ht="9" customHeight="1">
      <c r="C139" s="578" t="s">
        <v>438</v>
      </c>
      <c r="D139" s="1127">
        <v>39000</v>
      </c>
    </row>
    <row r="140" spans="3:4" ht="9" customHeight="1">
      <c r="C140" s="578" t="s">
        <v>440</v>
      </c>
      <c r="D140" s="1127">
        <v>36800</v>
      </c>
    </row>
    <row r="141" spans="3:4" ht="9" customHeight="1">
      <c r="C141" s="578" t="s">
        <v>362</v>
      </c>
      <c r="D141" s="1127">
        <v>36900</v>
      </c>
    </row>
    <row r="142" spans="3:4" ht="9" customHeight="1">
      <c r="C142" s="578" t="s">
        <v>2086</v>
      </c>
      <c r="D142" s="1127">
        <v>47600</v>
      </c>
    </row>
    <row r="143" spans="3:4" ht="9" customHeight="1">
      <c r="C143" s="578" t="s">
        <v>2090</v>
      </c>
      <c r="D143" s="1127">
        <v>45600</v>
      </c>
    </row>
    <row r="144" spans="3:4" ht="9" customHeight="1">
      <c r="C144" s="577" t="s">
        <v>388</v>
      </c>
      <c r="D144" s="1127">
        <v>57700</v>
      </c>
    </row>
    <row r="145" spans="3:4" ht="9" customHeight="1">
      <c r="C145" s="578" t="s">
        <v>389</v>
      </c>
      <c r="D145" s="1127">
        <v>36600</v>
      </c>
    </row>
    <row r="146" spans="3:4" ht="9" customHeight="1">
      <c r="C146" s="578" t="s">
        <v>2404</v>
      </c>
      <c r="D146" s="1127">
        <v>39700</v>
      </c>
    </row>
    <row r="147" spans="3:4" ht="9" customHeight="1">
      <c r="C147" s="578" t="s">
        <v>2406</v>
      </c>
      <c r="D147" s="1127">
        <v>38900</v>
      </c>
    </row>
    <row r="148" spans="3:4" ht="9" customHeight="1">
      <c r="C148" s="578" t="s">
        <v>192</v>
      </c>
      <c r="D148" s="1127">
        <v>47800</v>
      </c>
    </row>
    <row r="149" spans="3:4" ht="9" customHeight="1">
      <c r="C149" s="577" t="s">
        <v>3901</v>
      </c>
      <c r="D149" s="1127">
        <v>57400</v>
      </c>
    </row>
    <row r="150" spans="3:4" ht="9" customHeight="1">
      <c r="C150" s="578" t="s">
        <v>1820</v>
      </c>
      <c r="D150" s="1127">
        <v>53100</v>
      </c>
    </row>
    <row r="151" spans="3:4" ht="9" customHeight="1">
      <c r="C151" s="578" t="s">
        <v>1823</v>
      </c>
      <c r="D151" s="1127">
        <v>44700</v>
      </c>
    </row>
    <row r="152" spans="3:4" ht="9" customHeight="1">
      <c r="C152" s="578" t="s">
        <v>1826</v>
      </c>
      <c r="D152" s="1127">
        <v>46200</v>
      </c>
    </row>
    <row r="153" spans="3:4" ht="9" customHeight="1">
      <c r="C153" s="577" t="s">
        <v>1828</v>
      </c>
      <c r="D153" s="1127">
        <v>48500</v>
      </c>
    </row>
    <row r="154" spans="3:4" ht="9" customHeight="1">
      <c r="C154" s="577" t="s">
        <v>1830</v>
      </c>
      <c r="D154" s="1127">
        <v>53900</v>
      </c>
    </row>
    <row r="155" spans="3:4" ht="9" customHeight="1">
      <c r="C155" s="578" t="s">
        <v>1832</v>
      </c>
      <c r="D155" s="1127">
        <v>38200</v>
      </c>
    </row>
    <row r="156" spans="3:4" ht="9" customHeight="1">
      <c r="C156" s="578" t="s">
        <v>1747</v>
      </c>
      <c r="D156" s="1127">
        <v>49800</v>
      </c>
    </row>
    <row r="157" spans="3:4" ht="9" customHeight="1">
      <c r="C157" s="578" t="s">
        <v>1749</v>
      </c>
      <c r="D157" s="1127">
        <v>37700</v>
      </c>
    </row>
    <row r="158" spans="3:4" ht="9" customHeight="1">
      <c r="C158" s="578" t="s">
        <v>3396</v>
      </c>
      <c r="D158" s="1127">
        <v>45000</v>
      </c>
    </row>
    <row r="159" spans="3:4" ht="9" customHeight="1">
      <c r="C159" s="578" t="s">
        <v>3398</v>
      </c>
      <c r="D159" s="1127">
        <v>43200</v>
      </c>
    </row>
    <row r="160" spans="3:4" ht="9" customHeight="1">
      <c r="C160" s="577" t="s">
        <v>3400</v>
      </c>
      <c r="D160" s="1127">
        <v>41400</v>
      </c>
    </row>
    <row r="161" spans="3:4" ht="9" customHeight="1">
      <c r="C161" s="577" t="s">
        <v>3385</v>
      </c>
      <c r="D161" s="1127">
        <v>44400</v>
      </c>
    </row>
    <row r="162" spans="3:4" ht="9" customHeight="1">
      <c r="C162" s="578" t="s">
        <v>3162</v>
      </c>
      <c r="D162" s="1127">
        <v>36800</v>
      </c>
    </row>
    <row r="163" spans="3:4" ht="9" customHeight="1">
      <c r="C163" s="578" t="s">
        <v>3164</v>
      </c>
      <c r="D163" s="1127">
        <v>43800</v>
      </c>
    </row>
    <row r="164" spans="3:4" ht="9" customHeight="1">
      <c r="C164" s="578" t="s">
        <v>3166</v>
      </c>
      <c r="D164" s="1127">
        <v>43800</v>
      </c>
    </row>
    <row r="165" spans="3:4" ht="9" customHeight="1">
      <c r="C165" s="578" t="s">
        <v>3168</v>
      </c>
      <c r="D165" s="1127">
        <v>34600</v>
      </c>
    </row>
    <row r="166" spans="3:4" ht="9" customHeight="1">
      <c r="C166" s="578" t="s">
        <v>3170</v>
      </c>
      <c r="D166" s="1127">
        <v>44700</v>
      </c>
    </row>
    <row r="167" spans="3:4" ht="9" customHeight="1">
      <c r="C167" s="578" t="s">
        <v>1475</v>
      </c>
      <c r="D167" s="1127">
        <v>37300</v>
      </c>
    </row>
    <row r="168" spans="3:4" ht="9" customHeight="1">
      <c r="C168" s="578" t="s">
        <v>1477</v>
      </c>
      <c r="D168" s="1127">
        <v>40500</v>
      </c>
    </row>
    <row r="169" spans="3:4" ht="9" customHeight="1">
      <c r="C169" s="577" t="s">
        <v>2792</v>
      </c>
      <c r="D169" s="1127">
        <v>49300</v>
      </c>
    </row>
    <row r="170" spans="3:4" ht="9" customHeight="1">
      <c r="C170" s="577" t="s">
        <v>3040</v>
      </c>
      <c r="D170" s="1127">
        <v>48600</v>
      </c>
    </row>
    <row r="171" spans="3:4" ht="9" customHeight="1">
      <c r="C171" s="577" t="s">
        <v>3220</v>
      </c>
      <c r="D171" s="1127">
        <v>42900</v>
      </c>
    </row>
    <row r="172" spans="3:4" ht="9" customHeight="1">
      <c r="C172" s="577" t="s">
        <v>3043</v>
      </c>
      <c r="D172" s="1127">
        <v>46400</v>
      </c>
    </row>
    <row r="173" spans="3:4" ht="9" customHeight="1">
      <c r="C173" s="577" t="s">
        <v>3045</v>
      </c>
      <c r="D173" s="1127">
        <v>40700</v>
      </c>
    </row>
    <row r="174" spans="3:4" ht="9" customHeight="1">
      <c r="C174" s="578" t="s">
        <v>3047</v>
      </c>
      <c r="D174" s="1127">
        <v>51700</v>
      </c>
    </row>
    <row r="175" spans="3:4" ht="9" customHeight="1">
      <c r="C175" s="577" t="s">
        <v>3048</v>
      </c>
      <c r="D175" s="1127">
        <v>39100</v>
      </c>
    </row>
    <row r="176" spans="3:4" ht="9" customHeight="1">
      <c r="C176" s="577" t="s">
        <v>2939</v>
      </c>
      <c r="D176" s="1127">
        <v>49500</v>
      </c>
    </row>
    <row r="177" spans="3:4" ht="9" customHeight="1">
      <c r="C177" s="578" t="s">
        <v>3015</v>
      </c>
      <c r="D177" s="1127">
        <v>46400</v>
      </c>
    </row>
    <row r="178" spans="3:4" ht="9" customHeight="1">
      <c r="C178" s="577" t="s">
        <v>96</v>
      </c>
      <c r="D178" s="1127">
        <v>45700</v>
      </c>
    </row>
    <row r="179" spans="3:4" ht="9" customHeight="1">
      <c r="C179" s="577" t="s">
        <v>98</v>
      </c>
      <c r="D179" s="1127">
        <v>40900</v>
      </c>
    </row>
    <row r="180" spans="3:4" ht="9" customHeight="1">
      <c r="C180" s="577" t="s">
        <v>100</v>
      </c>
      <c r="D180" s="1127">
        <v>45200</v>
      </c>
    </row>
    <row r="181" spans="3:4" ht="9" customHeight="1">
      <c r="C181" s="577" t="s">
        <v>102</v>
      </c>
      <c r="D181" s="1127">
        <v>49100</v>
      </c>
    </row>
    <row r="182" spans="3:4" ht="9" customHeight="1">
      <c r="C182" s="577" t="s">
        <v>104</v>
      </c>
      <c r="D182" s="1127">
        <v>40200</v>
      </c>
    </row>
    <row r="183" spans="3:4" ht="9" customHeight="1">
      <c r="C183" s="577" t="s">
        <v>274</v>
      </c>
      <c r="D183" s="1127">
        <v>36900</v>
      </c>
    </row>
    <row r="184" spans="3:4" ht="9" customHeight="1">
      <c r="C184" s="577" t="s">
        <v>276</v>
      </c>
      <c r="D184" s="1127">
        <v>50800</v>
      </c>
    </row>
    <row r="185" spans="3:4" ht="9" customHeight="1">
      <c r="C185" s="577" t="s">
        <v>3637</v>
      </c>
      <c r="D185" s="1127">
        <v>43500</v>
      </c>
    </row>
    <row r="186" spans="3:4" ht="9" customHeight="1">
      <c r="C186" s="577" t="s">
        <v>3751</v>
      </c>
      <c r="D186" s="1127">
        <v>45100</v>
      </c>
    </row>
    <row r="187" spans="3:4" ht="9" customHeight="1">
      <c r="C187" s="577" t="s">
        <v>3753</v>
      </c>
      <c r="D187" s="1127">
        <v>49000</v>
      </c>
    </row>
  </sheetData>
  <sheetProtection password="DDE0" sheet="1" objects="1" scenarios="1"/>
  <mergeCells count="25">
    <mergeCell ref="Q29:R29"/>
    <mergeCell ref="Q30:R30"/>
    <mergeCell ref="Q31:R31"/>
    <mergeCell ref="Q41:R41"/>
    <mergeCell ref="A2:R2"/>
    <mergeCell ref="Q26:R26"/>
    <mergeCell ref="Q27:R27"/>
    <mergeCell ref="Q28:R28"/>
    <mergeCell ref="Q42:R42"/>
    <mergeCell ref="Q46:R46"/>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headerFooter alignWithMargins="0"/>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dimension ref="A1:HK2817"/>
  <sheetViews>
    <sheetView showGridLines="0" workbookViewId="0">
      <selection sqref="A1:XFD1048576"/>
    </sheetView>
  </sheetViews>
  <sheetFormatPr defaultColWidth="8.7109375" defaultRowHeight="12.75"/>
  <cols>
    <col min="1" max="9" width="9" style="748" customWidth="1"/>
    <col min="10" max="10" width="10.28515625" style="748" customWidth="1"/>
    <col min="11" max="17" width="9" style="748" customWidth="1"/>
    <col min="18" max="18" width="12.140625" style="748" customWidth="1"/>
    <col min="19" max="16384" width="8.7109375" style="748"/>
  </cols>
  <sheetData>
    <row r="1" spans="1:2">
      <c r="A1" s="748" t="s">
        <v>1729</v>
      </c>
    </row>
    <row r="2" spans="1:2">
      <c r="A2" s="748" t="str">
        <f>'Part I-Project Information'!F22</f>
        <v>Endeavor Pointe</v>
      </c>
    </row>
    <row r="3" spans="1:2">
      <c r="A3" s="748" t="str">
        <f>CONCATENATE('Part I-Project Information'!F24,", ", 'Part I-Project Information'!J25," County")</f>
        <v>LaFayette, Walker County</v>
      </c>
    </row>
    <row r="4" spans="1:2" ht="12" customHeight="1"/>
    <row r="5" spans="1:2" ht="111" customHeight="1">
      <c r="A5" s="748" t="str">
        <f>'Project Narrative'!A5</f>
        <v>Endeavor Pointe will be located on a +/- 16.54 acre site in Rock Spring, Walker County, GA.  The site is central to Chattanooga, Rossville, Chickamauga, Ringgold and Lafayette as well as convenient to significant desirable activities and characteristics.  The neighborhood in which the site is located is stable and well maintained, with a new condominium community and a Dollar General store adjacent to the North, vacant land to the West, a public baseball field complex to the South and medium density residential to the East.  The proposal is for 64 units comprised of 56 two-bedroom units and 8 one-bedroom units, reserved for those individuals 55+ years old (HFOP).  One and two bedroom units are spacious and will be approximately 762 and 1078 square fee, respectively, and each unit will feature a balcony, exterior storage room, ceiling fan, refrigerator, dishwasher, microwave and stove with fire supression system.  All units are 100% adaptable and accessible and will have a monitoring call system with buzzer and exterior unit light.</v>
      </c>
      <c r="B5" s="748" t="s">
        <v>1604</v>
      </c>
    </row>
    <row r="6" spans="1:2" ht="6.4" customHeight="1"/>
    <row r="7" spans="1:2" ht="111" customHeight="1">
      <c r="A7" s="748" t="str">
        <f>'Project Narrative'!A7</f>
        <v>The proposed community design includes three two story buildings arranged in a "U" configuration, with an elevator at each corner of the "U".  In the center of the community will be a 1,949 square foot community building with a kitchen and will feature such amenities as equipped computer center, furnished fitness/exercise center, a video gaming area to encourage low impact exercise -- through games such as Nintendo's Wii bowling, a manager's office and equipped library.  The clubhouse facility, with all of its resources, will make a great venue for social and recreational services planned and overseen by the project manager.  Endeavor Pointe will have a complete built-in fire sprinkler system and will employ an energy package that exceeds Georgia State Energy code.  Finally, the community will feature a largely brick exterior, accentuated by decorative gables.</v>
      </c>
    </row>
    <row r="8" spans="1:2" ht="6.4" customHeight="1"/>
    <row r="9" spans="1:2" ht="111" customHeight="1">
      <c r="A9" s="748" t="str">
        <f>'Project Narrative'!A9</f>
        <v xml:space="preserve">Endeavor Pointe will also feature a high degree of sustainability designed to reduce the carbon footprint of the development.  The community will achieve Southface Institute's Earthcraft Multifamily Building Certification and feature a solar array designed to produce approximately half of the electricity consumed at the community level (clubhouse facility, parking lot lights, hallway lights, etc.).  The solar array has an expected life of 25 years -- five years longer than the proposed HOME loan term.  Endeavor Pointe will also make widespread use of compact fluorescent lighting throughout the community (clubhouse, hallways, apartment units), and will harvest natural light through an automated rheostat/light sensor system.  Finally, the community will employ LED lighting for parking areas.  The lights have a lifespan of in excess of 12 years.  This solution to parking lot lighting reduces long term operating expense because a cherry picker, around $500 per visit, is required to change parking lot lights.  This creates a moral hazard in that it is more efficient to wait for several lights to burn out before calling in the cherry picker.  </v>
      </c>
    </row>
    <row r="10" spans="1:2" ht="6.4" customHeight="1"/>
    <row r="11" spans="1:2" ht="111" customHeight="1">
      <c r="A11" s="748" t="str">
        <f>'Project Narrative'!A11</f>
        <v xml:space="preserve">The financing for Endeavor Pointe includes LIHTC and a HOME loan from DCA -- a combination imperative for the low rents necessary to not only serve the area's affordable housing needs, but also achieve a market advantage.  20% of those units will be affordable to individuals with 50% or less AMI and the remainder to those with 60% or less AMI. Due to the tornadoes that ravaged the area in April 2011, the area is in extreme need of such housing and has been declared a disaster zone by President Obama.   Proposed rents are well below gross rent limits at $335 and $355 for all one and two bedroom units, respectively. Endeavor Pointe's market study validates the strong need in both Rock Spring as well as Walker County for housing affordable to Seniors, particularly housing that features such substantial amenities and quality of life as Endeavor Pointe.   Walker County's sole County Commissioner, Bebe Heiskell, confirmed this need through her provision of a resolution of support.  She emphasized this in a statement to the local newspaper regarding the Endeavor Pointe proposal, saying "It was just to show the Georgia Department of Community Affairs that the county supports this type of project...Everything that's been built relative to Senior housing     </v>
      </c>
    </row>
    <row r="12" spans="1:2" ht="6.4" customHeight="1"/>
    <row r="13" spans="1:2" ht="111" customHeight="1">
      <c r="A13" s="748" t="str">
        <f>'Project Narrative'!A13</f>
        <v>has been filled right up.  There is a need for it in Walker County."  That article is included in tab 16.</v>
      </c>
    </row>
    <row r="14" spans="1:2" ht="6.4" customHeight="1"/>
    <row r="15" spans="1:2" ht="111" customHeight="1">
      <c r="A15" s="748">
        <f>'Project Narrative'!A15</f>
        <v>0</v>
      </c>
    </row>
    <row r="16" spans="1:2" ht="6.4" customHeight="1"/>
    <row r="17" spans="1:13" ht="111" customHeight="1">
      <c r="A17" s="748">
        <f>'Project Narrative'!A17</f>
        <v>0</v>
      </c>
    </row>
    <row r="18" spans="1:13" ht="6.4" customHeight="1"/>
    <row r="19" spans="1:13" ht="111" customHeight="1">
      <c r="A19" s="748">
        <f>'Project Narrative'!A19</f>
        <v>0</v>
      </c>
    </row>
    <row r="20" spans="1:13" ht="6.4" customHeight="1"/>
    <row r="21" spans="1:13" ht="111" customHeight="1">
      <c r="A21" s="748">
        <f>'Project Narrative'!A21</f>
        <v>0</v>
      </c>
    </row>
    <row r="22" spans="1:13" ht="6.4" customHeight="1"/>
    <row r="23" spans="1:13" ht="111" customHeight="1">
      <c r="A23" s="748">
        <f>'Project Narrative'!A23</f>
        <v>0</v>
      </c>
    </row>
    <row r="24" spans="1:13" ht="6.4" customHeight="1"/>
    <row r="25" spans="1:13" ht="111" customHeight="1">
      <c r="A25" s="748">
        <f>'Project Narrative'!A25</f>
        <v>0</v>
      </c>
    </row>
    <row r="26" spans="1:13" ht="6.4"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3671</v>
      </c>
      <c r="E32" s="748" t="s">
        <v>4112</v>
      </c>
      <c r="M32" s="748" t="s">
        <v>2869</v>
      </c>
    </row>
    <row r="33" spans="1:15" ht="12" customHeight="1">
      <c r="E33" s="748" t="s">
        <v>4113</v>
      </c>
      <c r="O33" s="748" t="str">
        <f>'Part I-Project Information'!$O$4</f>
        <v>2011-028</v>
      </c>
    </row>
    <row r="34" spans="1:15" ht="12" customHeight="1"/>
    <row r="35" spans="1:15" ht="13.15" customHeight="1">
      <c r="A35" s="748" t="s">
        <v>1126</v>
      </c>
      <c r="C35" s="748" t="s">
        <v>3689</v>
      </c>
      <c r="F35" s="748" t="s">
        <v>2601</v>
      </c>
      <c r="J35" s="748">
        <f>'Part IV-Uses of Funds'!J194</f>
        <v>0</v>
      </c>
    </row>
    <row r="36" spans="1:15" ht="13.15" customHeight="1">
      <c r="F36" s="748" t="s">
        <v>1975</v>
      </c>
      <c r="J36" s="748">
        <f>'Part III A-Sources of Funds'!J34</f>
        <v>0</v>
      </c>
    </row>
    <row r="37" spans="1:15" ht="7.15" customHeight="1"/>
    <row r="38" spans="1:15" ht="13.15" customHeight="1">
      <c r="A38" s="748" t="s">
        <v>1241</v>
      </c>
      <c r="C38" s="748" t="s">
        <v>3186</v>
      </c>
      <c r="F38" s="748" t="str">
        <f>'Part I-Project Information'!$F$9</f>
        <v>Competitive Round</v>
      </c>
      <c r="I38" s="748" t="s">
        <v>1242</v>
      </c>
      <c r="J38" s="748">
        <f>'Part I-Project Information'!$J$9</f>
        <v>0</v>
      </c>
    </row>
    <row r="39" spans="1:15" ht="7.15" customHeight="1"/>
    <row r="40" spans="1:15" ht="13.15" customHeight="1">
      <c r="A40" s="748" t="s">
        <v>1243</v>
      </c>
      <c r="C40" s="748" t="s">
        <v>2238</v>
      </c>
    </row>
    <row r="41" spans="1:15" ht="3" customHeight="1"/>
    <row r="42" spans="1:15" ht="13.15" customHeight="1">
      <c r="C42" s="748" t="s">
        <v>3714</v>
      </c>
      <c r="F42" s="748" t="str">
        <f>'Part I-Project Information'!$F$13</f>
        <v>Nick Sherman</v>
      </c>
      <c r="M42" s="748" t="s">
        <v>2997</v>
      </c>
      <c r="N42" s="748" t="str">
        <f>'Part I-Project Information'!N13</f>
        <v>Member</v>
      </c>
    </row>
    <row r="43" spans="1:15" ht="13.15" customHeight="1">
      <c r="C43" s="748" t="s">
        <v>2998</v>
      </c>
      <c r="F43" s="748" t="str">
        <f>'Part I-Project Information'!$F$14</f>
        <v>1341 Cassville Road, NW</v>
      </c>
      <c r="M43" s="748" t="s">
        <v>2748</v>
      </c>
      <c r="O43" s="748">
        <f>'Part I-Project Information'!O14</f>
        <v>4042196953</v>
      </c>
    </row>
    <row r="44" spans="1:15" ht="13.15" customHeight="1">
      <c r="C44" s="748" t="s">
        <v>1033</v>
      </c>
      <c r="F44" s="748" t="str">
        <f>'Part I-Project Information'!$F$15</f>
        <v xml:space="preserve">Cartersville </v>
      </c>
      <c r="M44" s="748" t="s">
        <v>2958</v>
      </c>
      <c r="O44" s="748">
        <f>'Part I-Project Information'!O15</f>
        <v>6786051846</v>
      </c>
    </row>
    <row r="45" spans="1:15" ht="13.15" customHeight="1">
      <c r="C45" s="748" t="s">
        <v>3068</v>
      </c>
      <c r="F45" s="748" t="str">
        <f>'Part I-Project Information'!$F$16</f>
        <v>GA</v>
      </c>
      <c r="I45" s="748" t="s">
        <v>3562</v>
      </c>
      <c r="J45" s="748">
        <f>'Part I-Project Information'!J16</f>
        <v>301204886</v>
      </c>
      <c r="M45" s="748" t="s">
        <v>2996</v>
      </c>
      <c r="O45" s="748">
        <f>'Part I-Project Information'!O16</f>
        <v>4042196953</v>
      </c>
    </row>
    <row r="46" spans="1:15" ht="13.15" customHeight="1">
      <c r="C46" s="748" t="s">
        <v>2747</v>
      </c>
      <c r="F46" s="748">
        <f>'Part I-Project Information'!F17</f>
        <v>4042196953</v>
      </c>
      <c r="I46" s="748" t="s">
        <v>2605</v>
      </c>
      <c r="J46" s="748">
        <f>'Part I-Project Information'!J17</f>
        <v>0</v>
      </c>
      <c r="K46" s="748" t="s">
        <v>3110</v>
      </c>
      <c r="L46" s="748" t="str">
        <f>'Part I-Project Information'!L17</f>
        <v>nicholassherman@me.com</v>
      </c>
    </row>
    <row r="47" spans="1:15" ht="13.15" customHeight="1">
      <c r="C47" s="748" t="s">
        <v>1217</v>
      </c>
    </row>
    <row r="48" spans="1:15" ht="7.15" customHeight="1"/>
    <row r="49" spans="1:16" ht="13.15" customHeight="1">
      <c r="A49" s="748" t="s">
        <v>2950</v>
      </c>
      <c r="C49" s="748" t="s">
        <v>2246</v>
      </c>
    </row>
    <row r="50" spans="1:16" ht="3" customHeight="1"/>
    <row r="51" spans="1:16" ht="13.15" customHeight="1">
      <c r="C51" s="748" t="s">
        <v>1031</v>
      </c>
      <c r="F51" s="748" t="str">
        <f>'Part I-Project Information'!F22</f>
        <v>Endeavor Pointe</v>
      </c>
      <c r="M51" s="748" t="s">
        <v>3178</v>
      </c>
      <c r="O51" s="748" t="str">
        <f>'Part I-Project Information'!O22</f>
        <v>No</v>
      </c>
    </row>
    <row r="52" spans="1:16" ht="13.15" customHeight="1">
      <c r="C52" s="748" t="s">
        <v>1032</v>
      </c>
      <c r="F52" s="748" t="str">
        <f>'Part I-Project Information'!F23</f>
        <v>Kay Conley Road</v>
      </c>
      <c r="M52" s="748" t="s">
        <v>3291</v>
      </c>
      <c r="O52" s="748" t="str">
        <f>'Part I-Project Information'!O23</f>
        <v>No</v>
      </c>
    </row>
    <row r="53" spans="1:16" ht="13.15" customHeight="1">
      <c r="C53" s="748" t="s">
        <v>1033</v>
      </c>
      <c r="F53" s="748" t="str">
        <f>'Part I-Project Information'!F24</f>
        <v>LaFayette</v>
      </c>
      <c r="I53" s="748" t="s">
        <v>4114</v>
      </c>
      <c r="J53" s="748">
        <f>'Part I-Project Information'!J24</f>
        <v>307390000</v>
      </c>
      <c r="L53" s="748" t="str">
        <f>IF(AND(NOT(F51=""),NOT(F53="Select from list"),J53=""),"Enter Zip!","")</f>
        <v/>
      </c>
      <c r="M53" s="748" t="s">
        <v>3519</v>
      </c>
      <c r="O53" s="748">
        <f>'Part I-Project Information'!O24</f>
        <v>16.54</v>
      </c>
    </row>
    <row r="54" spans="1:16" ht="13.15" customHeight="1">
      <c r="C54" s="748" t="s">
        <v>3290</v>
      </c>
      <c r="F54" s="748" t="str">
        <f>'Part I-Project Information'!F25</f>
        <v>No</v>
      </c>
      <c r="I54" s="748" t="s">
        <v>1034</v>
      </c>
      <c r="J54" s="748" t="str">
        <f>'Part I-Project Information'!J25</f>
        <v>Walker</v>
      </c>
      <c r="M54" s="748" t="s">
        <v>3708</v>
      </c>
      <c r="O54" s="748">
        <f>'Part I-Project Information'!O25</f>
        <v>206.01</v>
      </c>
    </row>
    <row r="55" spans="1:16" ht="13.15" customHeight="1">
      <c r="C55" s="748" t="s">
        <v>2352</v>
      </c>
      <c r="F55" s="748" t="str">
        <f>'Part I-Project Information'!F26</f>
        <v>Yes</v>
      </c>
      <c r="I55" s="748" t="s">
        <v>1041</v>
      </c>
      <c r="J55" s="748" t="str">
        <f>'Part I-Project Information'!J26</f>
        <v>Chattanooga</v>
      </c>
      <c r="M55" s="748" t="s">
        <v>679</v>
      </c>
      <c r="N55" s="748" t="str">
        <f>'Part I-Project Information'!N26</f>
        <v>No</v>
      </c>
      <c r="O55" s="748" t="s">
        <v>680</v>
      </c>
      <c r="P55" s="748" t="str">
        <f>'Part I-Project Information'!P26</f>
        <v>No</v>
      </c>
    </row>
    <row r="56" spans="1:16" ht="3" customHeight="1"/>
    <row r="57" spans="1:16" ht="13.15" customHeight="1">
      <c r="F57" s="748" t="s">
        <v>4115</v>
      </c>
      <c r="H57" s="748" t="s">
        <v>1379</v>
      </c>
      <c r="J57" s="748" t="s">
        <v>1239</v>
      </c>
    </row>
    <row r="58" spans="1:16" ht="13.15" customHeight="1">
      <c r="C58" s="748" t="s">
        <v>1035</v>
      </c>
      <c r="F58" s="748">
        <f>'Part I-Project Information'!F29</f>
        <v>9</v>
      </c>
      <c r="H58" s="748">
        <f>'Part I-Project Information'!H29</f>
        <v>53</v>
      </c>
      <c r="J58" s="748">
        <f>'Part I-Project Information'!J29</f>
        <v>1</v>
      </c>
    </row>
    <row r="59" spans="1:16" ht="13.15" customHeight="1">
      <c r="C59" s="748" t="s">
        <v>1380</v>
      </c>
      <c r="F59" s="748">
        <f>'Part I-Project Information'!F30</f>
        <v>0</v>
      </c>
      <c r="H59" s="748">
        <f>'Part I-Project Information'!H30</f>
        <v>0</v>
      </c>
      <c r="J59" s="748">
        <f>'Part I-Project Information'!J30</f>
        <v>0</v>
      </c>
    </row>
    <row r="60" spans="1:16" ht="3" customHeight="1"/>
    <row r="61" spans="1:16" ht="13.15" customHeight="1">
      <c r="C61" s="748" t="s">
        <v>1140</v>
      </c>
      <c r="F61" s="748" t="str">
        <f>'Part I-Project Information'!F32</f>
        <v>Walker County</v>
      </c>
    </row>
    <row r="62" spans="1:16" ht="13.15" customHeight="1">
      <c r="C62" s="748" t="s">
        <v>1141</v>
      </c>
      <c r="F62" s="748" t="str">
        <f>'Part I-Project Information'!F33</f>
        <v>Bebe Heiskell</v>
      </c>
      <c r="K62" s="748" t="s">
        <v>2997</v>
      </c>
      <c r="L62" s="748" t="str">
        <f>'Part I-Project Information'!L33</f>
        <v>Sole Commissioner</v>
      </c>
    </row>
    <row r="63" spans="1:16" ht="13.15" customHeight="1">
      <c r="C63" s="748" t="s">
        <v>2998</v>
      </c>
      <c r="F63" s="748" t="str">
        <f>'Part I-Project Information'!F34</f>
        <v>101 South Duke Street</v>
      </c>
      <c r="K63" s="748" t="s">
        <v>1033</v>
      </c>
      <c r="L63" s="748" t="str">
        <f>'Part I-Project Information'!L34</f>
        <v>Lafayette</v>
      </c>
    </row>
    <row r="64" spans="1:16" ht="13.15" customHeight="1">
      <c r="C64" s="748" t="s">
        <v>3562</v>
      </c>
      <c r="F64" s="748">
        <f>'Part I-Project Information'!F35</f>
        <v>307280000</v>
      </c>
      <c r="H64" s="748" t="s">
        <v>2999</v>
      </c>
      <c r="I64" s="748">
        <f>'Part I-Project Information'!I35</f>
        <v>7066381437</v>
      </c>
      <c r="L64" s="748" t="s">
        <v>2958</v>
      </c>
      <c r="M64" s="748">
        <f>'Part I-Project Information'!M35</f>
        <v>7066381453</v>
      </c>
    </row>
    <row r="65" spans="1:16" ht="7.15" customHeight="1"/>
    <row r="66" spans="1:16" ht="13.15" customHeight="1">
      <c r="A66" s="748" t="s">
        <v>2952</v>
      </c>
      <c r="C66" s="748" t="s">
        <v>2247</v>
      </c>
      <c r="J66" s="748" t="s">
        <v>4116</v>
      </c>
    </row>
    <row r="67" spans="1:16" ht="3" customHeight="1"/>
    <row r="68" spans="1:16">
      <c r="B68" s="748" t="s">
        <v>3000</v>
      </c>
      <c r="C68" s="748" t="s">
        <v>3710</v>
      </c>
      <c r="F68" s="748" t="str">
        <f>'Part I-Project Information'!F39</f>
        <v>No</v>
      </c>
      <c r="J68" s="748" t="s">
        <v>1984</v>
      </c>
      <c r="L68" s="748" t="s">
        <v>1985</v>
      </c>
    </row>
    <row r="69" spans="1:16" ht="3" customHeight="1"/>
    <row r="70" spans="1:16" ht="13.15" customHeight="1">
      <c r="B70" s="748" t="s">
        <v>3112</v>
      </c>
      <c r="C70" s="748" t="s">
        <v>3717</v>
      </c>
      <c r="J70" s="748" t="s">
        <v>2241</v>
      </c>
      <c r="L70" s="748" t="s">
        <v>2137</v>
      </c>
    </row>
    <row r="71" spans="1:16" ht="13.15" customHeight="1">
      <c r="C71" s="748" t="s">
        <v>3709</v>
      </c>
      <c r="F71" s="748">
        <f>'Part VI-Revenues &amp; Expenses'!$M$75</f>
        <v>64</v>
      </c>
    </row>
    <row r="72" spans="1:16" ht="13.15" customHeight="1">
      <c r="C72" s="748" t="s">
        <v>609</v>
      </c>
      <c r="F72" s="748">
        <f>'Part VI-Revenues &amp; Expenses'!$M$82</f>
        <v>0</v>
      </c>
    </row>
    <row r="73" spans="1:16" ht="13.15" customHeight="1">
      <c r="C73" s="748" t="s">
        <v>578</v>
      </c>
      <c r="F73" s="748">
        <f>'Part VI-Revenues &amp; Expenses'!$M$78</f>
        <v>0</v>
      </c>
      <c r="G73" s="748" t="s">
        <v>580</v>
      </c>
      <c r="L73" s="748">
        <f>'Part I-Project Information'!L44</f>
        <v>0</v>
      </c>
    </row>
    <row r="74" spans="1:16" ht="13.15" customHeight="1">
      <c r="C74" s="748" t="s">
        <v>579</v>
      </c>
      <c r="F74" s="748">
        <f>'Part VI-Revenues &amp; Expenses'!$M$81</f>
        <v>0</v>
      </c>
    </row>
    <row r="75" spans="1:16" ht="13.15" customHeight="1">
      <c r="C75" s="748" t="s">
        <v>610</v>
      </c>
      <c r="F75" s="748">
        <f>'Part VI-Revenues &amp; Expenses'!$M$83</f>
        <v>0</v>
      </c>
    </row>
    <row r="76" spans="1:16" ht="3.4" customHeight="1"/>
    <row r="77" spans="1:16" ht="13.15" customHeight="1">
      <c r="B77" s="748" t="s">
        <v>1517</v>
      </c>
      <c r="C77" s="748" t="s">
        <v>3403</v>
      </c>
      <c r="I77" s="748" t="s">
        <v>1994</v>
      </c>
      <c r="J77" s="748" t="s">
        <v>3316</v>
      </c>
      <c r="K77" s="748" t="s">
        <v>3539</v>
      </c>
    </row>
    <row r="78" spans="1:16" ht="13.15" customHeight="1">
      <c r="C78" s="748" t="s">
        <v>3404</v>
      </c>
      <c r="H78" s="748">
        <f>SUM(H79:H80)</f>
        <v>64</v>
      </c>
      <c r="K78" s="748" t="s">
        <v>3540</v>
      </c>
      <c r="P78" s="748">
        <f>'Part VI-Revenues &amp; Expenses'!$M$94</f>
        <v>66464</v>
      </c>
    </row>
    <row r="79" spans="1:16" ht="13.15" customHeight="1">
      <c r="D79" s="748" t="s">
        <v>496</v>
      </c>
      <c r="H79" s="748">
        <f>'Part VI-Revenues &amp; Expenses'!$M$58</f>
        <v>13</v>
      </c>
      <c r="I79" s="748">
        <f>'Part VI-Revenues &amp; Expenses'!$M$66</f>
        <v>0</v>
      </c>
      <c r="K79" s="748" t="s">
        <v>566</v>
      </c>
      <c r="P79" s="748">
        <f>'Part VI-Revenues &amp; Expenses'!$M$95</f>
        <v>0</v>
      </c>
    </row>
    <row r="80" spans="1:16" ht="13.15" customHeight="1">
      <c r="D80" s="748" t="s">
        <v>2882</v>
      </c>
      <c r="H80" s="748">
        <f>'Part VI-Revenues &amp; Expenses'!$M$57</f>
        <v>51</v>
      </c>
      <c r="I80" s="748">
        <f>'Part VI-Revenues &amp; Expenses'!$M$65</f>
        <v>0</v>
      </c>
      <c r="K80" s="748" t="s">
        <v>3618</v>
      </c>
      <c r="P80" s="748">
        <f>+P78+P79</f>
        <v>66464</v>
      </c>
    </row>
    <row r="81" spans="1:16" ht="13.15" customHeight="1">
      <c r="C81" s="748" t="s">
        <v>567</v>
      </c>
      <c r="H81" s="748">
        <f>'Part VI-Revenues &amp; Expenses'!$M$60</f>
        <v>0</v>
      </c>
      <c r="K81" s="748" t="s">
        <v>2271</v>
      </c>
      <c r="P81" s="748">
        <f>'Part VI-Revenues &amp; Expenses'!$M$97</f>
        <v>0</v>
      </c>
    </row>
    <row r="82" spans="1:16" ht="13.15" customHeight="1">
      <c r="C82" s="748" t="s">
        <v>3781</v>
      </c>
      <c r="H82" s="748">
        <f>+H78+H81</f>
        <v>64</v>
      </c>
      <c r="K82" s="748" t="s">
        <v>1996</v>
      </c>
      <c r="P82" s="748">
        <f>+P80+P81</f>
        <v>66464</v>
      </c>
    </row>
    <row r="83" spans="1:16" ht="13.15" customHeight="1">
      <c r="C83" s="748" t="s">
        <v>3773</v>
      </c>
      <c r="H83" s="748">
        <f>'Part VI-Revenues &amp; Expenses'!$M$62</f>
        <v>0</v>
      </c>
    </row>
    <row r="84" spans="1:16" ht="13.15" customHeight="1">
      <c r="C84" s="748" t="s">
        <v>2951</v>
      </c>
      <c r="H84" s="748">
        <f>+H82+H83</f>
        <v>64</v>
      </c>
    </row>
    <row r="85" spans="1:16" ht="3" customHeight="1"/>
    <row r="86" spans="1:16" ht="13.15" customHeight="1">
      <c r="B86" s="748" t="s">
        <v>2901</v>
      </c>
      <c r="C86" s="748" t="s">
        <v>3711</v>
      </c>
      <c r="D86" s="748" t="s">
        <v>3121</v>
      </c>
      <c r="H86" s="748">
        <f>'Part I-Project Information'!H57</f>
        <v>3</v>
      </c>
      <c r="K86" s="748" t="s">
        <v>1765</v>
      </c>
      <c r="P86" s="748">
        <f>'Part I-Project Information'!P57</f>
        <v>1949</v>
      </c>
    </row>
    <row r="87" spans="1:16" ht="13.15" customHeight="1">
      <c r="D87" s="748" t="s">
        <v>3122</v>
      </c>
      <c r="H87" s="748">
        <f>'Part I-Project Information'!H58</f>
        <v>1</v>
      </c>
      <c r="K87" s="748" t="s">
        <v>369</v>
      </c>
      <c r="P87" s="748">
        <f>+P82+P86</f>
        <v>68413</v>
      </c>
    </row>
    <row r="88" spans="1:16" ht="13.15" customHeight="1">
      <c r="D88" s="748" t="s">
        <v>3123</v>
      </c>
      <c r="H88" s="748">
        <f>+H86+H87</f>
        <v>4</v>
      </c>
    </row>
    <row r="89" spans="1:16" ht="3" customHeight="1"/>
    <row r="90" spans="1:16" ht="13.15" customHeight="1">
      <c r="B90" s="748" t="s">
        <v>2902</v>
      </c>
      <c r="C90" s="748" t="s">
        <v>3718</v>
      </c>
      <c r="H90" s="748">
        <f>'Part I-Project Information'!H61</f>
        <v>128</v>
      </c>
    </row>
    <row r="91" spans="1:16" ht="9" customHeight="1"/>
    <row r="92" spans="1:16" ht="13.15" customHeight="1">
      <c r="A92" s="748" t="s">
        <v>973</v>
      </c>
      <c r="C92" s="748" t="s">
        <v>1841</v>
      </c>
    </row>
    <row r="93" spans="1:16" ht="3" customHeight="1"/>
    <row r="94" spans="1:16" ht="13.15" customHeight="1">
      <c r="B94" s="748" t="s">
        <v>3000</v>
      </c>
      <c r="C94" s="748" t="s">
        <v>2416</v>
      </c>
      <c r="H94" s="748" t="str">
        <f>'Part I-Project Information'!H65</f>
        <v>Senior (HFOP)</v>
      </c>
      <c r="K94" s="748" t="s">
        <v>2804</v>
      </c>
      <c r="N94" s="748">
        <f>'Part I-Project Information'!N65</f>
        <v>0</v>
      </c>
    </row>
    <row r="95" spans="1:16" ht="3" customHeight="1"/>
    <row r="96" spans="1:16" ht="13.15" customHeight="1">
      <c r="B96" s="748" t="s">
        <v>3112</v>
      </c>
      <c r="C96" s="748" t="s">
        <v>2152</v>
      </c>
      <c r="G96" s="748" t="s">
        <v>1371</v>
      </c>
      <c r="H96" s="748">
        <f>'Part I-Project Information'!H67</f>
        <v>4</v>
      </c>
      <c r="K96" s="748" t="s">
        <v>859</v>
      </c>
      <c r="P96" s="748">
        <f>IF('Part VI-Revenues &amp; Expenses'!$M$63=0,0,$H96/'Part VI-Revenues &amp; Expenses'!$M$63)</f>
        <v>6.25E-2</v>
      </c>
    </row>
    <row r="97" spans="1:16" ht="3" customHeight="1"/>
    <row r="98" spans="1:16" ht="13.15" customHeight="1">
      <c r="B98" s="748" t="s">
        <v>1517</v>
      </c>
      <c r="C98" s="748" t="s">
        <v>3030</v>
      </c>
      <c r="G98" s="748" t="s">
        <v>1371</v>
      </c>
      <c r="H98" s="748">
        <f>'Part I-Project Information'!H69</f>
        <v>2</v>
      </c>
      <c r="K98" s="748" t="s">
        <v>859</v>
      </c>
      <c r="P98" s="748">
        <f>IF('Part VI-Revenues &amp; Expenses'!$M$63=0,0,$H98/'Part VI-Revenues &amp; Expenses'!$M$63)</f>
        <v>3.125E-2</v>
      </c>
    </row>
    <row r="99" spans="1:16" ht="3" customHeight="1"/>
    <row r="100" spans="1:16" ht="13.15" customHeight="1">
      <c r="B100" s="748" t="s">
        <v>3316</v>
      </c>
      <c r="C100" s="748" t="s">
        <v>1971</v>
      </c>
      <c r="G100" s="748" t="s">
        <v>1972</v>
      </c>
      <c r="H100" s="748">
        <f>'Part I-Project Information'!H71</f>
        <v>0</v>
      </c>
      <c r="K100" s="748" t="s">
        <v>859</v>
      </c>
      <c r="P100" s="748">
        <f>IF('Part VI-Revenues &amp; Expenses'!$M$63=0,0,$H100/'Part VI-Revenues &amp; Expenses'!$M$63)</f>
        <v>0</v>
      </c>
    </row>
    <row r="101" spans="1:16" ht="9" customHeight="1"/>
    <row r="102" spans="1:16" ht="13.15" customHeight="1">
      <c r="A102" s="748" t="s">
        <v>1708</v>
      </c>
      <c r="C102" s="748" t="s">
        <v>3691</v>
      </c>
    </row>
    <row r="103" spans="1:16" ht="3" customHeight="1"/>
    <row r="104" spans="1:16" ht="13.15" customHeight="1">
      <c r="B104" s="748" t="s">
        <v>3000</v>
      </c>
      <c r="C104" s="748" t="s">
        <v>3690</v>
      </c>
      <c r="H104" s="748" t="str">
        <f>'Part I-Project Information'!H75</f>
        <v>40% of Units at 60% of AMI</v>
      </c>
    </row>
    <row r="105" spans="1:16" ht="3" customHeight="1"/>
    <row r="106" spans="1:16" ht="13.15" customHeight="1">
      <c r="B106" s="748" t="s">
        <v>3112</v>
      </c>
      <c r="C106" s="748" t="s">
        <v>2556</v>
      </c>
      <c r="K106" s="748" t="s">
        <v>1473</v>
      </c>
      <c r="P106" s="748">
        <f>'Part I-Project Information'!P77</f>
        <v>0</v>
      </c>
    </row>
    <row r="107" spans="1:16" ht="9" customHeight="1"/>
    <row r="108" spans="1:16" ht="13.15" customHeight="1">
      <c r="A108" s="748" t="s">
        <v>642</v>
      </c>
      <c r="C108" s="748" t="s">
        <v>3187</v>
      </c>
    </row>
    <row r="109" spans="1:16" ht="3" customHeight="1"/>
    <row r="110" spans="1:16" ht="13.15" customHeight="1">
      <c r="E110" s="748" t="str">
        <f>'Part I-Project Information'!E81</f>
        <v>No</v>
      </c>
      <c r="F110" s="748" t="s">
        <v>3913</v>
      </c>
      <c r="H110" s="748" t="str">
        <f>'Part I-Project Information'!H81</f>
        <v>Yes</v>
      </c>
      <c r="I110" s="748" t="s">
        <v>3995</v>
      </c>
      <c r="K110" s="748" t="str">
        <f>'Part I-Project Information'!K81</f>
        <v>No</v>
      </c>
      <c r="L110" s="748" t="s">
        <v>291</v>
      </c>
    </row>
    <row r="111" spans="1:16" ht="13.15" customHeight="1">
      <c r="E111" s="748" t="str">
        <f>'Part I-Project Information'!E82</f>
        <v>No</v>
      </c>
      <c r="F111" s="748" t="s">
        <v>902</v>
      </c>
      <c r="H111" s="748" t="str">
        <f>'Part I-Project Information'!H82</f>
        <v>No</v>
      </c>
      <c r="I111" s="748" t="s">
        <v>3274</v>
      </c>
      <c r="K111" s="748" t="str">
        <f>'Part I-Project Information'!K82</f>
        <v>No</v>
      </c>
      <c r="L111" s="748" t="s">
        <v>3275</v>
      </c>
    </row>
    <row r="112" spans="1:16" ht="9" customHeight="1"/>
    <row r="113" spans="1:15" ht="13.15" customHeight="1">
      <c r="A113" s="748" t="s">
        <v>672</v>
      </c>
      <c r="C113" s="748" t="s">
        <v>1839</v>
      </c>
    </row>
    <row r="114" spans="1:15" ht="3" customHeight="1"/>
    <row r="115" spans="1:15" ht="13.15" customHeight="1">
      <c r="C115" s="748" t="s">
        <v>888</v>
      </c>
      <c r="E115" s="748">
        <f>'Part I-Project Information'!E86</f>
        <v>0</v>
      </c>
      <c r="M115" s="748" t="s">
        <v>1085</v>
      </c>
      <c r="O115" s="748">
        <f>'Part I-Project Information'!O86</f>
        <v>0</v>
      </c>
    </row>
    <row r="116" spans="1:15" ht="13.15" customHeight="1">
      <c r="C116" s="748" t="s">
        <v>1670</v>
      </c>
      <c r="E116" s="748">
        <f>'Part I-Project Information'!E87</f>
        <v>0</v>
      </c>
      <c r="M116" s="748" t="s">
        <v>1384</v>
      </c>
      <c r="O116" s="748">
        <f>'Part I-Project Information'!O87</f>
        <v>0</v>
      </c>
    </row>
    <row r="117" spans="1:15" ht="13.15" customHeight="1">
      <c r="C117" s="748" t="s">
        <v>1033</v>
      </c>
      <c r="E117" s="748">
        <f>'Part I-Project Information'!E88</f>
        <v>0</v>
      </c>
      <c r="H117" s="748" t="s">
        <v>3068</v>
      </c>
      <c r="I117" s="748">
        <f>'Part I-Project Information'!I88</f>
        <v>0</v>
      </c>
      <c r="J117" s="748" t="s">
        <v>3562</v>
      </c>
      <c r="K117" s="748">
        <f>'Part I-Project Information'!K88</f>
        <v>0</v>
      </c>
    </row>
    <row r="118" spans="1:15" ht="13.15" customHeight="1">
      <c r="C118" s="748" t="s">
        <v>3180</v>
      </c>
      <c r="E118" s="748">
        <f>'Part I-Project Information'!E89</f>
        <v>0</v>
      </c>
      <c r="H118" s="748" t="s">
        <v>2997</v>
      </c>
      <c r="I118" s="748">
        <f>'Part I-Project Information'!I89</f>
        <v>0</v>
      </c>
      <c r="L118" s="748" t="s">
        <v>3110</v>
      </c>
      <c r="M118" s="748">
        <f>'Part I-Project Information'!M89</f>
        <v>0</v>
      </c>
    </row>
    <row r="119" spans="1:15" ht="13.15" customHeight="1">
      <c r="C119" s="748" t="s">
        <v>3179</v>
      </c>
      <c r="E119" s="748">
        <f>'Part I-Project Information'!E90</f>
        <v>0</v>
      </c>
      <c r="H119" s="748" t="s">
        <v>2958</v>
      </c>
      <c r="I119" s="748">
        <f>'Part I-Project Information'!I90</f>
        <v>0</v>
      </c>
      <c r="K119" s="748" t="s">
        <v>2959</v>
      </c>
      <c r="L119" s="748">
        <f>'Part I-Project Information'!L90</f>
        <v>0</v>
      </c>
      <c r="N119" s="748" t="s">
        <v>2996</v>
      </c>
      <c r="O119" s="748">
        <f>'Part I-Project Information'!O90</f>
        <v>0</v>
      </c>
    </row>
    <row r="120" spans="1:15" ht="3" customHeight="1"/>
    <row r="121" spans="1:15" ht="13.15" customHeight="1">
      <c r="A121" s="748" t="s">
        <v>601</v>
      </c>
      <c r="C121" s="748" t="s">
        <v>2526</v>
      </c>
    </row>
    <row r="122" spans="1:15" ht="3.4" customHeight="1"/>
    <row r="123" spans="1:15" ht="13.15" customHeight="1">
      <c r="C123" s="748" t="s">
        <v>3361</v>
      </c>
    </row>
    <row r="124" spans="1:15" ht="4.9000000000000004" customHeight="1"/>
    <row r="125" spans="1:15" ht="13.15" customHeight="1">
      <c r="B125" s="748" t="s">
        <v>3000</v>
      </c>
      <c r="C125" s="748" t="s">
        <v>2153</v>
      </c>
      <c r="H125" s="748">
        <f>'Part I-Project Information'!H96</f>
        <v>1</v>
      </c>
    </row>
    <row r="126" spans="1:15" ht="3.4" customHeight="1"/>
    <row r="127" spans="1:15" ht="13.15" customHeight="1">
      <c r="B127" s="748" t="s">
        <v>3112</v>
      </c>
      <c r="C127" s="748" t="s">
        <v>653</v>
      </c>
      <c r="H127" s="748">
        <f>'Part I-Project Information'!H98</f>
        <v>752409</v>
      </c>
    </row>
    <row r="128" spans="1:15" ht="3.4" customHeight="1"/>
    <row r="129" spans="2:13" ht="13.15" customHeight="1">
      <c r="B129" s="748" t="s">
        <v>1517</v>
      </c>
      <c r="C129" s="748" t="s">
        <v>528</v>
      </c>
    </row>
    <row r="130" spans="2:13" ht="13.15" customHeight="1">
      <c r="C130" s="748" t="s">
        <v>3379</v>
      </c>
      <c r="F130" s="748" t="s">
        <v>1783</v>
      </c>
      <c r="J130" s="748" t="s">
        <v>3379</v>
      </c>
      <c r="M130" s="748" t="s">
        <v>1783</v>
      </c>
    </row>
    <row r="131" spans="2:13" ht="13.15" customHeight="1">
      <c r="C131" s="748" t="str">
        <f>'Part I-Project Information'!C102</f>
        <v>Nicholas Sherman</v>
      </c>
      <c r="F131" s="748" t="str">
        <f>'Part I-Project Information'!F102</f>
        <v>Endeavor Pointe</v>
      </c>
      <c r="J131" s="748">
        <f>'Part I-Project Information'!J102</f>
        <v>8</v>
      </c>
      <c r="M131" s="748">
        <f>'Part I-Project Information'!M102</f>
        <v>0</v>
      </c>
    </row>
    <row r="132" spans="2:13" ht="13.15" customHeight="1">
      <c r="C132" s="748" t="str">
        <f>'Part I-Project Information'!C103</f>
        <v xml:space="preserve"> </v>
      </c>
      <c r="F132" s="748" t="str">
        <f>'Part I-Project Information'!F103</f>
        <v xml:space="preserve"> </v>
      </c>
      <c r="J132" s="748">
        <f>'Part I-Project Information'!J103</f>
        <v>9</v>
      </c>
      <c r="M132" s="748">
        <f>'Part I-Project Information'!M103</f>
        <v>0</v>
      </c>
    </row>
    <row r="133" spans="2:13" ht="13.15" customHeight="1">
      <c r="C133" s="748" t="str">
        <f>'Part I-Project Information'!C104</f>
        <v>Tower Management Company, Inc.</v>
      </c>
      <c r="F133" s="748" t="str">
        <f>'Part I-Project Information'!F104</f>
        <v>Endeavor Pointe</v>
      </c>
      <c r="J133" s="748">
        <f>'Part I-Project Information'!J104</f>
        <v>10</v>
      </c>
      <c r="M133" s="748">
        <f>'Part I-Project Information'!M104</f>
        <v>0</v>
      </c>
    </row>
    <row r="134" spans="2:13" ht="13.15" customHeight="1">
      <c r="C134" s="748" t="str">
        <f>'Part I-Project Information'!C105</f>
        <v xml:space="preserve"> </v>
      </c>
      <c r="F134" s="748" t="str">
        <f>'Part I-Project Information'!F105</f>
        <v xml:space="preserve"> </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3316</v>
      </c>
      <c r="C139" s="748" t="s">
        <v>2797</v>
      </c>
    </row>
    <row r="140" spans="2:13" ht="13.15" customHeight="1"/>
    <row r="141" spans="2:13" ht="13.15" customHeight="1">
      <c r="C141" s="748" t="s">
        <v>3379</v>
      </c>
      <c r="F141" s="748" t="s">
        <v>1783</v>
      </c>
      <c r="J141" s="748" t="s">
        <v>3379</v>
      </c>
      <c r="M141" s="748" t="s">
        <v>1783</v>
      </c>
    </row>
    <row r="142" spans="2:13" ht="13.15" customHeight="1">
      <c r="C142" s="748" t="str">
        <f>'Part I-Project Information'!C113</f>
        <v>Nicholas Sherman</v>
      </c>
      <c r="F142" s="748" t="str">
        <f>'Part I-Project Information'!F113</f>
        <v xml:space="preserve">Endeavor Pointe </v>
      </c>
      <c r="J142" s="748">
        <f>'Part I-Project Information'!J113</f>
        <v>8</v>
      </c>
      <c r="M142" s="748">
        <f>'Part I-Project Information'!M113</f>
        <v>0</v>
      </c>
    </row>
    <row r="143" spans="2:13" ht="13.15" customHeight="1">
      <c r="C143" s="748" t="str">
        <f>'Part I-Project Information'!C114</f>
        <v xml:space="preserve"> </v>
      </c>
      <c r="F143" s="748" t="str">
        <f>'Part I-Project Information'!F114</f>
        <v xml:space="preserve"> </v>
      </c>
      <c r="J143" s="748">
        <f>'Part I-Project Information'!J114</f>
        <v>9</v>
      </c>
      <c r="M143" s="748">
        <f>'Part I-Project Information'!M114</f>
        <v>0</v>
      </c>
    </row>
    <row r="144" spans="2:13" ht="13.15" customHeight="1">
      <c r="C144" s="748" t="str">
        <f>'Part I-Project Information'!C115</f>
        <v>Tower Management Company, Inc.</v>
      </c>
      <c r="F144" s="748" t="str">
        <f>'Part I-Project Information'!F115</f>
        <v xml:space="preserve">Endeavor Pointe </v>
      </c>
      <c r="J144" s="748">
        <f>'Part I-Project Information'!J115</f>
        <v>10</v>
      </c>
      <c r="M144" s="748">
        <f>'Part I-Project Information'!M115</f>
        <v>0</v>
      </c>
    </row>
    <row r="145" spans="1:15" ht="13.15" customHeight="1">
      <c r="C145" s="748" t="str">
        <f>'Part I-Project Information'!C116</f>
        <v xml:space="preserve"> </v>
      </c>
      <c r="F145" s="748" t="str">
        <f>'Part I-Project Information'!F116</f>
        <v xml:space="preserve"> </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4" customHeight="1"/>
    <row r="150" spans="1:15" ht="13.15" customHeight="1">
      <c r="A150" s="748" t="s">
        <v>602</v>
      </c>
      <c r="C150" s="748" t="s">
        <v>3789</v>
      </c>
      <c r="H150" s="748" t="str">
        <f>'Part I-Project Information'!H121</f>
        <v>No</v>
      </c>
    </row>
    <row r="151" spans="1:15" ht="3" customHeight="1"/>
    <row r="152" spans="1:15" ht="13.15" customHeight="1">
      <c r="B152" s="748" t="s">
        <v>3000</v>
      </c>
      <c r="C152" s="748" t="s">
        <v>2871</v>
      </c>
      <c r="H152" s="748" t="str">
        <f>'Part I-Project Information'!H123</f>
        <v>No</v>
      </c>
    </row>
    <row r="153" spans="1:15" ht="13.15" customHeight="1">
      <c r="C153" s="748" t="s">
        <v>3791</v>
      </c>
      <c r="H153" s="748">
        <f>'Part I-Project Information'!H124</f>
        <v>0</v>
      </c>
    </row>
    <row r="154" spans="1:15" ht="13.15" customHeight="1">
      <c r="C154" s="748" t="s">
        <v>2870</v>
      </c>
      <c r="H154" s="748">
        <f>'Part I-Project Information'!H125</f>
        <v>0</v>
      </c>
    </row>
    <row r="155" spans="1:15" ht="13.15" customHeight="1">
      <c r="C155" s="748" t="s">
        <v>3792</v>
      </c>
      <c r="H155" s="748">
        <f>'Part I-Project Information'!H126</f>
        <v>0</v>
      </c>
      <c r="K155" s="748" t="s">
        <v>3587</v>
      </c>
      <c r="O155" s="748" t="str">
        <f>'Part I-Project Information'!O126</f>
        <v>GA-</v>
      </c>
    </row>
    <row r="156" spans="1:15" ht="13.15" customHeight="1">
      <c r="C156" s="748" t="s">
        <v>3790</v>
      </c>
      <c r="H156" s="748">
        <f>'Part I-Project Information'!H127</f>
        <v>0</v>
      </c>
      <c r="K156" s="748" t="s">
        <v>3643</v>
      </c>
      <c r="O156" s="748" t="str">
        <f>'Part I-Project Information'!O127</f>
        <v>GA-</v>
      </c>
    </row>
    <row r="157" spans="1:15" ht="13.15" customHeight="1">
      <c r="C157" s="748" t="s">
        <v>3498</v>
      </c>
      <c r="H157" s="748">
        <f>'Part I-Project Information'!H128</f>
        <v>0</v>
      </c>
    </row>
    <row r="158" spans="1:15" ht="3" customHeight="1"/>
    <row r="159" spans="1:15" ht="13.15" customHeight="1">
      <c r="B159" s="748" t="s">
        <v>3112</v>
      </c>
      <c r="C159" s="748" t="s">
        <v>3950</v>
      </c>
      <c r="H159" s="748" t="str">
        <f>'Part I-Project Information'!H130</f>
        <v>No</v>
      </c>
    </row>
    <row r="160" spans="1:15" ht="3" customHeight="1"/>
    <row r="161" spans="1:16" ht="13.15" customHeight="1">
      <c r="B161" s="748" t="s">
        <v>1517</v>
      </c>
      <c r="C161" s="748" t="s">
        <v>1346</v>
      </c>
    </row>
    <row r="162" spans="1:16" ht="13.15" customHeight="1">
      <c r="C162" s="748" t="s">
        <v>4117</v>
      </c>
      <c r="H162" s="748" t="str">
        <f>'Part I-Project Information'!H133</f>
        <v>No</v>
      </c>
      <c r="K162" s="748" t="s">
        <v>2557</v>
      </c>
      <c r="O162" s="748" t="str">
        <f>'Part I-Project Information'!O133</f>
        <v>No</v>
      </c>
    </row>
    <row r="163" spans="1:16" ht="13.15" customHeight="1">
      <c r="C163" s="748" t="s">
        <v>4118</v>
      </c>
      <c r="H163" s="748" t="str">
        <f>'Part I-Project Information'!H134</f>
        <v>No</v>
      </c>
    </row>
    <row r="164" spans="1:16" ht="6" customHeight="1"/>
    <row r="165" spans="1:16" ht="13.15" customHeight="1">
      <c r="A165" s="748" t="s">
        <v>603</v>
      </c>
      <c r="C165" s="748" t="s">
        <v>1840</v>
      </c>
    </row>
    <row r="166" spans="1:16" ht="1.9" customHeight="1"/>
    <row r="167" spans="1:16" ht="13.15" customHeight="1">
      <c r="B167" s="748" t="s">
        <v>3000</v>
      </c>
      <c r="C167" s="748" t="s">
        <v>2883</v>
      </c>
    </row>
    <row r="168" spans="1:16" ht="12.4" customHeight="1">
      <c r="C168" s="748" t="s">
        <v>2333</v>
      </c>
      <c r="K168" s="748" t="str">
        <f>'Part I-Project Information'!K139</f>
        <v>No</v>
      </c>
    </row>
    <row r="169" spans="1:16" ht="12.4" customHeight="1">
      <c r="C169" s="748" t="s">
        <v>1125</v>
      </c>
      <c r="K169" s="748">
        <f>'Part I-Project Information'!K140</f>
        <v>0</v>
      </c>
      <c r="L169" s="748" t="s">
        <v>2953</v>
      </c>
      <c r="P169" s="748">
        <f>IF('Part VI-Revenues &amp; Expenses'!$M$61=0,0,$K169/'Part VI-Revenues &amp; Expenses'!$M$61)</f>
        <v>0</v>
      </c>
    </row>
    <row r="170" spans="1:16" ht="12.4" customHeight="1">
      <c r="C170" s="748" t="s">
        <v>3395</v>
      </c>
      <c r="K170" s="748">
        <f>'Part I-Project Information'!K141</f>
        <v>0</v>
      </c>
      <c r="L170" s="748" t="s">
        <v>2953</v>
      </c>
      <c r="P170" s="748">
        <f>IF('Part VI-Revenues &amp; Expenses'!$M$61=0,0,$K170/'Part VI-Revenues &amp; Expenses'!$M$61)</f>
        <v>0</v>
      </c>
    </row>
    <row r="171" spans="1:16" ht="12.4" customHeight="1">
      <c r="C171" s="748" t="s">
        <v>2954</v>
      </c>
      <c r="E171" s="748">
        <f>'Part I-Project Information'!E142</f>
        <v>0</v>
      </c>
      <c r="L171" s="748" t="s">
        <v>2955</v>
      </c>
      <c r="M171" s="748">
        <f>'Part I-Project Information'!M142</f>
        <v>0</v>
      </c>
    </row>
    <row r="172" spans="1:16" ht="12.4" customHeight="1">
      <c r="C172" s="748" t="s">
        <v>3067</v>
      </c>
      <c r="E172" s="748">
        <f>'Part I-Project Information'!E143</f>
        <v>0</v>
      </c>
      <c r="L172" s="748" t="s">
        <v>2956</v>
      </c>
      <c r="M172" s="748">
        <f>'Part I-Project Information'!M143</f>
        <v>0</v>
      </c>
    </row>
    <row r="173" spans="1:16" ht="12.4" customHeight="1">
      <c r="C173" s="748" t="s">
        <v>1033</v>
      </c>
      <c r="E173" s="748">
        <f>'Part I-Project Information'!E144</f>
        <v>0</v>
      </c>
      <c r="I173" s="748" t="s">
        <v>3562</v>
      </c>
      <c r="J173" s="748">
        <f>'Part I-Project Information'!J144</f>
        <v>0</v>
      </c>
      <c r="L173" s="748" t="s">
        <v>2959</v>
      </c>
      <c r="M173" s="748">
        <f>'Part I-Project Information'!M144</f>
        <v>0</v>
      </c>
    </row>
    <row r="174" spans="1:16" ht="12.4" customHeight="1">
      <c r="C174" s="748" t="s">
        <v>2957</v>
      </c>
      <c r="E174" s="748">
        <f>'Part I-Project Information'!E145</f>
        <v>0</v>
      </c>
      <c r="H174" s="748" t="s">
        <v>2958</v>
      </c>
      <c r="I174" s="748">
        <f>'Part I-Project Information'!I145</f>
        <v>0</v>
      </c>
      <c r="L174" s="748" t="s">
        <v>2996</v>
      </c>
      <c r="M174" s="748">
        <f>'Part I-Project Information'!M145</f>
        <v>0</v>
      </c>
    </row>
    <row r="175" spans="1:16" ht="1.9" customHeight="1"/>
    <row r="176" spans="1:16" ht="12.4" customHeight="1">
      <c r="B176" s="748" t="s">
        <v>3112</v>
      </c>
      <c r="C176" s="748" t="s">
        <v>2321</v>
      </c>
      <c r="I176" s="748">
        <f>'Part I-Project Information'!I147</f>
        <v>0</v>
      </c>
      <c r="J176" s="748" t="s">
        <v>1647</v>
      </c>
      <c r="L176" s="748" t="str">
        <f>'Part I-Project Information'!L147</f>
        <v xml:space="preserve"> </v>
      </c>
      <c r="M176" s="748" t="s">
        <v>3552</v>
      </c>
      <c r="P176" s="748" t="str">
        <f>'Part I-Project Information'!P147</f>
        <v xml:space="preserve"> </v>
      </c>
    </row>
    <row r="177" spans="2:16" ht="1.9" customHeight="1"/>
    <row r="178" spans="2:16" ht="12.4" customHeight="1">
      <c r="B178" s="748" t="s">
        <v>1517</v>
      </c>
      <c r="C178" s="748" t="s">
        <v>2924</v>
      </c>
      <c r="I178" s="748" t="str">
        <f>'Part I-Project Information'!I149</f>
        <v>No</v>
      </c>
    </row>
    <row r="179" spans="2:16" ht="1.9" customHeight="1"/>
    <row r="180" spans="2:16" ht="12.4" customHeight="1">
      <c r="B180" s="748" t="s">
        <v>3316</v>
      </c>
      <c r="C180" s="748" t="s">
        <v>2995</v>
      </c>
      <c r="I180" s="748" t="str">
        <f>'Part I-Project Information'!I151</f>
        <v>No</v>
      </c>
    </row>
    <row r="181" spans="2:16" ht="12.4" customHeight="1">
      <c r="C181" s="748" t="s">
        <v>2248</v>
      </c>
      <c r="I181" s="748">
        <f>'Part I-Project Information'!I152</f>
        <v>0</v>
      </c>
    </row>
    <row r="182" spans="2:16" ht="12.4" customHeight="1">
      <c r="C182" s="748" t="s">
        <v>1372</v>
      </c>
      <c r="I182" s="748">
        <f>'Part I-Project Information'!I153</f>
        <v>0</v>
      </c>
    </row>
    <row r="183" spans="2:16" ht="12.4" customHeight="1">
      <c r="C183" s="748" t="s">
        <v>2949</v>
      </c>
      <c r="I183" s="748" t="e">
        <f>IF(I181="","",I182/I181)</f>
        <v>#DIV/0!</v>
      </c>
    </row>
    <row r="184" spans="2:16" ht="1.9" customHeight="1"/>
    <row r="185" spans="2:16" ht="13.15" customHeight="1">
      <c r="B185" s="748" t="s">
        <v>2901</v>
      </c>
      <c r="C185" s="748" t="s">
        <v>2322</v>
      </c>
    </row>
    <row r="186" spans="2:16" ht="12.4" customHeight="1">
      <c r="C186" s="748" t="s">
        <v>3430</v>
      </c>
      <c r="I186" s="748" t="str">
        <f>'Part I-Project Information'!I157</f>
        <v>No</v>
      </c>
      <c r="L186" s="748" t="s">
        <v>3429</v>
      </c>
      <c r="P186" s="748" t="str">
        <f>'Part I-Project Information'!P157</f>
        <v>No</v>
      </c>
    </row>
    <row r="187" spans="2:16" ht="12.4" customHeight="1">
      <c r="C187" s="748" t="s">
        <v>3534</v>
      </c>
      <c r="I187" s="748" t="str">
        <f>'Part I-Project Information'!I158</f>
        <v>No</v>
      </c>
      <c r="L187" s="748" t="s">
        <v>2409</v>
      </c>
      <c r="P187" s="748" t="str">
        <f>'Part I-Project Information'!P158</f>
        <v>No</v>
      </c>
    </row>
    <row r="188" spans="2:16" ht="12.4" customHeight="1">
      <c r="C188" s="748" t="s">
        <v>2135</v>
      </c>
      <c r="I188" s="748" t="str">
        <f>'Part I-Project Information'!I159</f>
        <v>No</v>
      </c>
      <c r="L188" s="748" t="s">
        <v>2529</v>
      </c>
      <c r="P188" s="748" t="str">
        <f>'Part I-Project Information'!P159</f>
        <v>No</v>
      </c>
    </row>
    <row r="189" spans="2:16" ht="12.4" customHeight="1">
      <c r="C189" s="748" t="s">
        <v>2408</v>
      </c>
      <c r="I189" s="748" t="str">
        <f>'Part I-Project Information'!I160</f>
        <v>Yes</v>
      </c>
      <c r="L189" s="748" t="s">
        <v>2435</v>
      </c>
      <c r="P189" s="748" t="str">
        <f>'Part I-Project Information'!P160</f>
        <v>No</v>
      </c>
    </row>
    <row r="190" spans="2:16" ht="12.4" customHeight="1">
      <c r="C190" s="748" t="s">
        <v>2533</v>
      </c>
      <c r="I190" s="748" t="str">
        <f>'Part I-Project Information'!I161</f>
        <v>No</v>
      </c>
    </row>
    <row r="191" spans="2:16" ht="12.4" customHeight="1">
      <c r="C191" s="748" t="s">
        <v>2969</v>
      </c>
      <c r="I191" s="748" t="str">
        <f>'Part I-Project Information'!I162</f>
        <v>No</v>
      </c>
      <c r="J191" s="748" t="s">
        <v>3586</v>
      </c>
      <c r="O191" s="748">
        <f>'Part I-Project Information'!O162</f>
        <v>0</v>
      </c>
    </row>
    <row r="192" spans="2:16" ht="12.4" customHeight="1">
      <c r="C192" s="748" t="s">
        <v>3597</v>
      </c>
      <c r="E192" s="748">
        <f>'Part I-Project Information'!E163</f>
        <v>0</v>
      </c>
      <c r="I192" s="748" t="str">
        <f>'Part I-Project Information'!I163</f>
        <v>No</v>
      </c>
    </row>
    <row r="193" spans="1:12" ht="1.9" customHeight="1"/>
    <row r="194" spans="1:12" ht="13.15" customHeight="1">
      <c r="B194" s="748" t="s">
        <v>2902</v>
      </c>
      <c r="C194" s="748" t="s">
        <v>1240</v>
      </c>
    </row>
    <row r="195" spans="1:12" ht="12.4" customHeight="1">
      <c r="C195" s="748" t="s">
        <v>1045</v>
      </c>
      <c r="I195" s="748">
        <f>'Part I-Project Information'!I166</f>
        <v>0</v>
      </c>
    </row>
    <row r="196" spans="1:12" ht="12.4" customHeight="1">
      <c r="C196" s="748" t="s">
        <v>403</v>
      </c>
      <c r="I196" s="748">
        <f>'Part I-Project Information'!I167</f>
        <v>0</v>
      </c>
    </row>
    <row r="197" spans="1:12" ht="12.4" customHeight="1">
      <c r="C197" s="748" t="s">
        <v>3709</v>
      </c>
      <c r="I197" s="748">
        <f>'Part I-Project Information'!I168</f>
        <v>41639</v>
      </c>
    </row>
    <row r="198" spans="1:12" ht="1.9" customHeight="1"/>
    <row r="199" spans="1:12" ht="12" customHeight="1">
      <c r="A199" s="748" t="s">
        <v>2891</v>
      </c>
      <c r="C199" s="748" t="s">
        <v>953</v>
      </c>
      <c r="K199" s="748" t="s">
        <v>3648</v>
      </c>
      <c r="L199" s="748" t="s">
        <v>224</v>
      </c>
    </row>
    <row r="200" spans="1:12" ht="38.65" customHeight="1">
      <c r="A200" s="748" t="str">
        <f>'Part I-Project Information'!A171</f>
        <v xml:space="preserve">Project is located in Rock Spring, GA which is approximately 8 miles north of Lafayette and in an unincorporated part of Walker County.  Nine digit zip code unavailable, as the site has no street address number.  Since Rock Spring was not an option in the Cities list, we put LaFayette </v>
      </c>
      <c r="K200" s="748">
        <f>'Part I-Project Information'!K171</f>
        <v>0</v>
      </c>
    </row>
    <row r="201" spans="1:12" ht="38.65" customHeight="1">
      <c r="A201" s="748" t="str">
        <f>'Part I-Project Information'!A172</f>
        <v xml:space="preserve">Nicholas Sherman is an inexperienced owner/developer and will be a principal of both GP and Developer entities together with Tower Management Company, Inc.(solely owned by Cheryl Murphy).  Tower is an experienced o/d/m. </v>
      </c>
      <c r="K201" s="748">
        <f>'Part I-Project Information'!K172</f>
        <v>0</v>
      </c>
    </row>
    <row r="202" spans="1:12" ht="38.65" customHeight="1">
      <c r="A202" s="748" t="str">
        <f>'Part I-Project Information'!A173</f>
        <v>Non residential building listed above is 1,949 SF clubhouse building.  With respect to waivers, we selected 'Yes' to Qualification Determination as we were determined to be qualified without conditions during 2011 pre app process.</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2011-028 Endeavor Pointe, , City of Cairo Development Authority County</v>
      </c>
    </row>
    <row r="206" spans="1:12" ht="12" customHeight="1"/>
    <row r="207" spans="1:12" ht="13.15" customHeight="1">
      <c r="A207" s="748" t="s">
        <v>1126</v>
      </c>
      <c r="B207" s="748" t="s">
        <v>3080</v>
      </c>
    </row>
    <row r="208" spans="1:12" ht="8.65" customHeight="1"/>
    <row r="209" spans="2:17" ht="12.4" customHeight="1">
      <c r="B209" s="748" t="s">
        <v>3000</v>
      </c>
      <c r="C209" s="748" t="s">
        <v>3076</v>
      </c>
      <c r="H209" s="748" t="str">
        <f>'Part II-Development Team'!H5</f>
        <v>Endeavor Pointe L.P.</v>
      </c>
      <c r="O209" s="748" t="s">
        <v>3116</v>
      </c>
      <c r="Q209" s="748" t="str">
        <f>'Part II-Development Team'!Q5</f>
        <v>Nick Sherman</v>
      </c>
    </row>
    <row r="210" spans="2:17" ht="12.4" customHeight="1">
      <c r="E210" s="748" t="s">
        <v>1670</v>
      </c>
      <c r="H210" s="748" t="str">
        <f>'Part II-Development Team'!H6</f>
        <v>1341 Cassville Road, NW</v>
      </c>
      <c r="O210" s="748" t="s">
        <v>2913</v>
      </c>
      <c r="Q210" s="748" t="str">
        <f>'Part II-Development Team'!Q6</f>
        <v>Member</v>
      </c>
    </row>
    <row r="211" spans="2:17" ht="12.4" customHeight="1">
      <c r="E211" s="748" t="s">
        <v>1033</v>
      </c>
      <c r="H211" s="748" t="str">
        <f>'Part II-Development Team'!H7</f>
        <v>Cartersville</v>
      </c>
      <c r="K211" s="748" t="s">
        <v>1648</v>
      </c>
      <c r="L211" s="748" t="str">
        <f>'Part II-Development Team'!L7</f>
        <v>TBD</v>
      </c>
      <c r="O211" s="748" t="s">
        <v>2959</v>
      </c>
      <c r="Q211" s="748">
        <f>'Part II-Development Team'!Q7</f>
        <v>4042196953</v>
      </c>
    </row>
    <row r="212" spans="2:17" ht="12.4" customHeight="1">
      <c r="E212" s="748" t="s">
        <v>3068</v>
      </c>
      <c r="H212" s="748" t="str">
        <f>'Part II-Development Team'!H8</f>
        <v>GA</v>
      </c>
      <c r="I212" s="748" t="s">
        <v>4119</v>
      </c>
      <c r="J212" s="748">
        <f>'Part II-Development Team'!J8</f>
        <v>301204886</v>
      </c>
      <c r="L212" s="748" t="s">
        <v>4120</v>
      </c>
      <c r="N212" s="748">
        <f>'Part II-Development Team'!N8</f>
        <v>11</v>
      </c>
      <c r="O212" s="748" t="s">
        <v>2996</v>
      </c>
      <c r="Q212" s="748">
        <f>'Part II-Development Team'!Q8</f>
        <v>4042196953</v>
      </c>
    </row>
    <row r="213" spans="2:17" ht="12.4" customHeight="1">
      <c r="E213" s="748" t="s">
        <v>3111</v>
      </c>
      <c r="H213" s="748">
        <f>'Part II-Development Team'!H9</f>
        <v>4042196953</v>
      </c>
      <c r="J213" s="748">
        <f>'Part II-Development Team'!J9</f>
        <v>0</v>
      </c>
      <c r="K213" s="748" t="s">
        <v>2958</v>
      </c>
      <c r="L213" s="748">
        <f>'Part II-Development Team'!L9</f>
        <v>6786051846</v>
      </c>
      <c r="N213" s="748" t="s">
        <v>3110</v>
      </c>
      <c r="O213" s="748" t="str">
        <f>'Part II-Development Team'!O9</f>
        <v>nicholassherman@me.com</v>
      </c>
    </row>
    <row r="214" spans="2:17" ht="13.15" customHeight="1">
      <c r="E214" s="748" t="s">
        <v>1217</v>
      </c>
      <c r="L214" s="748" t="s">
        <v>1227</v>
      </c>
    </row>
    <row r="215" spans="2:17" ht="4.1500000000000004" customHeight="1"/>
    <row r="216" spans="2:17" ht="13.15" customHeight="1">
      <c r="B216" s="748" t="s">
        <v>3112</v>
      </c>
      <c r="C216" s="748" t="s">
        <v>3077</v>
      </c>
      <c r="L216" s="748" t="s">
        <v>1984</v>
      </c>
      <c r="O216" s="748" t="s">
        <v>1985</v>
      </c>
    </row>
    <row r="217" spans="2:17" ht="4.1500000000000004" customHeight="1"/>
    <row r="218" spans="2:17" ht="13.15" customHeight="1">
      <c r="C218" s="748" t="s">
        <v>3113</v>
      </c>
      <c r="D218" s="748" t="s">
        <v>3114</v>
      </c>
      <c r="L218" s="748" t="s">
        <v>2241</v>
      </c>
      <c r="O218" s="748" t="s">
        <v>2137</v>
      </c>
    </row>
    <row r="219" spans="2:17" ht="4.1500000000000004" customHeight="1"/>
    <row r="220" spans="2:17" ht="12.4" customHeight="1">
      <c r="D220" s="748" t="s">
        <v>3317</v>
      </c>
      <c r="E220" s="748" t="s">
        <v>3078</v>
      </c>
      <c r="H220" s="748" t="str">
        <f>'Part II-Development Team'!H16</f>
        <v>Endeavor Pointe GP LLC</v>
      </c>
      <c r="O220" s="748" t="s">
        <v>3116</v>
      </c>
      <c r="Q220" s="748" t="str">
        <f>'Part II-Development Team'!Q16</f>
        <v>Nick Sherman</v>
      </c>
    </row>
    <row r="221" spans="2:17" ht="12.4" customHeight="1">
      <c r="E221" s="748" t="s">
        <v>1670</v>
      </c>
      <c r="H221" s="748" t="str">
        <f>'Part II-Development Team'!H17</f>
        <v>1341 Cassville Road, NW</v>
      </c>
      <c r="O221" s="748" t="s">
        <v>2913</v>
      </c>
      <c r="Q221" s="748" t="str">
        <f>'Part II-Development Team'!Q17</f>
        <v>Member</v>
      </c>
    </row>
    <row r="222" spans="2:17" ht="12.4" customHeight="1">
      <c r="E222" s="748" t="s">
        <v>1033</v>
      </c>
      <c r="H222" s="748" t="str">
        <f>'Part II-Development Team'!H18</f>
        <v>Cartersville</v>
      </c>
      <c r="O222" s="748" t="s">
        <v>2959</v>
      </c>
      <c r="Q222" s="748">
        <f>'Part II-Development Team'!Q18</f>
        <v>4042196953</v>
      </c>
    </row>
    <row r="223" spans="2:17" ht="12.4" customHeight="1">
      <c r="E223" s="748" t="s">
        <v>3068</v>
      </c>
      <c r="H223" s="748" t="str">
        <f>'Part II-Development Team'!H19</f>
        <v>GA</v>
      </c>
      <c r="I223" s="748" t="s">
        <v>4119</v>
      </c>
      <c r="J223" s="748">
        <f>'Part II-Development Team'!J19</f>
        <v>301204886</v>
      </c>
      <c r="L223" s="748" t="s">
        <v>4120</v>
      </c>
      <c r="N223" s="748">
        <f>'Part II-Development Team'!N19</f>
        <v>11</v>
      </c>
      <c r="O223" s="748" t="s">
        <v>2996</v>
      </c>
      <c r="Q223" s="748">
        <f>'Part II-Development Team'!Q19</f>
        <v>4042196953</v>
      </c>
    </row>
    <row r="224" spans="2:17" ht="12.4" customHeight="1">
      <c r="E224" s="748" t="s">
        <v>3111</v>
      </c>
      <c r="H224" s="748">
        <f>'Part II-Development Team'!H20</f>
        <v>4042196953</v>
      </c>
      <c r="J224" s="748">
        <f>'Part II-Development Team'!J20</f>
        <v>0</v>
      </c>
      <c r="K224" s="748" t="s">
        <v>2958</v>
      </c>
      <c r="L224" s="748">
        <f>'Part II-Development Team'!L20</f>
        <v>6786051846</v>
      </c>
      <c r="N224" s="748" t="s">
        <v>3110</v>
      </c>
      <c r="O224" s="748" t="str">
        <f>'Part II-Development Team'!O20</f>
        <v>nicholassherman@me.com</v>
      </c>
    </row>
    <row r="225" spans="3:17" ht="4.1500000000000004" customHeight="1"/>
    <row r="226" spans="3:17" ht="12.4" customHeight="1">
      <c r="D226" s="748" t="s">
        <v>3431</v>
      </c>
      <c r="E226" s="748" t="s">
        <v>3079</v>
      </c>
      <c r="H226" s="748">
        <f>'Part II-Development Team'!H22</f>
        <v>0</v>
      </c>
      <c r="O226" s="748" t="s">
        <v>3116</v>
      </c>
      <c r="Q226" s="748">
        <f>'Part II-Development Team'!Q22</f>
        <v>0</v>
      </c>
    </row>
    <row r="227" spans="3:17" ht="12.4" customHeight="1">
      <c r="E227" s="748" t="s">
        <v>1670</v>
      </c>
      <c r="H227" s="748">
        <f>'Part II-Development Team'!H23</f>
        <v>0</v>
      </c>
      <c r="O227" s="748" t="s">
        <v>2913</v>
      </c>
      <c r="Q227" s="748">
        <f>'Part II-Development Team'!Q23</f>
        <v>0</v>
      </c>
    </row>
    <row r="228" spans="3:17" ht="12.4" customHeight="1">
      <c r="E228" s="748" t="s">
        <v>1033</v>
      </c>
      <c r="H228" s="748">
        <f>'Part II-Development Team'!H24</f>
        <v>0</v>
      </c>
      <c r="O228" s="748" t="s">
        <v>2959</v>
      </c>
      <c r="Q228" s="748">
        <f>'Part II-Development Team'!Q24</f>
        <v>0</v>
      </c>
    </row>
    <row r="229" spans="3:17" ht="12.4" customHeight="1">
      <c r="E229" s="748" t="s">
        <v>3068</v>
      </c>
      <c r="H229" s="748">
        <f>'Part II-Development Team'!H25</f>
        <v>0</v>
      </c>
      <c r="I229" s="748" t="s">
        <v>3562</v>
      </c>
      <c r="J229" s="748">
        <f>'Part II-Development Team'!J25</f>
        <v>0</v>
      </c>
      <c r="O229" s="748" t="s">
        <v>2996</v>
      </c>
      <c r="Q229" s="748">
        <f>'Part II-Development Team'!Q25</f>
        <v>0</v>
      </c>
    </row>
    <row r="230" spans="3:17" ht="12.4" customHeight="1">
      <c r="E230" s="748" t="s">
        <v>3111</v>
      </c>
      <c r="H230" s="748">
        <f>'Part II-Development Team'!H26</f>
        <v>0</v>
      </c>
      <c r="J230" s="748">
        <f>'Part II-Development Team'!J26</f>
        <v>0</v>
      </c>
      <c r="K230" s="748" t="s">
        <v>2958</v>
      </c>
      <c r="L230" s="748">
        <f>'Part II-Development Team'!L26</f>
        <v>0</v>
      </c>
      <c r="N230" s="748" t="s">
        <v>3110</v>
      </c>
      <c r="O230" s="748">
        <f>'Part II-Development Team'!O26</f>
        <v>0</v>
      </c>
    </row>
    <row r="231" spans="3:17" ht="4.1500000000000004" customHeight="1"/>
    <row r="232" spans="3:17" ht="12.4" customHeight="1">
      <c r="D232" s="748" t="s">
        <v>2900</v>
      </c>
      <c r="E232" s="748" t="s">
        <v>3079</v>
      </c>
      <c r="H232" s="748">
        <f>'Part II-Development Team'!H28</f>
        <v>0</v>
      </c>
      <c r="O232" s="748" t="s">
        <v>3116</v>
      </c>
      <c r="Q232" s="748">
        <f>'Part II-Development Team'!Q28</f>
        <v>0</v>
      </c>
    </row>
    <row r="233" spans="3:17" ht="12.4" customHeight="1">
      <c r="E233" s="748" t="s">
        <v>1670</v>
      </c>
      <c r="H233" s="748">
        <f>'Part II-Development Team'!H29</f>
        <v>0</v>
      </c>
      <c r="O233" s="748" t="s">
        <v>2913</v>
      </c>
      <c r="Q233" s="748">
        <f>'Part II-Development Team'!Q29</f>
        <v>0</v>
      </c>
    </row>
    <row r="234" spans="3:17" ht="12.4" customHeight="1">
      <c r="E234" s="748" t="s">
        <v>1033</v>
      </c>
      <c r="H234" s="748">
        <f>'Part II-Development Team'!H30</f>
        <v>0</v>
      </c>
      <c r="O234" s="748" t="s">
        <v>2959</v>
      </c>
      <c r="Q234" s="748">
        <f>'Part II-Development Team'!Q30</f>
        <v>0</v>
      </c>
    </row>
    <row r="235" spans="3:17" ht="12.4" customHeight="1">
      <c r="E235" s="748" t="s">
        <v>3068</v>
      </c>
      <c r="H235" s="748">
        <f>'Part II-Development Team'!H31</f>
        <v>0</v>
      </c>
      <c r="I235" s="748" t="s">
        <v>3562</v>
      </c>
      <c r="J235" s="748">
        <f>'Part II-Development Team'!J31</f>
        <v>0</v>
      </c>
      <c r="O235" s="748" t="s">
        <v>2996</v>
      </c>
      <c r="Q235" s="748">
        <f>'Part II-Development Team'!Q31</f>
        <v>0</v>
      </c>
    </row>
    <row r="236" spans="3:17" ht="12.4" customHeight="1">
      <c r="E236" s="748" t="s">
        <v>3111</v>
      </c>
      <c r="H236" s="748">
        <f>'Part II-Development Team'!H32</f>
        <v>0</v>
      </c>
      <c r="J236" s="748">
        <f>'Part II-Development Team'!J32</f>
        <v>0</v>
      </c>
      <c r="K236" s="748" t="s">
        <v>2958</v>
      </c>
      <c r="L236" s="748">
        <f>'Part II-Development Team'!L32</f>
        <v>0</v>
      </c>
      <c r="N236" s="748" t="s">
        <v>3110</v>
      </c>
      <c r="O236" s="748">
        <f>'Part II-Development Team'!O32</f>
        <v>0</v>
      </c>
    </row>
    <row r="237" spans="3:17" ht="4.1500000000000004" customHeight="1"/>
    <row r="238" spans="3:17" ht="13.15" customHeight="1">
      <c r="C238" s="748" t="s">
        <v>3115</v>
      </c>
      <c r="D238" s="748" t="s">
        <v>3081</v>
      </c>
    </row>
    <row r="239" spans="3:17" ht="4.1500000000000004" customHeight="1"/>
    <row r="240" spans="3:17" ht="12.4" customHeight="1">
      <c r="D240" s="748" t="s">
        <v>3317</v>
      </c>
      <c r="E240" s="748" t="s">
        <v>1518</v>
      </c>
      <c r="H240" s="748" t="str">
        <f>'Part II-Development Team'!H36</f>
        <v>Alliant Capital, Ltd.</v>
      </c>
      <c r="O240" s="748" t="s">
        <v>3116</v>
      </c>
      <c r="Q240" s="748" t="str">
        <f>'Part II-Development Team'!Q36</f>
        <v>Dan Winters</v>
      </c>
    </row>
    <row r="241" spans="3:17" ht="12.4" customHeight="1">
      <c r="E241" s="748" t="s">
        <v>1670</v>
      </c>
      <c r="H241" s="748" t="str">
        <f>'Part II-Development Team'!H37</f>
        <v>340 Royal Ponciana Way Suite 305</v>
      </c>
      <c r="O241" s="748" t="s">
        <v>2913</v>
      </c>
      <c r="Q241" s="748" t="str">
        <f>'Part II-Development Team'!Q37</f>
        <v>VP Acquisitions</v>
      </c>
    </row>
    <row r="242" spans="3:17" ht="12.4" customHeight="1">
      <c r="E242" s="748" t="s">
        <v>1033</v>
      </c>
      <c r="H242" s="748" t="str">
        <f>'Part II-Development Team'!H38</f>
        <v>Palm Beach</v>
      </c>
      <c r="O242" s="748" t="s">
        <v>2959</v>
      </c>
      <c r="Q242" s="748">
        <f>'Part II-Development Team'!Q38</f>
        <v>7272442440</v>
      </c>
    </row>
    <row r="243" spans="3:17" ht="12.4" customHeight="1">
      <c r="E243" s="748" t="s">
        <v>3068</v>
      </c>
      <c r="H243" s="748" t="str">
        <f>'Part II-Development Team'!H39</f>
        <v>FL</v>
      </c>
      <c r="I243" s="748" t="s">
        <v>3562</v>
      </c>
      <c r="J243" s="748">
        <f>'Part II-Development Team'!J39</f>
        <v>334800000</v>
      </c>
      <c r="O243" s="748" t="s">
        <v>2996</v>
      </c>
      <c r="Q243" s="748">
        <f>'Part II-Development Team'!Q39</f>
        <v>7272442440</v>
      </c>
    </row>
    <row r="244" spans="3:17" ht="12.4" customHeight="1">
      <c r="E244" s="748" t="s">
        <v>3111</v>
      </c>
      <c r="H244" s="748">
        <f>'Part II-Development Team'!H40</f>
        <v>5618335795</v>
      </c>
      <c r="J244" s="748">
        <f>'Part II-Development Team'!J40</f>
        <v>0</v>
      </c>
      <c r="K244" s="748" t="s">
        <v>2958</v>
      </c>
      <c r="L244" s="748">
        <f>'Part II-Development Team'!L40</f>
        <v>5618333694</v>
      </c>
      <c r="N244" s="748" t="s">
        <v>3110</v>
      </c>
      <c r="O244" s="748" t="str">
        <f>'Part II-Development Team'!O40</f>
        <v>Daniel.Winters@alliantcapital.com</v>
      </c>
    </row>
    <row r="245" spans="3:17" ht="4.1500000000000004" customHeight="1"/>
    <row r="246" spans="3:17" ht="12.4" customHeight="1">
      <c r="D246" s="748" t="s">
        <v>3431</v>
      </c>
      <c r="E246" s="748" t="s">
        <v>1519</v>
      </c>
      <c r="H246" s="748" t="str">
        <f>'Part II-Development Team'!H42</f>
        <v>Alliant Capital, Ltd.</v>
      </c>
      <c r="O246" s="748" t="s">
        <v>3116</v>
      </c>
      <c r="Q246" s="748" t="str">
        <f>'Part II-Development Team'!Q42</f>
        <v>Dan Winters</v>
      </c>
    </row>
    <row r="247" spans="3:17" ht="12.4" customHeight="1">
      <c r="E247" s="748" t="s">
        <v>1670</v>
      </c>
      <c r="H247" s="748" t="str">
        <f>'Part II-Development Team'!H43</f>
        <v>340 Royal Ponciana Way</v>
      </c>
      <c r="O247" s="748" t="s">
        <v>2913</v>
      </c>
      <c r="Q247" s="748" t="str">
        <f>'Part II-Development Team'!Q43</f>
        <v>VP Acquisitions</v>
      </c>
    </row>
    <row r="248" spans="3:17" ht="12.4" customHeight="1">
      <c r="E248" s="748" t="s">
        <v>1033</v>
      </c>
      <c r="H248" s="748" t="str">
        <f>'Part II-Development Team'!H44</f>
        <v>Palm Beach</v>
      </c>
      <c r="O248" s="748" t="s">
        <v>2959</v>
      </c>
      <c r="Q248" s="748">
        <f>'Part II-Development Team'!Q44</f>
        <v>7272442440</v>
      </c>
    </row>
    <row r="249" spans="3:17" ht="12.4" customHeight="1">
      <c r="E249" s="748" t="s">
        <v>3068</v>
      </c>
      <c r="H249" s="748" t="str">
        <f>'Part II-Development Team'!H45</f>
        <v>FL</v>
      </c>
      <c r="I249" s="748" t="s">
        <v>3562</v>
      </c>
      <c r="J249" s="748">
        <f>'Part II-Development Team'!J45</f>
        <v>334800000</v>
      </c>
      <c r="O249" s="748" t="s">
        <v>2996</v>
      </c>
      <c r="Q249" s="748">
        <f>'Part II-Development Team'!Q45</f>
        <v>7272442440</v>
      </c>
    </row>
    <row r="250" spans="3:17" ht="12.4" customHeight="1">
      <c r="E250" s="748" t="s">
        <v>3111</v>
      </c>
      <c r="H250" s="748">
        <f>'Part II-Development Team'!H46</f>
        <v>5618335795</v>
      </c>
      <c r="J250" s="748">
        <f>'Part II-Development Team'!J46</f>
        <v>0</v>
      </c>
      <c r="K250" s="748" t="s">
        <v>2958</v>
      </c>
      <c r="L250" s="748">
        <f>'Part II-Development Team'!L46</f>
        <v>5618333694</v>
      </c>
      <c r="N250" s="748" t="s">
        <v>3110</v>
      </c>
      <c r="O250" s="748" t="str">
        <f>'Part II-Development Team'!O46</f>
        <v>Daniel.Winters@alliantcapital.com</v>
      </c>
    </row>
    <row r="251" spans="3:17" ht="4.1500000000000004" customHeight="1"/>
    <row r="252" spans="3:17" ht="13.15" customHeight="1">
      <c r="C252" s="748" t="s">
        <v>4028</v>
      </c>
      <c r="D252" s="748" t="s">
        <v>1210</v>
      </c>
    </row>
    <row r="253" spans="3:17" ht="4.1500000000000004" customHeight="1"/>
    <row r="254" spans="3:17" ht="12.4" customHeight="1">
      <c r="E254" s="748" t="s">
        <v>236</v>
      </c>
      <c r="H254" s="748">
        <f>'Part II-Development Team'!H50</f>
        <v>0</v>
      </c>
      <c r="O254" s="748" t="s">
        <v>3116</v>
      </c>
      <c r="Q254" s="748">
        <f>'Part II-Development Team'!Q50</f>
        <v>0</v>
      </c>
    </row>
    <row r="255" spans="3:17" ht="12.4" customHeight="1">
      <c r="E255" s="748" t="s">
        <v>1670</v>
      </c>
      <c r="H255" s="748">
        <f>'Part II-Development Team'!H51</f>
        <v>0</v>
      </c>
      <c r="O255" s="748" t="s">
        <v>2913</v>
      </c>
      <c r="Q255" s="748">
        <f>'Part II-Development Team'!Q51</f>
        <v>0</v>
      </c>
    </row>
    <row r="256" spans="3:17" ht="12.4" customHeight="1">
      <c r="E256" s="748" t="s">
        <v>1033</v>
      </c>
      <c r="H256" s="748">
        <f>'Part II-Development Team'!H52</f>
        <v>0</v>
      </c>
      <c r="O256" s="748" t="s">
        <v>2959</v>
      </c>
      <c r="Q256" s="748">
        <f>'Part II-Development Team'!Q52</f>
        <v>0</v>
      </c>
    </row>
    <row r="257" spans="1:17" ht="12.4" customHeight="1">
      <c r="E257" s="748" t="s">
        <v>3068</v>
      </c>
      <c r="H257" s="748">
        <f>'Part II-Development Team'!H53</f>
        <v>0</v>
      </c>
      <c r="I257" s="748" t="s">
        <v>3562</v>
      </c>
      <c r="J257" s="748">
        <f>'Part II-Development Team'!J53</f>
        <v>0</v>
      </c>
      <c r="O257" s="748" t="s">
        <v>2996</v>
      </c>
      <c r="Q257" s="748">
        <f>'Part II-Development Team'!Q53</f>
        <v>0</v>
      </c>
    </row>
    <row r="258" spans="1:17" ht="12.4" customHeight="1">
      <c r="E258" s="748" t="s">
        <v>3111</v>
      </c>
      <c r="H258" s="748">
        <f>'Part II-Development Team'!H54</f>
        <v>0</v>
      </c>
      <c r="J258" s="748">
        <f>'Part II-Development Team'!J54</f>
        <v>0</v>
      </c>
      <c r="K258" s="748" t="s">
        <v>2958</v>
      </c>
      <c r="L258" s="748">
        <f>'Part II-Development Team'!L54</f>
        <v>0</v>
      </c>
      <c r="N258" s="748" t="s">
        <v>3110</v>
      </c>
      <c r="O258" s="748">
        <f>'Part II-Development Team'!O54</f>
        <v>0</v>
      </c>
    </row>
    <row r="259" spans="1:17" ht="13.15" customHeight="1"/>
    <row r="260" spans="1:17" ht="13.15" customHeight="1">
      <c r="A260" s="748" t="s">
        <v>1241</v>
      </c>
      <c r="B260" s="748" t="s">
        <v>1211</v>
      </c>
    </row>
    <row r="261" spans="1:17" ht="9" customHeight="1"/>
    <row r="262" spans="1:17" ht="13.15" customHeight="1">
      <c r="B262" s="748" t="s">
        <v>3000</v>
      </c>
      <c r="C262" s="748" t="s">
        <v>413</v>
      </c>
      <c r="H262" s="748" t="str">
        <f>'Part II-Development Team'!H58</f>
        <v>Endeavor Pointe Development L.P.</v>
      </c>
      <c r="O262" s="748" t="s">
        <v>3116</v>
      </c>
      <c r="Q262" s="748" t="str">
        <f>'Part II-Development Team'!Q58</f>
        <v>Nick Sherman</v>
      </c>
    </row>
    <row r="263" spans="1:17" ht="13.15" customHeight="1">
      <c r="E263" s="748" t="s">
        <v>1670</v>
      </c>
      <c r="H263" s="748" t="str">
        <f>'Part II-Development Team'!H59</f>
        <v>1341 Cassville Road, NW</v>
      </c>
      <c r="O263" s="748" t="s">
        <v>2913</v>
      </c>
      <c r="Q263" s="748" t="str">
        <f>'Part II-Development Team'!Q59</f>
        <v>Member</v>
      </c>
    </row>
    <row r="264" spans="1:17" ht="13.15" customHeight="1">
      <c r="E264" s="748" t="s">
        <v>1033</v>
      </c>
      <c r="H264" s="748" t="str">
        <f>'Part II-Development Team'!H60</f>
        <v>Cartersville</v>
      </c>
      <c r="O264" s="748" t="s">
        <v>2959</v>
      </c>
      <c r="Q264" s="748">
        <f>'Part II-Development Team'!Q60</f>
        <v>4042196953</v>
      </c>
    </row>
    <row r="265" spans="1:17" ht="13.15" customHeight="1">
      <c r="E265" s="748" t="s">
        <v>3068</v>
      </c>
      <c r="H265" s="748" t="str">
        <f>'Part II-Development Team'!H61</f>
        <v>GA</v>
      </c>
      <c r="I265" s="748" t="s">
        <v>3562</v>
      </c>
      <c r="J265" s="748">
        <f>'Part II-Development Team'!J61</f>
        <v>301204886</v>
      </c>
      <c r="O265" s="748" t="s">
        <v>2996</v>
      </c>
      <c r="Q265" s="748">
        <f>'Part II-Development Team'!Q61</f>
        <v>4042196953</v>
      </c>
    </row>
    <row r="266" spans="1:17" ht="13.15" customHeight="1">
      <c r="E266" s="748" t="s">
        <v>3111</v>
      </c>
      <c r="H266" s="748">
        <f>'Part II-Development Team'!H62</f>
        <v>4042196953</v>
      </c>
      <c r="J266" s="748">
        <f>'Part II-Development Team'!J62</f>
        <v>0</v>
      </c>
      <c r="K266" s="748" t="s">
        <v>2958</v>
      </c>
      <c r="L266" s="748">
        <f>'Part II-Development Team'!L62</f>
        <v>6786051846</v>
      </c>
      <c r="N266" s="748" t="s">
        <v>3110</v>
      </c>
      <c r="O266" s="748" t="str">
        <f>'Part II-Development Team'!O62</f>
        <v>nicholassherman@me.com</v>
      </c>
    </row>
    <row r="267" spans="1:17" ht="6.4" customHeight="1"/>
    <row r="268" spans="1:17" ht="13.15" customHeight="1">
      <c r="B268" s="748" t="s">
        <v>3112</v>
      </c>
      <c r="C268" s="748" t="s">
        <v>513</v>
      </c>
      <c r="H268" s="748">
        <f>'Part II-Development Team'!H64</f>
        <v>0</v>
      </c>
      <c r="O268" s="748" t="s">
        <v>3116</v>
      </c>
      <c r="Q268" s="748">
        <f>'Part II-Development Team'!Q64</f>
        <v>0</v>
      </c>
    </row>
    <row r="269" spans="1:17" ht="13.15" customHeight="1">
      <c r="E269" s="748" t="s">
        <v>1670</v>
      </c>
      <c r="H269" s="748">
        <f>'Part II-Development Team'!H65</f>
        <v>0</v>
      </c>
      <c r="O269" s="748" t="s">
        <v>2913</v>
      </c>
      <c r="Q269" s="748">
        <f>'Part II-Development Team'!Q65</f>
        <v>0</v>
      </c>
    </row>
    <row r="270" spans="1:17" ht="13.15" customHeight="1">
      <c r="E270" s="748" t="s">
        <v>1033</v>
      </c>
      <c r="H270" s="748">
        <f>'Part II-Development Team'!H66</f>
        <v>0</v>
      </c>
      <c r="O270" s="748" t="s">
        <v>2959</v>
      </c>
      <c r="Q270" s="748">
        <f>'Part II-Development Team'!Q66</f>
        <v>0</v>
      </c>
    </row>
    <row r="271" spans="1:17" ht="13.15" customHeight="1">
      <c r="E271" s="748" t="s">
        <v>3068</v>
      </c>
      <c r="H271" s="748">
        <f>'Part II-Development Team'!H67</f>
        <v>0</v>
      </c>
      <c r="I271" s="748" t="s">
        <v>3562</v>
      </c>
      <c r="J271" s="748">
        <f>'Part II-Development Team'!J67</f>
        <v>0</v>
      </c>
      <c r="O271" s="748" t="s">
        <v>2996</v>
      </c>
      <c r="Q271" s="748">
        <f>'Part II-Development Team'!Q67</f>
        <v>0</v>
      </c>
    </row>
    <row r="272" spans="1:17" ht="13.15" customHeight="1">
      <c r="E272" s="748" t="s">
        <v>3111</v>
      </c>
      <c r="H272" s="748">
        <f>'Part II-Development Team'!H68</f>
        <v>0</v>
      </c>
      <c r="J272" s="748">
        <f>'Part II-Development Team'!J68</f>
        <v>0</v>
      </c>
      <c r="K272" s="748" t="s">
        <v>2958</v>
      </c>
      <c r="L272" s="748">
        <f>'Part II-Development Team'!L68</f>
        <v>0</v>
      </c>
      <c r="N272" s="748" t="s">
        <v>3110</v>
      </c>
      <c r="O272" s="748">
        <f>'Part II-Development Team'!O68</f>
        <v>0</v>
      </c>
    </row>
    <row r="273" spans="1:17" ht="6.4" customHeight="1"/>
    <row r="274" spans="1:17" ht="13.15" customHeight="1">
      <c r="B274" s="748" t="s">
        <v>1517</v>
      </c>
      <c r="C274" s="748" t="s">
        <v>2334</v>
      </c>
      <c r="H274" s="748">
        <f>'Part II-Development Team'!H70</f>
        <v>0</v>
      </c>
      <c r="O274" s="748" t="s">
        <v>3116</v>
      </c>
      <c r="Q274" s="748">
        <f>'Part II-Development Team'!Q70</f>
        <v>0</v>
      </c>
    </row>
    <row r="275" spans="1:17" ht="13.15" customHeight="1">
      <c r="E275" s="748" t="s">
        <v>1670</v>
      </c>
      <c r="H275" s="748">
        <f>'Part II-Development Team'!H71</f>
        <v>0</v>
      </c>
      <c r="O275" s="748" t="s">
        <v>2913</v>
      </c>
      <c r="Q275" s="748">
        <f>'Part II-Development Team'!Q71</f>
        <v>0</v>
      </c>
    </row>
    <row r="276" spans="1:17" ht="13.15" customHeight="1">
      <c r="E276" s="748" t="s">
        <v>1033</v>
      </c>
      <c r="H276" s="748">
        <f>'Part II-Development Team'!H72</f>
        <v>0</v>
      </c>
      <c r="O276" s="748" t="s">
        <v>2959</v>
      </c>
      <c r="Q276" s="748">
        <f>'Part II-Development Team'!Q72</f>
        <v>0</v>
      </c>
    </row>
    <row r="277" spans="1:17" ht="13.15" customHeight="1">
      <c r="E277" s="748" t="s">
        <v>3068</v>
      </c>
      <c r="H277" s="748">
        <f>'Part II-Development Team'!H73</f>
        <v>0</v>
      </c>
      <c r="I277" s="748" t="s">
        <v>3562</v>
      </c>
      <c r="J277" s="748">
        <f>'Part II-Development Team'!J73</f>
        <v>0</v>
      </c>
      <c r="O277" s="748" t="s">
        <v>2996</v>
      </c>
      <c r="Q277" s="748">
        <f>'Part II-Development Team'!Q73</f>
        <v>0</v>
      </c>
    </row>
    <row r="278" spans="1:17" ht="13.15" customHeight="1">
      <c r="E278" s="748" t="s">
        <v>3111</v>
      </c>
      <c r="H278" s="748">
        <f>'Part II-Development Team'!H74</f>
        <v>0</v>
      </c>
      <c r="J278" s="748">
        <f>'Part II-Development Team'!J74</f>
        <v>0</v>
      </c>
      <c r="K278" s="748" t="s">
        <v>2958</v>
      </c>
      <c r="L278" s="748">
        <f>'Part II-Development Team'!L74</f>
        <v>0</v>
      </c>
      <c r="N278" s="748" t="s">
        <v>3110</v>
      </c>
      <c r="O278" s="748">
        <f>'Part II-Development Team'!O74</f>
        <v>0</v>
      </c>
    </row>
    <row r="279" spans="1:17" ht="6.4" customHeight="1"/>
    <row r="280" spans="1:17" ht="13.15" customHeight="1">
      <c r="B280" s="748" t="s">
        <v>3316</v>
      </c>
      <c r="C280" s="748" t="s">
        <v>632</v>
      </c>
      <c r="H280" s="748">
        <f>'Part II-Development Team'!H76</f>
        <v>0</v>
      </c>
      <c r="O280" s="748" t="s">
        <v>3116</v>
      </c>
      <c r="Q280" s="748">
        <f>'Part II-Development Team'!Q76</f>
        <v>0</v>
      </c>
    </row>
    <row r="281" spans="1:17" ht="13.15" customHeight="1">
      <c r="E281" s="748" t="s">
        <v>1670</v>
      </c>
      <c r="H281" s="748">
        <f>'Part II-Development Team'!H77</f>
        <v>0</v>
      </c>
      <c r="O281" s="748" t="s">
        <v>2913</v>
      </c>
      <c r="Q281" s="748">
        <f>'Part II-Development Team'!Q77</f>
        <v>0</v>
      </c>
    </row>
    <row r="282" spans="1:17" ht="13.15" customHeight="1">
      <c r="E282" s="748" t="s">
        <v>1033</v>
      </c>
      <c r="H282" s="748">
        <f>'Part II-Development Team'!H78</f>
        <v>0</v>
      </c>
      <c r="O282" s="748" t="s">
        <v>2959</v>
      </c>
      <c r="Q282" s="748">
        <f>'Part II-Development Team'!Q78</f>
        <v>0</v>
      </c>
    </row>
    <row r="283" spans="1:17" ht="13.15" customHeight="1">
      <c r="E283" s="748" t="s">
        <v>3068</v>
      </c>
      <c r="H283" s="748">
        <f>'Part II-Development Team'!H79</f>
        <v>0</v>
      </c>
      <c r="I283" s="748" t="s">
        <v>3562</v>
      </c>
      <c r="J283" s="748">
        <f>'Part II-Development Team'!J79</f>
        <v>0</v>
      </c>
      <c r="O283" s="748" t="s">
        <v>2996</v>
      </c>
      <c r="Q283" s="748">
        <f>'Part II-Development Team'!Q79</f>
        <v>0</v>
      </c>
    </row>
    <row r="284" spans="1:17" ht="13.15" customHeight="1">
      <c r="E284" s="748" t="s">
        <v>3111</v>
      </c>
      <c r="H284" s="748">
        <f>'Part II-Development Team'!H80</f>
        <v>0</v>
      </c>
      <c r="J284" s="748">
        <f>'Part II-Development Team'!J80</f>
        <v>0</v>
      </c>
      <c r="K284" s="748" t="s">
        <v>2958</v>
      </c>
      <c r="L284" s="748">
        <f>'Part II-Development Team'!L80</f>
        <v>0</v>
      </c>
      <c r="N284" s="748" t="s">
        <v>3110</v>
      </c>
      <c r="O284" s="748">
        <f>'Part II-Development Team'!O80</f>
        <v>0</v>
      </c>
    </row>
    <row r="285" spans="1:17" ht="13.15" customHeight="1"/>
    <row r="286" spans="1:17" ht="13.15" customHeight="1">
      <c r="A286" s="748" t="s">
        <v>1243</v>
      </c>
      <c r="B286" s="748" t="s">
        <v>635</v>
      </c>
    </row>
    <row r="287" spans="1:17" ht="9" customHeight="1"/>
    <row r="288" spans="1:17" ht="13.15" customHeight="1">
      <c r="B288" s="748" t="s">
        <v>3000</v>
      </c>
      <c r="C288" s="748" t="s">
        <v>636</v>
      </c>
      <c r="H288" s="748">
        <f>'Part II-Development Team'!H84</f>
        <v>0</v>
      </c>
      <c r="O288" s="748" t="s">
        <v>3116</v>
      </c>
      <c r="Q288" s="748">
        <f>'Part II-Development Team'!Q84</f>
        <v>0</v>
      </c>
    </row>
    <row r="289" spans="2:17" ht="13.15" customHeight="1">
      <c r="E289" s="748" t="s">
        <v>1670</v>
      </c>
      <c r="H289" s="748">
        <f>'Part II-Development Team'!H85</f>
        <v>0</v>
      </c>
      <c r="O289" s="748" t="s">
        <v>2913</v>
      </c>
      <c r="Q289" s="748">
        <f>'Part II-Development Team'!Q85</f>
        <v>0</v>
      </c>
    </row>
    <row r="290" spans="2:17" ht="13.15" customHeight="1">
      <c r="E290" s="748" t="s">
        <v>1033</v>
      </c>
      <c r="H290" s="748">
        <f>'Part II-Development Team'!H86</f>
        <v>0</v>
      </c>
      <c r="O290" s="748" t="s">
        <v>2959</v>
      </c>
      <c r="Q290" s="748">
        <f>'Part II-Development Team'!Q86</f>
        <v>0</v>
      </c>
    </row>
    <row r="291" spans="2:17" ht="13.15" customHeight="1">
      <c r="E291" s="748" t="s">
        <v>3068</v>
      </c>
      <c r="H291" s="748">
        <f>'Part II-Development Team'!H87</f>
        <v>0</v>
      </c>
      <c r="I291" s="748" t="s">
        <v>3562</v>
      </c>
      <c r="J291" s="748">
        <f>'Part II-Development Team'!J87</f>
        <v>0</v>
      </c>
      <c r="O291" s="748" t="s">
        <v>2996</v>
      </c>
      <c r="Q291" s="748">
        <f>'Part II-Development Team'!Q87</f>
        <v>0</v>
      </c>
    </row>
    <row r="292" spans="2:17" ht="13.15" customHeight="1">
      <c r="E292" s="748" t="s">
        <v>3111</v>
      </c>
      <c r="H292" s="748">
        <f>'Part II-Development Team'!H88</f>
        <v>0</v>
      </c>
      <c r="J292" s="748">
        <f>'Part II-Development Team'!J88</f>
        <v>0</v>
      </c>
      <c r="K292" s="748" t="s">
        <v>2958</v>
      </c>
      <c r="L292" s="748">
        <f>'Part II-Development Team'!L88</f>
        <v>0</v>
      </c>
      <c r="N292" s="748" t="s">
        <v>3110</v>
      </c>
      <c r="O292" s="748">
        <f>'Part II-Development Team'!O88</f>
        <v>0</v>
      </c>
    </row>
    <row r="293" spans="2:17" ht="6.4" customHeight="1"/>
    <row r="294" spans="2:17" ht="13.15" customHeight="1">
      <c r="B294" s="748" t="s">
        <v>3112</v>
      </c>
      <c r="C294" s="748" t="s">
        <v>637</v>
      </c>
      <c r="H294" s="748" t="str">
        <f>'Part II-Development Team'!H90</f>
        <v>Olympia Construction</v>
      </c>
      <c r="O294" s="748" t="s">
        <v>3116</v>
      </c>
      <c r="Q294" s="748" t="str">
        <f>'Part II-Development Team'!Q90</f>
        <v>Ralph Fullerton</v>
      </c>
    </row>
    <row r="295" spans="2:17" ht="13.15" customHeight="1">
      <c r="E295" s="748" t="s">
        <v>1670</v>
      </c>
      <c r="H295" s="748" t="str">
        <f>'Part II-Development Team'!H91</f>
        <v>9010 US HWY 431 N</v>
      </c>
      <c r="O295" s="748" t="s">
        <v>2913</v>
      </c>
      <c r="Q295" s="748" t="str">
        <f>'Part II-Development Team'!Q91</f>
        <v>Vice President</v>
      </c>
    </row>
    <row r="296" spans="2:17" ht="13.15" customHeight="1">
      <c r="E296" s="748" t="s">
        <v>1033</v>
      </c>
      <c r="H296" s="748" t="str">
        <f>'Part II-Development Team'!H92</f>
        <v>Albertville</v>
      </c>
      <c r="O296" s="748" t="s">
        <v>2959</v>
      </c>
      <c r="Q296" s="748">
        <f>'Part II-Development Team'!Q92</f>
        <v>2568786054</v>
      </c>
    </row>
    <row r="297" spans="2:17" ht="13.15" customHeight="1">
      <c r="E297" s="748" t="s">
        <v>3068</v>
      </c>
      <c r="H297" s="748" t="str">
        <f>'Part II-Development Team'!H93</f>
        <v>AL</v>
      </c>
      <c r="I297" s="748" t="s">
        <v>3562</v>
      </c>
      <c r="J297" s="748">
        <f>'Part II-Development Team'!J93</f>
        <v>359500000</v>
      </c>
      <c r="O297" s="748" t="s">
        <v>2996</v>
      </c>
      <c r="Q297" s="748">
        <f>'Part II-Development Team'!Q93</f>
        <v>0</v>
      </c>
    </row>
    <row r="298" spans="2:17" ht="13.15" customHeight="1">
      <c r="E298" s="748" t="s">
        <v>3111</v>
      </c>
      <c r="H298" s="748">
        <f>'Part II-Development Team'!H94</f>
        <v>2568786054</v>
      </c>
      <c r="J298" s="748">
        <f>'Part II-Development Team'!J94</f>
        <v>0</v>
      </c>
      <c r="K298" s="748" t="s">
        <v>2958</v>
      </c>
      <c r="L298" s="748">
        <f>'Part II-Development Team'!L94</f>
        <v>2568786122</v>
      </c>
      <c r="N298" s="748" t="s">
        <v>3110</v>
      </c>
      <c r="O298" s="748" t="str">
        <f>'Part II-Development Team'!O94</f>
        <v>sharron@olympiaconstruction.net</v>
      </c>
    </row>
    <row r="299" spans="2:17" ht="6.4" customHeight="1"/>
    <row r="300" spans="2:17" ht="13.15" customHeight="1">
      <c r="B300" s="748" t="s">
        <v>1517</v>
      </c>
      <c r="C300" s="748" t="s">
        <v>638</v>
      </c>
      <c r="H300" s="748" t="str">
        <f>'Part II-Development Team'!H96</f>
        <v>Tower Management Company Inc.</v>
      </c>
      <c r="O300" s="748" t="s">
        <v>3116</v>
      </c>
      <c r="Q300" s="748" t="str">
        <f>'Part II-Development Team'!Q96</f>
        <v>Cheryl Murphy</v>
      </c>
    </row>
    <row r="301" spans="2:17" ht="13.15" customHeight="1">
      <c r="E301" s="748" t="s">
        <v>1670</v>
      </c>
      <c r="H301" s="748" t="str">
        <f>'Part II-Development Team'!H97</f>
        <v>1341 Cassville Rd, NW</v>
      </c>
      <c r="O301" s="748" t="s">
        <v>2913</v>
      </c>
      <c r="Q301" s="748" t="str">
        <f>'Part II-Development Team'!Q97</f>
        <v>President/Owner</v>
      </c>
    </row>
    <row r="302" spans="2:17" ht="13.15" customHeight="1">
      <c r="E302" s="748" t="s">
        <v>1033</v>
      </c>
      <c r="H302" s="748" t="str">
        <f>'Part II-Development Team'!H98</f>
        <v>Cartersville</v>
      </c>
      <c r="O302" s="748" t="s">
        <v>2959</v>
      </c>
      <c r="Q302" s="748">
        <f>'Part II-Development Team'!Q98</f>
        <v>7703861140</v>
      </c>
    </row>
    <row r="303" spans="2:17" ht="13.15" customHeight="1">
      <c r="E303" s="748" t="s">
        <v>3068</v>
      </c>
      <c r="H303" s="748" t="str">
        <f>'Part II-Development Team'!H99</f>
        <v>GA</v>
      </c>
      <c r="I303" s="748" t="s">
        <v>3562</v>
      </c>
      <c r="J303" s="748">
        <f>'Part II-Development Team'!J99</f>
        <v>301204886</v>
      </c>
      <c r="O303" s="748" t="s">
        <v>2996</v>
      </c>
      <c r="Q303" s="748">
        <f>'Part II-Development Team'!Q99</f>
        <v>0</v>
      </c>
    </row>
    <row r="304" spans="2:17" ht="13.15" customHeight="1">
      <c r="E304" s="748" t="s">
        <v>3111</v>
      </c>
      <c r="H304" s="748">
        <f>'Part II-Development Team'!H100</f>
        <v>7703861140</v>
      </c>
      <c r="J304" s="748">
        <f>'Part II-Development Team'!J100</f>
        <v>0</v>
      </c>
      <c r="K304" s="748" t="s">
        <v>2958</v>
      </c>
      <c r="L304" s="748">
        <f>'Part II-Development Team'!L100</f>
        <v>7703861937</v>
      </c>
      <c r="N304" s="748" t="s">
        <v>3110</v>
      </c>
      <c r="O304" s="748" t="str">
        <f>'Part II-Development Team'!O100</f>
        <v>cheryl@towermgtco.com</v>
      </c>
    </row>
    <row r="305" spans="2:17" ht="6.4" customHeight="1"/>
    <row r="306" spans="2:17" ht="13.15" customHeight="1">
      <c r="B306" s="748" t="s">
        <v>3316</v>
      </c>
      <c r="C306" s="748" t="s">
        <v>639</v>
      </c>
      <c r="H306" s="748" t="str">
        <f>'Part II-Development Team'!H102</f>
        <v>Coleman Talley LLP</v>
      </c>
      <c r="O306" s="748" t="s">
        <v>3116</v>
      </c>
      <c r="Q306" s="748" t="str">
        <f>'Part II-Development Team'!Q102</f>
        <v>Tom Kurrie</v>
      </c>
    </row>
    <row r="307" spans="2:17" ht="13.15" customHeight="1">
      <c r="E307" s="748" t="s">
        <v>1670</v>
      </c>
      <c r="H307" s="748" t="str">
        <f>'Part II-Development Team'!H103</f>
        <v>910 North Patterson Street</v>
      </c>
      <c r="O307" s="748" t="s">
        <v>2913</v>
      </c>
      <c r="Q307" s="748" t="str">
        <f>'Part II-Development Team'!Q103</f>
        <v>Partner</v>
      </c>
    </row>
    <row r="308" spans="2:17" ht="13.15" customHeight="1">
      <c r="E308" s="748" t="s">
        <v>1033</v>
      </c>
      <c r="H308" s="748" t="str">
        <f>'Part II-Development Team'!H104</f>
        <v xml:space="preserve">Valdosta </v>
      </c>
      <c r="O308" s="748" t="s">
        <v>2959</v>
      </c>
      <c r="Q308" s="748">
        <f>'Part II-Development Team'!Q104</f>
        <v>2292427562</v>
      </c>
    </row>
    <row r="309" spans="2:17" ht="13.15" customHeight="1">
      <c r="E309" s="748" t="s">
        <v>3068</v>
      </c>
      <c r="H309" s="748" t="str">
        <f>'Part II-Development Team'!H105</f>
        <v>GA</v>
      </c>
      <c r="I309" s="748" t="s">
        <v>3562</v>
      </c>
      <c r="J309" s="748">
        <f>'Part II-Development Team'!J105</f>
        <v>316010000</v>
      </c>
      <c r="O309" s="748" t="s">
        <v>2996</v>
      </c>
      <c r="Q309" s="748">
        <f>'Part II-Development Team'!Q105</f>
        <v>0</v>
      </c>
    </row>
    <row r="310" spans="2:17" ht="13.15" customHeight="1">
      <c r="E310" s="748" t="s">
        <v>3111</v>
      </c>
      <c r="H310" s="748">
        <f>'Part II-Development Team'!H106</f>
        <v>2292427562</v>
      </c>
      <c r="J310" s="748">
        <f>'Part II-Development Team'!J106</f>
        <v>216</v>
      </c>
      <c r="K310" s="748" t="s">
        <v>2958</v>
      </c>
      <c r="L310" s="748">
        <f>'Part II-Development Team'!L106</f>
        <v>2293330885</v>
      </c>
      <c r="N310" s="748" t="s">
        <v>3110</v>
      </c>
      <c r="O310" s="748" t="str">
        <f>'Part II-Development Team'!O106</f>
        <v>tom.kurrie@colemantalley.com</v>
      </c>
    </row>
    <row r="311" spans="2:17" ht="6" customHeight="1"/>
    <row r="312" spans="2:17" ht="0.4" customHeight="1"/>
    <row r="313" spans="2:17" ht="13.15" customHeight="1">
      <c r="B313" s="748" t="s">
        <v>2901</v>
      </c>
      <c r="C313" s="748" t="s">
        <v>640</v>
      </c>
      <c r="H313" s="748" t="str">
        <f>'Part II-Development Team'!H109</f>
        <v>Habif Arogeti and Wynne</v>
      </c>
      <c r="O313" s="748" t="s">
        <v>3116</v>
      </c>
      <c r="Q313" s="748" t="str">
        <f>'Part II-Development Team'!Q109</f>
        <v>Frank Gudger</v>
      </c>
    </row>
    <row r="314" spans="2:17" ht="13.15" customHeight="1">
      <c r="E314" s="748" t="s">
        <v>1670</v>
      </c>
      <c r="H314" s="748" t="str">
        <f>'Part II-Development Team'!H110</f>
        <v>Five Concourse Parkway, Suite 1000</v>
      </c>
      <c r="O314" s="748" t="s">
        <v>2913</v>
      </c>
      <c r="Q314" s="748" t="str">
        <f>'Part II-Development Team'!Q110</f>
        <v>Partner</v>
      </c>
    </row>
    <row r="315" spans="2:17" ht="13.15" customHeight="1">
      <c r="E315" s="748" t="s">
        <v>1033</v>
      </c>
      <c r="H315" s="748" t="str">
        <f>'Part II-Development Team'!H111</f>
        <v>Atlanta</v>
      </c>
      <c r="O315" s="748" t="s">
        <v>2959</v>
      </c>
      <c r="Q315" s="748">
        <f>'Part II-Development Team'!Q111</f>
        <v>4048988244</v>
      </c>
    </row>
    <row r="316" spans="2:17" ht="13.15" customHeight="1">
      <c r="E316" s="748" t="s">
        <v>3068</v>
      </c>
      <c r="H316" s="748" t="str">
        <f>'Part II-Development Team'!H112</f>
        <v>GA</v>
      </c>
      <c r="I316" s="748" t="s">
        <v>3562</v>
      </c>
      <c r="J316" s="748">
        <f>'Part II-Development Team'!J112</f>
        <v>303280000</v>
      </c>
      <c r="O316" s="748" t="s">
        <v>2996</v>
      </c>
      <c r="Q316" s="748">
        <f>'Part II-Development Team'!Q112</f>
        <v>0</v>
      </c>
    </row>
    <row r="317" spans="2:17" ht="13.15" customHeight="1">
      <c r="E317" s="748" t="s">
        <v>3111</v>
      </c>
      <c r="H317" s="748">
        <f>'Part II-Development Team'!H113</f>
        <v>7703537115</v>
      </c>
      <c r="J317" s="748">
        <f>'Part II-Development Team'!J113</f>
        <v>0</v>
      </c>
      <c r="K317" s="748" t="s">
        <v>2958</v>
      </c>
      <c r="L317" s="748">
        <f>'Part II-Development Team'!L113</f>
        <v>7703513271</v>
      </c>
      <c r="N317" s="748" t="s">
        <v>3110</v>
      </c>
      <c r="O317" s="748" t="str">
        <f>'Part II-Development Team'!O113</f>
        <v>frank.gudger@hawcpa.com</v>
      </c>
    </row>
    <row r="318" spans="2:17" ht="6.4" customHeight="1"/>
    <row r="319" spans="2:17" ht="13.15" customHeight="1">
      <c r="B319" s="748" t="s">
        <v>2902</v>
      </c>
      <c r="C319" s="748" t="s">
        <v>641</v>
      </c>
      <c r="H319" s="748" t="str">
        <f>'Part II-Development Team'!H115</f>
        <v>McKean and Associates</v>
      </c>
      <c r="O319" s="748" t="s">
        <v>3116</v>
      </c>
      <c r="Q319" s="748" t="str">
        <f>'Part II-Development Team'!Q115</f>
        <v>Rory McKean</v>
      </c>
    </row>
    <row r="320" spans="2:17" ht="13.15" customHeight="1">
      <c r="E320" s="748" t="s">
        <v>1670</v>
      </c>
      <c r="H320" s="748" t="str">
        <f>'Part II-Development Team'!H116</f>
        <v>2815-B Zelda Road</v>
      </c>
      <c r="O320" s="748" t="s">
        <v>2913</v>
      </c>
      <c r="Q320" s="748" t="str">
        <f>'Part II-Development Team'!Q116</f>
        <v>Owner</v>
      </c>
    </row>
    <row r="321" spans="1:18" ht="13.15" customHeight="1">
      <c r="E321" s="748" t="s">
        <v>1033</v>
      </c>
      <c r="H321" s="748" t="str">
        <f>'Part II-Development Team'!H117</f>
        <v>Montgomery</v>
      </c>
      <c r="O321" s="748" t="s">
        <v>2959</v>
      </c>
      <c r="Q321" s="748">
        <f>'Part II-Development Team'!Q117</f>
        <v>3342724044</v>
      </c>
    </row>
    <row r="322" spans="1:18" ht="13.15" customHeight="1">
      <c r="E322" s="748" t="s">
        <v>3068</v>
      </c>
      <c r="H322" s="748" t="str">
        <f>'Part II-Development Team'!H118</f>
        <v>AL</v>
      </c>
      <c r="I322" s="748" t="s">
        <v>3562</v>
      </c>
      <c r="J322" s="748">
        <f>'Part II-Development Team'!J118</f>
        <v>361060000</v>
      </c>
      <c r="O322" s="748" t="s">
        <v>2996</v>
      </c>
      <c r="Q322" s="748">
        <f>'Part II-Development Team'!Q118</f>
        <v>0</v>
      </c>
    </row>
    <row r="323" spans="1:18" ht="13.15" customHeight="1">
      <c r="E323" s="748" t="s">
        <v>3111</v>
      </c>
      <c r="H323" s="748">
        <f>'Part II-Development Team'!H119</f>
        <v>3342724044</v>
      </c>
      <c r="J323" s="748">
        <f>'Part II-Development Team'!J119</f>
        <v>0</v>
      </c>
      <c r="K323" s="748" t="s">
        <v>2958</v>
      </c>
      <c r="L323" s="748">
        <f>'Part II-Development Team'!L119</f>
        <v>3342440347</v>
      </c>
      <c r="N323" s="748" t="s">
        <v>3110</v>
      </c>
      <c r="O323" s="748" t="str">
        <f>'Part II-Development Team'!O119</f>
        <v>rmckean@mckeanarch.com</v>
      </c>
    </row>
    <row r="324" spans="1:18" ht="13.15" customHeight="1"/>
    <row r="325" spans="1:18" ht="13.15" customHeight="1">
      <c r="A325" s="748" t="s">
        <v>2950</v>
      </c>
      <c r="B325" s="748" t="s">
        <v>401</v>
      </c>
    </row>
    <row r="326" spans="1:18" ht="6.4" customHeight="1"/>
    <row r="327" spans="1:18" ht="21.4" customHeight="1">
      <c r="A327" s="748" t="s">
        <v>1046</v>
      </c>
      <c r="E327" s="748" t="s">
        <v>4121</v>
      </c>
      <c r="F327" s="748" t="s">
        <v>3719</v>
      </c>
      <c r="G327" s="748" t="s">
        <v>4122</v>
      </c>
      <c r="J327" s="748" t="s">
        <v>4123</v>
      </c>
      <c r="L327" s="748" t="s">
        <v>4124</v>
      </c>
      <c r="N327" s="748" t="s">
        <v>4125</v>
      </c>
      <c r="P327" s="748" t="s">
        <v>3625</v>
      </c>
      <c r="R327" s="748" t="s">
        <v>3626</v>
      </c>
    </row>
    <row r="328" spans="1:18" ht="21.4" customHeight="1"/>
    <row r="329" spans="1:18" ht="21.4" customHeight="1"/>
    <row r="330" spans="1:18" ht="21.4" customHeight="1"/>
    <row r="331" spans="1:18" ht="21.4" customHeight="1"/>
    <row r="332" spans="1:18" ht="13.9" customHeight="1">
      <c r="A332" s="748" t="s">
        <v>3550</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3546</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3547</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3548</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0.99990000000000001</v>
      </c>
    </row>
    <row r="336" spans="1:18" ht="13.9" customHeight="1">
      <c r="A336" s="748" t="s">
        <v>3549</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0</v>
      </c>
    </row>
    <row r="337" spans="1:18" ht="13.9" customHeight="1">
      <c r="A337" s="748" t="s">
        <v>3451</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1212</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3452</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3453</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3454</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3455</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2335</v>
      </c>
      <c r="E343" s="748" t="str">
        <f>'Part II-Development Team'!E139</f>
        <v>No</v>
      </c>
      <c r="F343" s="748" t="str">
        <f>'Part II-Development Team'!F139</f>
        <v>No</v>
      </c>
      <c r="G343" s="748" t="str">
        <f>'Part II-Development Team'!G139</f>
        <v>No</v>
      </c>
      <c r="J343" s="748" t="str">
        <f>'Part II-Development Team'!J139</f>
        <v>No</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3456</v>
      </c>
      <c r="E344" s="748" t="str">
        <f>'Part II-Development Team'!E140</f>
        <v>No</v>
      </c>
      <c r="F344" s="748" t="str">
        <f>'Part II-Development Team'!F140</f>
        <v>Yes</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772</v>
      </c>
      <c r="R345" s="748">
        <f>SUM(R332:S344)</f>
        <v>1</v>
      </c>
    </row>
    <row r="346" spans="1:18" ht="12" customHeight="1"/>
    <row r="347" spans="1:18" ht="12" customHeight="1">
      <c r="A347" s="748" t="s">
        <v>2952</v>
      </c>
      <c r="C347" s="748" t="s">
        <v>953</v>
      </c>
      <c r="N347" s="748" t="s">
        <v>973</v>
      </c>
      <c r="O347" s="748" t="s">
        <v>224</v>
      </c>
    </row>
    <row r="348" spans="1:18" ht="3.4" customHeight="1"/>
    <row r="349" spans="1:18" ht="42.4" customHeight="1">
      <c r="A349" s="748" t="str">
        <f>'Part II-Development Team'!A145</f>
        <v>Tower Management Company, solely owned by its president Cheryl Murphy, is the proposed property manager and a member of both the proposed GP and Developer entities for this proposal.  Proposed management fee of $35 per unit is consistent with Tower's peer group as well as those rates quoted to and charged to unrelated third party clients of Tower Management.</v>
      </c>
      <c r="N349" s="748">
        <f>'Part II-Development Team'!N145</f>
        <v>0</v>
      </c>
    </row>
    <row r="350" spans="1:18" ht="42.4" customHeight="1">
      <c r="A350" s="748" t="str">
        <f>'Part II-Development Team'!A146</f>
        <v xml:space="preserve">The GP and developer entities are both owned by the same two entities/individuals: 1) Tower Management Company, Inc., -- 15% ownership in both gp and dev entities, and 2) Nicholas Sherman -- 85% ownership in both gp and dev entities.  It is for this reason that section 4 above is marked "yes" for gp and developer entities.  </v>
      </c>
      <c r="N350" s="748">
        <f>'Part II-Development Team'!N146</f>
        <v>0</v>
      </c>
    </row>
    <row r="351" spans="1:18" ht="42.4" customHeight="1">
      <c r="A351" s="748" t="str">
        <f>'Part II-Development Team'!A147</f>
        <v>There are no principals of the GP/Developer/Manager other than Nicholas Sherman and Cheryl Murphy</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2011-028 Endeavor Pointe, LaFayette, Walker County</v>
      </c>
    </row>
    <row r="356" spans="1:16">
      <c r="A356" s="748" t="s">
        <v>1126</v>
      </c>
      <c r="B356" s="748" t="s">
        <v>3951</v>
      </c>
    </row>
    <row r="358" spans="1:16">
      <c r="B358" s="748" t="str">
        <f>'Part III A-Sources of Funds'!B5</f>
        <v>Yes</v>
      </c>
      <c r="C358" s="748" t="s">
        <v>3775</v>
      </c>
      <c r="E358" s="748" t="str">
        <f>'Part III A-Sources of Funds'!E5</f>
        <v>Yes</v>
      </c>
      <c r="F358" s="748" t="s">
        <v>1973</v>
      </c>
      <c r="J358" s="748">
        <f>'Part III A-Sources of Funds'!J5</f>
        <v>1600000</v>
      </c>
      <c r="M358" s="748">
        <f>'Part III A-Sources of Funds'!M5</f>
        <v>0</v>
      </c>
      <c r="N358" s="748" t="s">
        <v>886</v>
      </c>
    </row>
    <row r="359" spans="1:16">
      <c r="B359" s="748">
        <f>'Part III A-Sources of Funds'!B6</f>
        <v>0</v>
      </c>
      <c r="C359" s="748" t="s">
        <v>2960</v>
      </c>
      <c r="E359" s="748">
        <f>'Part III A-Sources of Funds'!E6</f>
        <v>0</v>
      </c>
      <c r="F359" s="748" t="s">
        <v>3517</v>
      </c>
      <c r="J359" s="748">
        <f>'Part III A-Sources of Funds'!J6</f>
        <v>0</v>
      </c>
      <c r="K359" s="748" t="s">
        <v>887</v>
      </c>
      <c r="M359" s="748">
        <f>'Part III A-Sources of Funds'!M6</f>
        <v>0</v>
      </c>
      <c r="N359" s="748" t="s">
        <v>885</v>
      </c>
    </row>
    <row r="360" spans="1:16">
      <c r="B360" s="748">
        <f>'Part III A-Sources of Funds'!B7</f>
        <v>0</v>
      </c>
      <c r="C360" s="748" t="s">
        <v>2961</v>
      </c>
      <c r="E360" s="748">
        <f>'Part III A-Sources of Funds'!E7</f>
        <v>0</v>
      </c>
      <c r="F360" s="748" t="s">
        <v>3516</v>
      </c>
      <c r="J360" s="748">
        <f>'Part III A-Sources of Funds'!J7</f>
        <v>0</v>
      </c>
      <c r="K360" s="748" t="s">
        <v>2436</v>
      </c>
      <c r="M360" s="748">
        <f>'Part III A-Sources of Funds'!M7</f>
        <v>0</v>
      </c>
      <c r="N360" s="748" t="s">
        <v>1974</v>
      </c>
      <c r="P360" s="748">
        <f>'Part III A-Sources of Funds'!P7</f>
        <v>0</v>
      </c>
    </row>
    <row r="361" spans="1:16">
      <c r="B361" s="748">
        <f>'Part III A-Sources of Funds'!B8</f>
        <v>0</v>
      </c>
      <c r="C361" s="748" t="s">
        <v>3914</v>
      </c>
      <c r="E361" s="748">
        <f>'Part III A-Sources of Funds'!E8</f>
        <v>0</v>
      </c>
      <c r="F361" s="748" t="s">
        <v>3915</v>
      </c>
      <c r="H361" s="748">
        <f>'Part III A-Sources of Funds'!H8</f>
        <v>0</v>
      </c>
      <c r="I361" s="748" t="s">
        <v>3776</v>
      </c>
      <c r="J361" s="748">
        <f>'Part III A-Sources of Funds'!J8</f>
        <v>0</v>
      </c>
      <c r="K361" s="748" t="s">
        <v>930</v>
      </c>
      <c r="M361" s="748">
        <f>'Part III A-Sources of Funds'!M8</f>
        <v>0</v>
      </c>
      <c r="N361" s="748" t="s">
        <v>3287</v>
      </c>
    </row>
    <row r="362" spans="1:16">
      <c r="B362" s="748" t="s">
        <v>433</v>
      </c>
    </row>
    <row r="364" spans="1:16">
      <c r="A364" s="748" t="s">
        <v>1241</v>
      </c>
      <c r="B364" s="748" t="s">
        <v>3838</v>
      </c>
    </row>
    <row r="366" spans="1:16">
      <c r="B366" s="748" t="s">
        <v>2985</v>
      </c>
      <c r="H366" s="748" t="s">
        <v>2276</v>
      </c>
      <c r="L366" s="748" t="s">
        <v>3117</v>
      </c>
      <c r="N366" s="748" t="s">
        <v>2184</v>
      </c>
      <c r="P366" s="748" t="s">
        <v>2401</v>
      </c>
    </row>
    <row r="367" spans="1:16">
      <c r="B367" s="748" t="s">
        <v>2629</v>
      </c>
      <c r="H367" s="748" t="str">
        <f>'Part III A-Sources of Funds'!H14</f>
        <v>DCA HOME Loan</v>
      </c>
      <c r="L367" s="748">
        <f>'Part III A-Sources of Funds'!L14</f>
        <v>1600000</v>
      </c>
      <c r="N367" s="748">
        <f>'Part III A-Sources of Funds'!N14</f>
        <v>0</v>
      </c>
      <c r="P367" s="748">
        <f>'Part III A-Sources of Funds'!P14</f>
        <v>24</v>
      </c>
    </row>
    <row r="368" spans="1:16">
      <c r="B368" s="748" t="s">
        <v>2630</v>
      </c>
      <c r="H368" s="748">
        <f>'Part III A-Sources of Funds'!H15</f>
        <v>0</v>
      </c>
      <c r="L368" s="748">
        <f>'Part III A-Sources of Funds'!L15</f>
        <v>0</v>
      </c>
      <c r="N368" s="748">
        <f>'Part III A-Sources of Funds'!N15</f>
        <v>0</v>
      </c>
      <c r="P368" s="748">
        <f>'Part III A-Sources of Funds'!P15</f>
        <v>0</v>
      </c>
    </row>
    <row r="369" spans="1:17">
      <c r="B369" s="748" t="s">
        <v>2631</v>
      </c>
      <c r="H369" s="748">
        <f>'Part III A-Sources of Funds'!H16</f>
        <v>0</v>
      </c>
      <c r="L369" s="748">
        <f>'Part III A-Sources of Funds'!L16</f>
        <v>0</v>
      </c>
      <c r="N369" s="748">
        <f>'Part III A-Sources of Funds'!N16</f>
        <v>0</v>
      </c>
      <c r="P369" s="748">
        <f>'Part III A-Sources of Funds'!P16</f>
        <v>0</v>
      </c>
    </row>
    <row r="370" spans="1:17">
      <c r="B370" s="748" t="s">
        <v>3537</v>
      </c>
      <c r="H370" s="748">
        <f>'Part III A-Sources of Funds'!H17</f>
        <v>0</v>
      </c>
      <c r="L370" s="748">
        <f>'Part III A-Sources of Funds'!L17</f>
        <v>0</v>
      </c>
    </row>
    <row r="371" spans="1:17">
      <c r="B371" s="748" t="s">
        <v>1376</v>
      </c>
      <c r="H371" s="748">
        <f>'Part III A-Sources of Funds'!H18</f>
        <v>0</v>
      </c>
      <c r="L371" s="748">
        <f>'Part III A-Sources of Funds'!L18</f>
        <v>0</v>
      </c>
    </row>
    <row r="372" spans="1:17">
      <c r="B372" s="748" t="s">
        <v>1047</v>
      </c>
      <c r="H372" s="748">
        <f>'Part III A-Sources of Funds'!H19</f>
        <v>0</v>
      </c>
      <c r="L372" s="748">
        <f>'Part III A-Sources of Funds'!L19</f>
        <v>0</v>
      </c>
    </row>
    <row r="373" spans="1:17">
      <c r="B373" s="748" t="s">
        <v>1377</v>
      </c>
      <c r="H373" s="748" t="str">
        <f>'Part III A-Sources of Funds'!H20</f>
        <v>Alliant Tax Credit Funds (both state and fed)</v>
      </c>
      <c r="L373" s="748">
        <f>'Part III A-Sources of Funds'!L20</f>
        <v>5896166</v>
      </c>
    </row>
    <row r="374" spans="1:17">
      <c r="B374" s="748" t="s">
        <v>1378</v>
      </c>
      <c r="H374" s="748" t="str">
        <f>'Part III A-Sources of Funds'!H21</f>
        <v xml:space="preserve"> </v>
      </c>
      <c r="L374" s="748">
        <f>'Part III A-Sources of Funds'!L21</f>
        <v>0</v>
      </c>
    </row>
    <row r="375" spans="1:17">
      <c r="B375" s="748" t="s">
        <v>432</v>
      </c>
      <c r="D375" s="748">
        <f>'Part III A-Sources of Funds'!D22</f>
        <v>0</v>
      </c>
      <c r="H375" s="748">
        <f>'Part III A-Sources of Funds'!H22</f>
        <v>0</v>
      </c>
      <c r="L375" s="748">
        <f>'Part III A-Sources of Funds'!L22</f>
        <v>0</v>
      </c>
    </row>
    <row r="376" spans="1:17">
      <c r="B376" s="748" t="s">
        <v>432</v>
      </c>
      <c r="D376" s="748">
        <f>'Part III A-Sources of Funds'!D23</f>
        <v>0</v>
      </c>
      <c r="H376" s="748">
        <f>'Part III A-Sources of Funds'!H23</f>
        <v>0</v>
      </c>
      <c r="L376" s="748">
        <f>'Part III A-Sources of Funds'!L23</f>
        <v>0</v>
      </c>
    </row>
    <row r="377" spans="1:17">
      <c r="B377" s="748" t="s">
        <v>432</v>
      </c>
      <c r="D377" s="748">
        <f>'Part III A-Sources of Funds'!D24</f>
        <v>0</v>
      </c>
      <c r="H377" s="748">
        <f>'Part III A-Sources of Funds'!H24</f>
        <v>0</v>
      </c>
      <c r="L377" s="748">
        <f>'Part III A-Sources of Funds'!L24</f>
        <v>0</v>
      </c>
    </row>
    <row r="378" spans="1:17">
      <c r="B378" s="748" t="s">
        <v>2277</v>
      </c>
      <c r="L378" s="748">
        <f>SUM(L367:L377)</f>
        <v>7496166</v>
      </c>
    </row>
    <row r="379" spans="1:17">
      <c r="B379" s="748" t="s">
        <v>2298</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7496166</v>
      </c>
    </row>
    <row r="380" spans="1:17">
      <c r="B380" s="748" t="s">
        <v>3476</v>
      </c>
      <c r="L380" s="748">
        <f>L378-L379</f>
        <v>0</v>
      </c>
    </row>
    <row r="382" spans="1:17">
      <c r="A382" s="748" t="s">
        <v>1243</v>
      </c>
      <c r="B382" s="748" t="s">
        <v>1375</v>
      </c>
    </row>
    <row r="383" spans="1:17">
      <c r="J383" s="748" t="s">
        <v>3273</v>
      </c>
      <c r="K383" s="748" t="s">
        <v>2160</v>
      </c>
      <c r="L383" s="748" t="s">
        <v>2299</v>
      </c>
      <c r="M383" s="748" t="s">
        <v>115</v>
      </c>
      <c r="Q383" s="748" t="s">
        <v>3640</v>
      </c>
    </row>
    <row r="384" spans="1:17">
      <c r="B384" s="748" t="s">
        <v>2985</v>
      </c>
      <c r="E384" s="748" t="s">
        <v>2276</v>
      </c>
      <c r="H384" s="748" t="s">
        <v>877</v>
      </c>
      <c r="J384" s="748" t="s">
        <v>2968</v>
      </c>
      <c r="K384" s="748" t="s">
        <v>3536</v>
      </c>
      <c r="L384" s="748" t="s">
        <v>3536</v>
      </c>
      <c r="O384" s="748" t="s">
        <v>219</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DCA HOME Loan</v>
      </c>
      <c r="H386" s="748">
        <f>'Part III A-Sources of Funds'!H33</f>
        <v>1600000</v>
      </c>
      <c r="J386" s="748">
        <f>'Part III A-Sources of Funds'!J33</f>
        <v>0.01</v>
      </c>
      <c r="K386" s="748">
        <f>'Part III A-Sources of Funds'!K33</f>
        <v>20</v>
      </c>
      <c r="L386" s="748">
        <f>'Part III A-Sources of Funds'!L33</f>
        <v>0</v>
      </c>
      <c r="M386" s="748">
        <f>'Part III A-Sources of Funds'!M33</f>
        <v>39000</v>
      </c>
      <c r="O386" s="748" t="str">
        <f>'Part III A-Sources of Funds'!O33</f>
        <v>Cash Flow</v>
      </c>
      <c r="Q386" s="748">
        <f>'Part III A-Sources of Funds'!Q33</f>
        <v>1.2</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1242</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2098</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337</v>
      </c>
      <c r="D390" s="748">
        <f>'Part III A-Sources of Funds'!D37</f>
        <v>4.4016397658922068E-2</v>
      </c>
      <c r="E390" s="748" t="str">
        <f>'Part III A-Sources of Funds'!E37</f>
        <v>Endeavor Pointe Development LLC</v>
      </c>
      <c r="H390" s="748">
        <f>'Part III A-Sources of Funds'!H37</f>
        <v>50486.5</v>
      </c>
      <c r="J390" s="748">
        <f>'Part III A-Sources of Funds'!J37</f>
        <v>0</v>
      </c>
      <c r="K390" s="748">
        <f>'Part III A-Sources of Funds'!K37</f>
        <v>10</v>
      </c>
      <c r="L390" s="748">
        <f>'Part III A-Sources of Funds'!L37</f>
        <v>10</v>
      </c>
      <c r="M390" s="748">
        <f>'Part III A-Sources of Funds'!M37</f>
        <v>4000</v>
      </c>
      <c r="O390" s="748" t="str">
        <f>'Part III A-Sources of Funds'!O37</f>
        <v>Amortizing</v>
      </c>
      <c r="Q390" s="748">
        <f>'Part III A-Sources of Funds'!Q37</f>
        <v>0</v>
      </c>
    </row>
    <row r="391" spans="2:19">
      <c r="B391" s="748" t="s">
        <v>3537</v>
      </c>
      <c r="E391" s="748">
        <f>'Part III A-Sources of Funds'!E38</f>
        <v>0</v>
      </c>
      <c r="H391" s="748">
        <f>'Part III A-Sources of Funds'!H38</f>
        <v>0</v>
      </c>
      <c r="S391" s="748" t="s">
        <v>863</v>
      </c>
    </row>
    <row r="392" spans="2:19">
      <c r="B392" s="748" t="s">
        <v>1376</v>
      </c>
      <c r="E392" s="748">
        <f>'Part III A-Sources of Funds'!E39</f>
        <v>0</v>
      </c>
      <c r="H392" s="748">
        <f>'Part III A-Sources of Funds'!H39</f>
        <v>0</v>
      </c>
      <c r="J392" s="748" t="s">
        <v>864</v>
      </c>
      <c r="L392" s="748" t="s">
        <v>865</v>
      </c>
      <c r="S392" s="748" t="s">
        <v>3961</v>
      </c>
    </row>
    <row r="393" spans="2:19">
      <c r="B393" s="748" t="s">
        <v>1377</v>
      </c>
      <c r="E393" s="748" t="str">
        <f>'Part III A-Sources of Funds'!E40</f>
        <v>Alliant Tax Credit Funds</v>
      </c>
      <c r="H393" s="748">
        <f>'Part III A-Sources of Funds'!H40</f>
        <v>5642367</v>
      </c>
      <c r="J393" s="748">
        <f>'Part IV-Uses of Funds'!$J$165*10*'Part IV-Uses of Funds'!$N$158</f>
        <v>5643067.5</v>
      </c>
      <c r="L393" s="748">
        <f>H393-J393</f>
        <v>-700.5</v>
      </c>
      <c r="M393" s="748" t="s">
        <v>2402</v>
      </c>
      <c r="S393" s="748">
        <f>H393/H403</f>
        <v>0.61187422931038282</v>
      </c>
    </row>
    <row r="394" spans="2:19">
      <c r="B394" s="748" t="s">
        <v>1378</v>
      </c>
      <c r="E394" s="748" t="str">
        <f>'Part III A-Sources of Funds'!E41</f>
        <v>Alliant Tax Credit Funds</v>
      </c>
      <c r="H394" s="748">
        <f>'Part III A-Sources of Funds'!H41</f>
        <v>1880788.8</v>
      </c>
      <c r="J394" s="748">
        <f>'Part IV-Uses of Funds'!$J$165*10*'Part IV-Uses of Funds'!$Q$158</f>
        <v>1881022.5</v>
      </c>
      <c r="L394" s="748">
        <f>H394-J394</f>
        <v>-233.69999999995343</v>
      </c>
      <c r="S394" s="748">
        <f>H394/H403</f>
        <v>0.20395805474822884</v>
      </c>
    </row>
    <row r="395" spans="2:19">
      <c r="B395" s="748" t="s">
        <v>2151</v>
      </c>
      <c r="E395" s="748">
        <f>'Part III A-Sources of Funds'!E42</f>
        <v>0</v>
      </c>
      <c r="H395" s="748">
        <f>'Part III A-Sources of Funds'!H42</f>
        <v>0</v>
      </c>
      <c r="M395" s="748" t="s">
        <v>3253</v>
      </c>
      <c r="N395" s="748" t="s">
        <v>3254</v>
      </c>
      <c r="O395" s="748">
        <v>8</v>
      </c>
      <c r="P395" s="748">
        <v>9</v>
      </c>
      <c r="Q395" s="748">
        <v>10</v>
      </c>
      <c r="S395" s="748">
        <f>SUM(S393:S394)</f>
        <v>0.81583228405861163</v>
      </c>
    </row>
    <row r="396" spans="2:19">
      <c r="B396" s="748" t="s">
        <v>975</v>
      </c>
      <c r="E396" s="748">
        <f>'Part III A-Sources of Funds'!E43</f>
        <v>0</v>
      </c>
      <c r="H396" s="748">
        <f>'Part III A-Sources of Funds'!H43</f>
        <v>0</v>
      </c>
      <c r="M396" s="748" t="s">
        <v>3255</v>
      </c>
      <c r="N396" s="748">
        <f>'Part III A-Sources of Funds'!N43</f>
        <v>0.01</v>
      </c>
      <c r="O396" s="748">
        <f>'Part III A-Sources of Funds'!O43</f>
        <v>5.0000000000000001E-3</v>
      </c>
      <c r="P396" s="748">
        <f>'Part III A-Sources of Funds'!P43</f>
        <v>5.0000000000000001E-3</v>
      </c>
      <c r="Q396" s="748">
        <f>'Part III A-Sources of Funds'!Q43</f>
        <v>5.0000000000000001E-3</v>
      </c>
    </row>
    <row r="397" spans="2:19">
      <c r="B397" s="748" t="s">
        <v>3092</v>
      </c>
      <c r="E397" s="748">
        <f>'Part III A-Sources of Funds'!E44</f>
        <v>0</v>
      </c>
      <c r="H397" s="748">
        <f>'Part III A-Sources of Funds'!H44</f>
        <v>0</v>
      </c>
      <c r="M397" s="748">
        <v>11</v>
      </c>
      <c r="N397" s="748">
        <v>12</v>
      </c>
      <c r="O397" s="748">
        <v>13</v>
      </c>
      <c r="P397" s="748">
        <v>14</v>
      </c>
      <c r="Q397" s="748">
        <v>15</v>
      </c>
    </row>
    <row r="398" spans="2:19">
      <c r="B398" s="748" t="s">
        <v>3093</v>
      </c>
      <c r="E398" s="748">
        <f>'Part III A-Sources of Funds'!E45</f>
        <v>0</v>
      </c>
      <c r="H398" s="748">
        <f>'Part III A-Sources of Funds'!H45</f>
        <v>0</v>
      </c>
      <c r="M398" s="748">
        <f>'Part III A-Sources of Funds'!M45</f>
        <v>5.0000000000000001E-3</v>
      </c>
      <c r="N398" s="748">
        <f>'Part III A-Sources of Funds'!N45</f>
        <v>5.0000000000000001E-3</v>
      </c>
      <c r="O398" s="748">
        <f>'Part III A-Sources of Funds'!O45</f>
        <v>5.0000000000000001E-3</v>
      </c>
      <c r="P398" s="748">
        <f>'Part III A-Sources of Funds'!P45</f>
        <v>5.0000000000000001E-3</v>
      </c>
      <c r="Q398" s="748">
        <f>'Part III A-Sources of Funds'!Q45</f>
        <v>5.0000000000000001E-3</v>
      </c>
    </row>
    <row r="399" spans="2:19">
      <c r="B399" s="748" t="s">
        <v>1242</v>
      </c>
      <c r="C399" s="748" t="str">
        <f>'Part III A-Sources of Funds'!C46</f>
        <v>Federal Energy Credit</v>
      </c>
      <c r="E399" s="748" t="str">
        <f>'Part III A-Sources of Funds'!E46</f>
        <v>Alliant Tax Credit Funds</v>
      </c>
      <c r="H399" s="748">
        <f>'Part III A-Sources of Funds'!H46</f>
        <v>47807</v>
      </c>
      <c r="M399" s="748">
        <v>16</v>
      </c>
      <c r="N399" s="748">
        <v>17</v>
      </c>
      <c r="O399" s="748">
        <v>18</v>
      </c>
      <c r="P399" s="748">
        <v>19</v>
      </c>
      <c r="Q399" s="748">
        <v>20</v>
      </c>
    </row>
    <row r="400" spans="2:19">
      <c r="B400" s="748" t="s">
        <v>1242</v>
      </c>
      <c r="C400" s="748">
        <f>'Part III A-Sources of Funds'!C47</f>
        <v>0</v>
      </c>
      <c r="E400" s="748">
        <f>'Part III A-Sources of Funds'!E47</f>
        <v>0</v>
      </c>
      <c r="H400" s="748">
        <f>'Part III A-Sources of Funds'!H47</f>
        <v>0</v>
      </c>
      <c r="M400" s="748">
        <f>'Part III A-Sources of Funds'!M47</f>
        <v>2.5000000000000001E-3</v>
      </c>
      <c r="N400" s="748">
        <f>'Part III A-Sources of Funds'!N47</f>
        <v>2.5000000000000001E-3</v>
      </c>
      <c r="O400" s="748">
        <f>'Part III A-Sources of Funds'!O47</f>
        <v>2.5000000000000001E-3</v>
      </c>
      <c r="P400" s="748">
        <f>'Part III A-Sources of Funds'!P47</f>
        <v>2.5000000000000001E-3</v>
      </c>
      <c r="Q400" s="748">
        <f>'Part III A-Sources of Funds'!Q47</f>
        <v>2.5000000000000001E-3</v>
      </c>
    </row>
    <row r="401" spans="1:17">
      <c r="B401" s="748" t="s">
        <v>1242</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3433</v>
      </c>
      <c r="H402" s="748">
        <f>SUM(H385:I401)</f>
        <v>9221449.3000000007</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3434</v>
      </c>
      <c r="H403" s="748">
        <f>'Part IV-Uses of Funds'!$G$123</f>
        <v>9221449</v>
      </c>
      <c r="M403" s="748">
        <v>26</v>
      </c>
      <c r="N403" s="748">
        <v>27</v>
      </c>
      <c r="O403" s="748">
        <v>28</v>
      </c>
      <c r="P403" s="748">
        <v>29</v>
      </c>
      <c r="Q403" s="748">
        <v>30</v>
      </c>
    </row>
    <row r="404" spans="1:17">
      <c r="B404" s="748" t="s">
        <v>2331</v>
      </c>
      <c r="H404" s="748">
        <f>H402-H403</f>
        <v>0.30000000074505806</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2950</v>
      </c>
      <c r="B406" s="748" t="s">
        <v>953</v>
      </c>
      <c r="K406" s="748" t="s">
        <v>2950</v>
      </c>
      <c r="L406" s="748" t="s">
        <v>224</v>
      </c>
    </row>
    <row r="408" spans="1:17">
      <c r="A408" s="748" t="str">
        <f>'Part III A-Sources of Funds'!A55</f>
        <v xml:space="preserve">The Endeavor Pointe proposal features a solar array with an estimated cost of $212,500.  Per IRC Section 48, the solar equipment is eligible for a federal tax credit equal to 30% of the system's installed value, or $63,750 in this case.  We have shown proceeds from the sale of these credits, at $0.75 per $1 of credit as a source above.  </v>
      </c>
      <c r="K408" s="748">
        <f>'Part III A-Sources of Funds'!K55</f>
        <v>0</v>
      </c>
    </row>
    <row r="409" spans="1:17">
      <c r="A409" s="748">
        <f>'Part III A-Sources of Funds'!A56</f>
        <v>0</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2011-028 Endeavor Pointe, LaFayette, Walker County</v>
      </c>
    </row>
    <row r="415" spans="1:17" ht="10.9" customHeight="1"/>
    <row r="416" spans="1:17" ht="14.65" customHeight="1">
      <c r="A416" s="748" t="s">
        <v>504</v>
      </c>
    </row>
    <row r="417" spans="1:5" ht="6" customHeight="1"/>
    <row r="418" spans="1:5">
      <c r="A418" s="748" t="s">
        <v>3493</v>
      </c>
      <c r="C418" s="748">
        <f>'Part III B-USDA 538 Loan'!C5</f>
        <v>0</v>
      </c>
      <c r="D418" s="748">
        <f>IF(C418&gt;1500000,1500000,0)</f>
        <v>0</v>
      </c>
      <c r="E418" s="748">
        <f>IF(C418&gt;1500000,C418-1500000,0)</f>
        <v>0</v>
      </c>
    </row>
    <row r="419" spans="1:5">
      <c r="A419" s="748" t="s">
        <v>3765</v>
      </c>
      <c r="B419" s="748" t="s">
        <v>915</v>
      </c>
      <c r="C419" s="748">
        <v>0</v>
      </c>
      <c r="D419" s="748" t="s">
        <v>916</v>
      </c>
    </row>
    <row r="420" spans="1:5">
      <c r="B420" s="748" t="s">
        <v>3863</v>
      </c>
      <c r="C420" s="748">
        <f>'Part III B-USDA 538 Loan'!C7</f>
        <v>0</v>
      </c>
      <c r="D420" s="748" t="s">
        <v>2926</v>
      </c>
    </row>
    <row r="421" spans="1:5" ht="13.15" customHeight="1">
      <c r="A421" s="748" t="s">
        <v>3851</v>
      </c>
      <c r="C421" s="748">
        <v>0</v>
      </c>
      <c r="D421" s="748" t="s">
        <v>2789</v>
      </c>
    </row>
    <row r="422" spans="1:5">
      <c r="A422" s="748" t="s">
        <v>2346</v>
      </c>
      <c r="C422" s="748">
        <f>'Part III B-USDA 538 Loan'!C9</f>
        <v>0</v>
      </c>
    </row>
    <row r="423" spans="1:5">
      <c r="A423" s="748" t="s">
        <v>2347</v>
      </c>
      <c r="C423" s="748">
        <f>'Part III B-USDA 538 Loan'!C10</f>
        <v>0</v>
      </c>
    </row>
    <row r="424" spans="1:5">
      <c r="A424" s="748" t="s">
        <v>2344</v>
      </c>
      <c r="C424" s="748" t="e">
        <f>PMT(C420/12,C423*12,-C418,0,0)*12</f>
        <v>#DIV/0!</v>
      </c>
      <c r="D424" s="748" t="e">
        <f>PMT($C$7/12,$C$10*12,-D418,0,0)*12</f>
        <v>#DIV/0!</v>
      </c>
      <c r="E424" s="748" t="e">
        <f>PMT($C$7/12,$C$10*12,-E418,0,0)*12</f>
        <v>#DIV/0!</v>
      </c>
    </row>
    <row r="425" spans="1:5">
      <c r="A425" s="748" t="s">
        <v>2345</v>
      </c>
      <c r="C425" s="748" t="e">
        <f>C424/12</f>
        <v>#DIV/0!</v>
      </c>
      <c r="D425" s="748" t="e">
        <f>D424/12</f>
        <v>#DIV/0!</v>
      </c>
      <c r="E425" s="748" t="e">
        <f>E424/12</f>
        <v>#DIV/0!</v>
      </c>
    </row>
    <row r="426" spans="1:5" ht="10.9" customHeight="1"/>
    <row r="427" spans="1:5" ht="12.4" customHeight="1">
      <c r="A427" s="748" t="s">
        <v>378</v>
      </c>
    </row>
    <row r="428" spans="1:5" ht="5.65" customHeight="1"/>
    <row r="429" spans="1:5" ht="13.15" customHeight="1">
      <c r="A429" s="748" t="s">
        <v>3865</v>
      </c>
      <c r="B429" s="748" t="s">
        <v>3861</v>
      </c>
      <c r="C429" s="748" t="s">
        <v>3862</v>
      </c>
      <c r="D429" s="748" t="s">
        <v>3492</v>
      </c>
    </row>
    <row r="430" spans="1:5" ht="12.4" customHeight="1">
      <c r="A430" s="748">
        <v>1</v>
      </c>
      <c r="B430" s="748">
        <f>IF(A430&gt;$C$9,0,SUM(C477:C488)*($C$6/$C$7))</f>
        <v>0</v>
      </c>
      <c r="C430" s="748">
        <f>IF(A430&gt;C422,0,(E476+K476)*$C$8)</f>
        <v>0</v>
      </c>
      <c r="D430" s="748">
        <f t="shared" ref="D430:D469" si="0">IF(A430&gt;$C$9,0,$C$11+C430)</f>
        <v>0</v>
      </c>
    </row>
    <row r="431" spans="1:5" ht="12.4" customHeight="1">
      <c r="A431" s="748">
        <v>2</v>
      </c>
      <c r="B431" s="748">
        <f>IF(A431&gt;C422,0,SUM(C489:C500)*($C$6/$C$7))</f>
        <v>0</v>
      </c>
      <c r="C431" s="748">
        <f>IF(A431&gt;C422,0,(E488+K488)*$C$8)</f>
        <v>0</v>
      </c>
      <c r="D431" s="748">
        <f t="shared" si="0"/>
        <v>0</v>
      </c>
    </row>
    <row r="432" spans="1:5" ht="12.4" customHeight="1">
      <c r="A432" s="748">
        <v>3</v>
      </c>
      <c r="B432" s="748">
        <f>IF(A432&gt;C422,0,SUM(C501:C512)*($C$6/$C$7))</f>
        <v>0</v>
      </c>
      <c r="C432" s="748">
        <f>IF(A432&gt;C422,0,(E500+K500)*$C$8)</f>
        <v>0</v>
      </c>
      <c r="D432" s="748">
        <f t="shared" si="0"/>
        <v>0</v>
      </c>
    </row>
    <row r="433" spans="1:4" ht="12.4" customHeight="1">
      <c r="A433" s="748">
        <v>4</v>
      </c>
      <c r="B433" s="748">
        <f>IF(A433&gt;C422,0,SUM(C513:C524)*($C$6/$C$7))</f>
        <v>0</v>
      </c>
      <c r="C433" s="748">
        <f>IF(A433&gt;C422,0,(E512+K512)*$C$8)</f>
        <v>0</v>
      </c>
      <c r="D433" s="748">
        <f t="shared" si="0"/>
        <v>0</v>
      </c>
    </row>
    <row r="434" spans="1:4" ht="12.4" customHeight="1">
      <c r="A434" s="748">
        <v>5</v>
      </c>
      <c r="B434" s="748">
        <f>IF(A434&gt;C422,0,SUM(C525:C536)*($C$6/$C$7))</f>
        <v>0</v>
      </c>
      <c r="C434" s="748">
        <f>IF(A434&gt;C422,0,(E524+K524)*$C$8)</f>
        <v>0</v>
      </c>
      <c r="D434" s="748">
        <f t="shared" si="0"/>
        <v>0</v>
      </c>
    </row>
    <row r="435" spans="1:4" ht="12.4" customHeight="1">
      <c r="A435" s="748">
        <v>6</v>
      </c>
      <c r="B435" s="748">
        <f>IF(A435&gt;C422,0,SUM(C537:C548)*($C$6/$C$7))</f>
        <v>0</v>
      </c>
      <c r="C435" s="748">
        <f>IF(A435&gt;C422,0,(E536+K536)*$C$8)</f>
        <v>0</v>
      </c>
      <c r="D435" s="748">
        <f t="shared" si="0"/>
        <v>0</v>
      </c>
    </row>
    <row r="436" spans="1:4" ht="12.4" customHeight="1">
      <c r="A436" s="748">
        <v>7</v>
      </c>
      <c r="B436" s="748">
        <f>IF(A436&gt;C422,0,SUM(C549:C560)*($C$6/$C$7))</f>
        <v>0</v>
      </c>
      <c r="C436" s="748">
        <f>IF(A436&gt;C422,0,(E548+K548)*$C$8)</f>
        <v>0</v>
      </c>
      <c r="D436" s="748">
        <f t="shared" si="0"/>
        <v>0</v>
      </c>
    </row>
    <row r="437" spans="1:4" ht="12.4" customHeight="1">
      <c r="A437" s="748">
        <v>8</v>
      </c>
      <c r="B437" s="748">
        <f>IF(A437&gt;C422,0,SUM(C561:C572)*($C$6/$C$7))</f>
        <v>0</v>
      </c>
      <c r="C437" s="748">
        <f>IF(A437&gt;C422,0,(E560+K560)*$C$8)</f>
        <v>0</v>
      </c>
      <c r="D437" s="748">
        <f t="shared" si="0"/>
        <v>0</v>
      </c>
    </row>
    <row r="438" spans="1:4" ht="12.4" customHeight="1">
      <c r="A438" s="748">
        <v>9</v>
      </c>
      <c r="B438" s="748">
        <f>IF(A438&gt;C422,0,SUM(C573:C584)*($C$6/$C$7))</f>
        <v>0</v>
      </c>
      <c r="C438" s="748">
        <f>IF(A438&gt;C422,0,(E572+K572)*$C$8)</f>
        <v>0</v>
      </c>
      <c r="D438" s="748">
        <f t="shared" si="0"/>
        <v>0</v>
      </c>
    </row>
    <row r="439" spans="1:4" ht="12.4" customHeight="1">
      <c r="A439" s="748">
        <v>10</v>
      </c>
      <c r="B439" s="748">
        <f>IF(A439&gt;C422,0,SUM(C585:C596)*($C$6/$C$7))</f>
        <v>0</v>
      </c>
      <c r="C439" s="748">
        <f>IF(A439&gt;C422,0,(E584+K584)*$C$8)</f>
        <v>0</v>
      </c>
      <c r="D439" s="748">
        <f t="shared" si="0"/>
        <v>0</v>
      </c>
    </row>
    <row r="440" spans="1:4" ht="12.4" customHeight="1">
      <c r="A440" s="748">
        <v>11</v>
      </c>
      <c r="B440" s="748">
        <f>IF(A440&gt;C422,0,SUM(C597:C608)*($C$6/$C$7))</f>
        <v>0</v>
      </c>
      <c r="C440" s="748">
        <f>IF(A440&gt;C422,0,(E596+K596)*$C$8)</f>
        <v>0</v>
      </c>
      <c r="D440" s="748">
        <f t="shared" si="0"/>
        <v>0</v>
      </c>
    </row>
    <row r="441" spans="1:4" ht="12.4" customHeight="1">
      <c r="A441" s="748">
        <v>12</v>
      </c>
      <c r="B441" s="748">
        <f>IF(A441&gt;C422,0,SUM(C609:C620)*($C$6/$C$7))</f>
        <v>0</v>
      </c>
      <c r="C441" s="748">
        <f>IF(A441&gt;C422,0,(E608+K608)*$C$8)</f>
        <v>0</v>
      </c>
      <c r="D441" s="748">
        <f t="shared" si="0"/>
        <v>0</v>
      </c>
    </row>
    <row r="442" spans="1:4" ht="12.4" customHeight="1">
      <c r="A442" s="748">
        <v>13</v>
      </c>
      <c r="B442" s="748">
        <f>IF(A442&gt;C422,0,SUM(C621:C632)*($C$6/$C$7))</f>
        <v>0</v>
      </c>
      <c r="C442" s="748">
        <f>IF(A442&gt;C422,0,(E620+K620)*$C$8)</f>
        <v>0</v>
      </c>
      <c r="D442" s="748">
        <f t="shared" si="0"/>
        <v>0</v>
      </c>
    </row>
    <row r="443" spans="1:4" ht="12.4" customHeight="1">
      <c r="A443" s="748">
        <v>14</v>
      </c>
      <c r="B443" s="748">
        <f>IF(A443&gt;C422,0,SUM(C633:C644)*($C$6/$C$7))</f>
        <v>0</v>
      </c>
      <c r="C443" s="748">
        <f>IF(A443&gt;C422,0,(E632+K632)*$C$8)</f>
        <v>0</v>
      </c>
      <c r="D443" s="748">
        <f t="shared" si="0"/>
        <v>0</v>
      </c>
    </row>
    <row r="444" spans="1:4" ht="12.4" customHeight="1">
      <c r="A444" s="748">
        <v>15</v>
      </c>
      <c r="B444" s="748">
        <f>IF(A444&gt;C422,0,SUM(C645:C656)*($C$6/$C$7))</f>
        <v>0</v>
      </c>
      <c r="C444" s="748">
        <f>IF(A444&gt;C422,0,(E644+K644)*$C$8)</f>
        <v>0</v>
      </c>
      <c r="D444" s="748">
        <f t="shared" si="0"/>
        <v>0</v>
      </c>
    </row>
    <row r="445" spans="1:4" ht="12.4" customHeight="1">
      <c r="A445" s="748">
        <v>16</v>
      </c>
      <c r="B445" s="748">
        <f>IF(A445&gt;C422,0,SUM(C657:C668)*($C$6/$C$7))</f>
        <v>0</v>
      </c>
      <c r="C445" s="748">
        <f>IF(A445&gt;C422,0,(E656+K656)*$C$8)</f>
        <v>0</v>
      </c>
      <c r="D445" s="748">
        <f t="shared" si="0"/>
        <v>0</v>
      </c>
    </row>
    <row r="446" spans="1:4" ht="12.4" customHeight="1">
      <c r="A446" s="748">
        <v>17</v>
      </c>
      <c r="B446" s="748">
        <f>IF(A446&gt;C422,0,SUM(C669:C680)*($C$6/$C$7))</f>
        <v>0</v>
      </c>
      <c r="C446" s="748">
        <f>IF(A446&gt;C422,0,(E668+K668)*$C$8)</f>
        <v>0</v>
      </c>
      <c r="D446" s="748">
        <f t="shared" si="0"/>
        <v>0</v>
      </c>
    </row>
    <row r="447" spans="1:4" ht="12.4" customHeight="1">
      <c r="A447" s="748">
        <v>18</v>
      </c>
      <c r="B447" s="748">
        <f>IF(A447&gt;C422,0,SUM(C681:C692)*($C$6/$C$7))</f>
        <v>0</v>
      </c>
      <c r="C447" s="748">
        <f>IF(A447&gt;C422,0,(E680+K680)*$C$8)</f>
        <v>0</v>
      </c>
      <c r="D447" s="748">
        <f t="shared" si="0"/>
        <v>0</v>
      </c>
    </row>
    <row r="448" spans="1:4" ht="12.4" customHeight="1">
      <c r="A448" s="748">
        <v>19</v>
      </c>
      <c r="B448" s="748">
        <f>IF(A448&gt;C422,0,SUM(C693:C704)*($C$6/$C$7))</f>
        <v>0</v>
      </c>
      <c r="C448" s="748">
        <f>IF(A448&gt;C422,0,(E692+K692)*$C$8)</f>
        <v>0</v>
      </c>
      <c r="D448" s="748">
        <f t="shared" si="0"/>
        <v>0</v>
      </c>
    </row>
    <row r="449" spans="1:4" ht="12.4" customHeight="1">
      <c r="A449" s="748">
        <v>20</v>
      </c>
      <c r="B449" s="748">
        <f>IF(A449&gt;C422,0,SUM(C705:C716)*($C$6/$C$7))</f>
        <v>0</v>
      </c>
      <c r="C449" s="748">
        <f>IF(A449&gt;C422,0,(E704+K704)*$C$8)</f>
        <v>0</v>
      </c>
      <c r="D449" s="748">
        <f t="shared" si="0"/>
        <v>0</v>
      </c>
    </row>
    <row r="450" spans="1:4" ht="12.4" customHeight="1">
      <c r="A450" s="748">
        <v>21</v>
      </c>
      <c r="B450" s="748">
        <f>IF(A450&gt;C422,0,SUM(C706:C717)*($C$6/$C$7))</f>
        <v>0</v>
      </c>
      <c r="C450" s="748">
        <f>IF(A450&gt;C422,0,(E716+K716)*$C$8)</f>
        <v>0</v>
      </c>
      <c r="D450" s="748">
        <f t="shared" si="0"/>
        <v>0</v>
      </c>
    </row>
    <row r="451" spans="1:4" ht="12.4" customHeight="1">
      <c r="A451" s="748">
        <v>22</v>
      </c>
      <c r="B451" s="748">
        <f>IF(A451&gt;C422,0,SUM(C707:C718)*($C$6/$C$7))</f>
        <v>0</v>
      </c>
      <c r="C451" s="748">
        <f>IF(A451&gt;C422,0,(E728+K728)*$C$8)</f>
        <v>0</v>
      </c>
      <c r="D451" s="748">
        <f t="shared" si="0"/>
        <v>0</v>
      </c>
    </row>
    <row r="452" spans="1:4" ht="12.4" customHeight="1">
      <c r="A452" s="748">
        <v>23</v>
      </c>
      <c r="B452" s="748">
        <f>IF(A452&gt;C422,0,SUM(C708:C719)*($C$6/$C$7))</f>
        <v>0</v>
      </c>
      <c r="C452" s="748">
        <f>IF(A452&gt;C422,0,(E740+K740)*$C$8)</f>
        <v>0</v>
      </c>
      <c r="D452" s="748">
        <f t="shared" si="0"/>
        <v>0</v>
      </c>
    </row>
    <row r="453" spans="1:4" ht="12.4" customHeight="1">
      <c r="A453" s="748">
        <v>24</v>
      </c>
      <c r="B453" s="748">
        <f>IF(A453&gt;C422,0,SUM(C709:C720)*($C$6/$C$7))</f>
        <v>0</v>
      </c>
      <c r="C453" s="748">
        <f>IF(A453&gt;C422,0,(E752+K752)*$C$8)</f>
        <v>0</v>
      </c>
      <c r="D453" s="748">
        <f t="shared" si="0"/>
        <v>0</v>
      </c>
    </row>
    <row r="454" spans="1:4" ht="12.4" customHeight="1">
      <c r="A454" s="748">
        <v>25</v>
      </c>
      <c r="B454" s="748">
        <f>IF(A454&gt;C422,0,SUM(C710:C721)*($C$6/$C$7))</f>
        <v>0</v>
      </c>
      <c r="C454" s="748">
        <f>IF(A454&gt;C422,0,(E764+K764)*$C$8)</f>
        <v>0</v>
      </c>
      <c r="D454" s="748">
        <f t="shared" si="0"/>
        <v>0</v>
      </c>
    </row>
    <row r="455" spans="1:4" ht="12.4" customHeight="1">
      <c r="A455" s="748">
        <v>26</v>
      </c>
      <c r="B455" s="748">
        <f>IF(A455&gt;C422,0,SUM(C711:C722)*($C$6/$C$7))</f>
        <v>0</v>
      </c>
      <c r="C455" s="748">
        <f>IF(A455&gt;C422,0,(E776+K776)*$C$8)</f>
        <v>0</v>
      </c>
      <c r="D455" s="748">
        <f t="shared" si="0"/>
        <v>0</v>
      </c>
    </row>
    <row r="456" spans="1:4" ht="12.4" customHeight="1">
      <c r="A456" s="748">
        <v>27</v>
      </c>
      <c r="B456" s="748">
        <f>IF(A456&gt;C422,0,SUM(C712:C723)*($C$6/$C$7))</f>
        <v>0</v>
      </c>
      <c r="C456" s="748">
        <f>IF(A456&gt;C422,0,(E788+K788)*$C$8)</f>
        <v>0</v>
      </c>
      <c r="D456" s="748">
        <f t="shared" si="0"/>
        <v>0</v>
      </c>
    </row>
    <row r="457" spans="1:4" ht="12.4" customHeight="1">
      <c r="A457" s="748">
        <v>28</v>
      </c>
      <c r="B457" s="748">
        <f>IF(A457&gt;C422,0,SUM(C713:C724)*($C$6/$C$7))</f>
        <v>0</v>
      </c>
      <c r="C457" s="748">
        <f>IF(A457&gt;C422,0,(E800+K800)*$C$8)</f>
        <v>0</v>
      </c>
      <c r="D457" s="748">
        <f t="shared" si="0"/>
        <v>0</v>
      </c>
    </row>
    <row r="458" spans="1:4" ht="12.4" customHeight="1">
      <c r="A458" s="748">
        <v>29</v>
      </c>
      <c r="B458" s="748">
        <f>IF(A458&gt;C422,0,SUM(C714:C725)*($C$6/$C$7))</f>
        <v>0</v>
      </c>
      <c r="C458" s="748">
        <f>IF(A458&gt;C422,0,(E824+K824)*$C$8)</f>
        <v>0</v>
      </c>
      <c r="D458" s="748">
        <f t="shared" si="0"/>
        <v>0</v>
      </c>
    </row>
    <row r="459" spans="1:4" ht="12.4" customHeight="1">
      <c r="A459" s="748">
        <v>30</v>
      </c>
      <c r="B459" s="748">
        <f>IF(A459&gt;C422,0,SUM(C715:C726)*($C$6/$C$7))</f>
        <v>0</v>
      </c>
      <c r="C459" s="748">
        <f>IF(A459&gt;C422,0,(E836+K836)*$C$8)</f>
        <v>0</v>
      </c>
      <c r="D459" s="748">
        <f t="shared" si="0"/>
        <v>0</v>
      </c>
    </row>
    <row r="460" spans="1:4" ht="12.4" customHeight="1">
      <c r="A460" s="748">
        <v>31</v>
      </c>
      <c r="B460" s="748">
        <f>IF(A460&gt;C422,0,SUM(C716:C727)*($C$6/$C$7))</f>
        <v>0</v>
      </c>
      <c r="C460" s="748">
        <f>IF(A460&gt;C422,0,(E848+K848)*$C$8)</f>
        <v>0</v>
      </c>
      <c r="D460" s="748">
        <f t="shared" si="0"/>
        <v>0</v>
      </c>
    </row>
    <row r="461" spans="1:4" ht="12.4" customHeight="1">
      <c r="A461" s="748">
        <v>32</v>
      </c>
      <c r="B461" s="748">
        <f>IF(A461&gt;C422,0,SUM(C717:C728)*($C$6/$C$7))</f>
        <v>0</v>
      </c>
      <c r="C461" s="748">
        <f>IF(A461&gt;C422,0,(E860+K860)*$C$8)</f>
        <v>0</v>
      </c>
      <c r="D461" s="748">
        <f t="shared" si="0"/>
        <v>0</v>
      </c>
    </row>
    <row r="462" spans="1:4" ht="12.4" customHeight="1">
      <c r="A462" s="748">
        <v>33</v>
      </c>
      <c r="B462" s="748">
        <f>IF(A462&gt;C422,0,SUM(C718:C729)*($C$6/$C$7))</f>
        <v>0</v>
      </c>
      <c r="C462" s="748">
        <f>IF(A462&gt;C422,0,(E872+K872)*$C$8)</f>
        <v>0</v>
      </c>
      <c r="D462" s="748">
        <f t="shared" si="0"/>
        <v>0</v>
      </c>
    </row>
    <row r="463" spans="1:4" ht="12.4" customHeight="1">
      <c r="A463" s="748">
        <v>34</v>
      </c>
      <c r="B463" s="748">
        <f>IF(A463&gt;C422,0,SUM(C719:C730)*($C$6/$C$7))</f>
        <v>0</v>
      </c>
      <c r="C463" s="748">
        <f>IF(A463&gt;C422,0,(E884+K884)*$C$8)</f>
        <v>0</v>
      </c>
      <c r="D463" s="748">
        <f t="shared" si="0"/>
        <v>0</v>
      </c>
    </row>
    <row r="464" spans="1:4" ht="12.4" customHeight="1">
      <c r="A464" s="748">
        <v>35</v>
      </c>
      <c r="B464" s="748">
        <f>IF(A464&gt;C422,0,SUM(C720:C731)*($C$6/$C$7))</f>
        <v>0</v>
      </c>
      <c r="C464" s="748">
        <f>IF(A464&gt;C422,0,(E896+K896)*$C$8)</f>
        <v>0</v>
      </c>
      <c r="D464" s="748">
        <f t="shared" si="0"/>
        <v>0</v>
      </c>
    </row>
    <row r="465" spans="1:12" ht="12.4" customHeight="1">
      <c r="A465" s="748">
        <v>36</v>
      </c>
      <c r="B465" s="748">
        <f>IF(A465&gt;C422,0,SUM(C721:C732)*($C$6/$C$7))</f>
        <v>0</v>
      </c>
      <c r="C465" s="748">
        <f>IF(A465&gt;C422,0,(E908+K908)*$C$8)</f>
        <v>0</v>
      </c>
      <c r="D465" s="748">
        <f t="shared" si="0"/>
        <v>0</v>
      </c>
    </row>
    <row r="466" spans="1:12" ht="12.4" customHeight="1">
      <c r="A466" s="748">
        <v>37</v>
      </c>
      <c r="B466" s="748">
        <f>IF(A466&gt;C422,0,SUM(C722:C733)*($C$6/$C$7))</f>
        <v>0</v>
      </c>
      <c r="C466" s="748">
        <f>IF(A466&gt;C422,0,(E920+K920)*$C$8)</f>
        <v>0</v>
      </c>
      <c r="D466" s="748">
        <f t="shared" si="0"/>
        <v>0</v>
      </c>
    </row>
    <row r="467" spans="1:12" ht="12.4" customHeight="1">
      <c r="A467" s="748">
        <v>38</v>
      </c>
      <c r="B467" s="748">
        <f>IF(A467&gt;C422,0,SUM(C723:C734)*($C$6/$C$7))</f>
        <v>0</v>
      </c>
      <c r="C467" s="748">
        <f>IF(A467&gt;C422,0,(E932+K932)*$C$8)</f>
        <v>0</v>
      </c>
      <c r="D467" s="748">
        <f t="shared" si="0"/>
        <v>0</v>
      </c>
    </row>
    <row r="468" spans="1:12" ht="12.4" customHeight="1">
      <c r="A468" s="748">
        <v>39</v>
      </c>
      <c r="B468" s="748">
        <f>IF(A468&gt;C422,0,SUM(C724:C735)*($C$6/$C$7))</f>
        <v>0</v>
      </c>
      <c r="C468" s="748">
        <f>IF(A468&gt;C422,0,(E944+K944)*$C$8)</f>
        <v>0</v>
      </c>
      <c r="D468" s="748">
        <f t="shared" si="0"/>
        <v>0</v>
      </c>
    </row>
    <row r="469" spans="1:12" ht="12.4"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2011-028 Endeavor Pointe, LaFayette, Walker County</v>
      </c>
      <c r="G471" s="748" t="str">
        <f>CONCATENATE('Part I-Project Information'!$O$4," ",'Part I-Project Information'!$F$22,", ",'Part I-Project Information'!$F$24,", ",'Part I-Project Information'!$J$25," County")</f>
        <v>2011-028 Endeavor Pointe, LaFayette, Walker County</v>
      </c>
    </row>
    <row r="472" spans="1:12">
      <c r="A472" s="748" t="s">
        <v>3855</v>
      </c>
      <c r="G472" s="748" t="s">
        <v>3855</v>
      </c>
    </row>
    <row r="473" spans="1:12" ht="6" customHeight="1"/>
    <row r="474" spans="1:12">
      <c r="A474" s="748" t="s">
        <v>3856</v>
      </c>
      <c r="B474" s="748" t="s">
        <v>3857</v>
      </c>
      <c r="C474" s="748" t="s">
        <v>2159</v>
      </c>
      <c r="D474" s="748" t="s">
        <v>3858</v>
      </c>
      <c r="E474" s="748" t="s">
        <v>3859</v>
      </c>
      <c r="F474" s="748" t="s">
        <v>3865</v>
      </c>
      <c r="G474" s="748" t="s">
        <v>3856</v>
      </c>
      <c r="H474" s="748" t="s">
        <v>3857</v>
      </c>
      <c r="I474" s="748" t="s">
        <v>2159</v>
      </c>
      <c r="J474" s="748" t="s">
        <v>3858</v>
      </c>
      <c r="K474" s="748" t="s">
        <v>3859</v>
      </c>
      <c r="L474" s="748" t="s">
        <v>3865</v>
      </c>
    </row>
    <row r="475" spans="1:12" ht="3.4" customHeight="1"/>
    <row r="476" spans="1:12">
      <c r="A476" s="748" t="s">
        <v>3860</v>
      </c>
      <c r="E476" s="748">
        <f>IF($C$5&gt;1500000,$D$5,$C$5)</f>
        <v>0</v>
      </c>
      <c r="G476" s="748" t="s">
        <v>3860</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2011-028 Endeavor Pointe, LaFayette, Walker County</v>
      </c>
    </row>
    <row r="961" spans="1:5" ht="15.4" customHeight="1">
      <c r="A961" s="748" t="s">
        <v>504</v>
      </c>
    </row>
    <row r="963" spans="1:5" ht="13.15" customHeight="1">
      <c r="A963" s="748" t="s">
        <v>3493</v>
      </c>
      <c r="D963" s="748">
        <f>'Part III C-HUD Insured Loan'!D5</f>
        <v>0</v>
      </c>
      <c r="E963" s="748" t="s">
        <v>1566</v>
      </c>
    </row>
    <row r="965" spans="1:5">
      <c r="A965" s="748" t="s">
        <v>3765</v>
      </c>
      <c r="C965" s="748" t="s">
        <v>3766</v>
      </c>
      <c r="D965" s="748">
        <f>'Part III C-HUD Insured Loan'!D7</f>
        <v>0</v>
      </c>
    </row>
    <row r="966" spans="1:5">
      <c r="C966" s="748" t="s">
        <v>3845</v>
      </c>
      <c r="D966" s="748">
        <f>'Part III C-HUD Insured Loan'!D8</f>
        <v>0</v>
      </c>
    </row>
    <row r="967" spans="1:5">
      <c r="C967" s="748" t="s">
        <v>3846</v>
      </c>
      <c r="D967" s="748">
        <f>'Part III C-HUD Insured Loan'!D9</f>
        <v>0</v>
      </c>
    </row>
    <row r="968" spans="1:5">
      <c r="C968" s="748" t="s">
        <v>3863</v>
      </c>
      <c r="D968" s="748">
        <f>D965+D966+D967</f>
        <v>0</v>
      </c>
    </row>
    <row r="970" spans="1:5">
      <c r="A970" s="748" t="s">
        <v>2602</v>
      </c>
      <c r="D970" s="748">
        <f>'Part III C-HUD Insured Loan'!D12</f>
        <v>0</v>
      </c>
      <c r="E970" s="748" t="s">
        <v>3286</v>
      </c>
    </row>
    <row r="972" spans="1:5">
      <c r="A972" s="748" t="s">
        <v>3852</v>
      </c>
      <c r="D972" s="748">
        <f>'Part III C-HUD Insured Loan'!D14</f>
        <v>0</v>
      </c>
      <c r="E972" s="748" t="s">
        <v>3853</v>
      </c>
    </row>
    <row r="974" spans="1:5">
      <c r="A974" s="748" t="s">
        <v>3854</v>
      </c>
      <c r="D974" s="748">
        <f>'Part III C-HUD Insured Loan'!D16</f>
        <v>0</v>
      </c>
      <c r="E974" s="748" t="s">
        <v>3853</v>
      </c>
    </row>
    <row r="976" spans="1:5">
      <c r="A976" s="748" t="s">
        <v>1601</v>
      </c>
      <c r="D976" s="748" t="e">
        <f>PMT(D968/12,D974*12,-D963,0,0)*12</f>
        <v>#DIV/0!</v>
      </c>
      <c r="E976" s="748" t="s">
        <v>2395</v>
      </c>
    </row>
    <row r="978" spans="1:6">
      <c r="A978" s="748" t="s">
        <v>2396</v>
      </c>
      <c r="D978" s="748" t="e">
        <f>D976/12</f>
        <v>#DIV/0!</v>
      </c>
      <c r="E978" s="748" t="s">
        <v>2395</v>
      </c>
    </row>
    <row r="982" spans="1:6" ht="18" customHeight="1">
      <c r="A982" s="748" t="s">
        <v>2603</v>
      </c>
    </row>
    <row r="984" spans="1:6">
      <c r="C984" s="748" t="s">
        <v>3492</v>
      </c>
      <c r="F984" s="748" t="s">
        <v>3492</v>
      </c>
    </row>
    <row r="985" spans="1:6">
      <c r="A985" s="748" t="s">
        <v>3865</v>
      </c>
      <c r="B985" s="748" t="s">
        <v>1788</v>
      </c>
      <c r="D985" s="748" t="s">
        <v>3865</v>
      </c>
      <c r="E985" s="748" t="s">
        <v>1788</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2011-028 Endeavor Pointe, LaFayette, Walker County</v>
      </c>
    </row>
    <row r="1009" spans="1:6">
      <c r="A1009" s="748" t="s">
        <v>3855</v>
      </c>
    </row>
    <row r="1010" spans="1:6" ht="5.65" customHeight="1"/>
    <row r="1011" spans="1:6">
      <c r="A1011" s="748" t="s">
        <v>3856</v>
      </c>
      <c r="B1011" s="748" t="s">
        <v>3857</v>
      </c>
      <c r="C1011" s="748" t="s">
        <v>2159</v>
      </c>
      <c r="D1011" s="748" t="s">
        <v>3858</v>
      </c>
      <c r="E1011" s="748" t="s">
        <v>3859</v>
      </c>
      <c r="F1011" s="748" t="s">
        <v>3865</v>
      </c>
    </row>
    <row r="1012" spans="1:6" ht="3.4" customHeight="1"/>
    <row r="1013" spans="1:6">
      <c r="A1013" s="748" t="s">
        <v>3860</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2011-028 Endeavor Pointe, ,  County</v>
      </c>
    </row>
    <row r="1498" spans="1:19" ht="4.9000000000000004" customHeight="1"/>
    <row r="1499" spans="1:19" ht="15" customHeight="1">
      <c r="A1499" s="748" t="s">
        <v>396</v>
      </c>
    </row>
    <row r="1500" spans="1:19" ht="1.9" customHeight="1"/>
    <row r="1501" spans="1:19" ht="21" customHeight="1">
      <c r="A1501" s="748" t="s">
        <v>1126</v>
      </c>
      <c r="B1501" s="748" t="s">
        <v>1494</v>
      </c>
      <c r="J1501" s="748" t="s">
        <v>397</v>
      </c>
      <c r="M1501" s="748" t="s">
        <v>878</v>
      </c>
      <c r="P1501" s="748" t="s">
        <v>398</v>
      </c>
      <c r="S1501" s="748" t="s">
        <v>307</v>
      </c>
    </row>
    <row r="1502" spans="1:19" ht="21" customHeight="1">
      <c r="G1502" s="748" t="s">
        <v>94</v>
      </c>
    </row>
    <row r="1503" spans="1:19" ht="13.15" customHeight="1">
      <c r="B1503" s="748" t="s">
        <v>95</v>
      </c>
      <c r="O1503" s="748" t="str">
        <f>B1503</f>
        <v>PRE-DEVELOPMENT COSTS</v>
      </c>
    </row>
    <row r="1504" spans="1:19" ht="12.4" customHeight="1">
      <c r="B1504" s="748" t="s">
        <v>3126</v>
      </c>
      <c r="G1504" s="748">
        <f>'Part IV-Uses of Funds'!G8</f>
        <v>8000</v>
      </c>
      <c r="J1504" s="748">
        <f>'Part IV-Uses of Funds'!J8</f>
        <v>8000</v>
      </c>
      <c r="M1504" s="748">
        <f>'Part IV-Uses of Funds'!M8</f>
        <v>0</v>
      </c>
      <c r="P1504" s="748">
        <f>'Part IV-Uses of Funds'!P8</f>
        <v>0</v>
      </c>
      <c r="S1504" s="748">
        <f>'Part IV-Uses of Funds'!S8</f>
        <v>0</v>
      </c>
    </row>
    <row r="1505" spans="1:21" ht="12.4" customHeight="1">
      <c r="B1505" s="748" t="s">
        <v>549</v>
      </c>
      <c r="G1505" s="748">
        <f>'Part IV-Uses of Funds'!G9</f>
        <v>5150</v>
      </c>
      <c r="J1505" s="748">
        <f>'Part IV-Uses of Funds'!J9</f>
        <v>5150</v>
      </c>
      <c r="M1505" s="748">
        <f>'Part IV-Uses of Funds'!M9</f>
        <v>0</v>
      </c>
      <c r="P1505" s="748">
        <f>'Part IV-Uses of Funds'!P9</f>
        <v>0</v>
      </c>
      <c r="S1505" s="748">
        <f>'Part IV-Uses of Funds'!S9</f>
        <v>0</v>
      </c>
    </row>
    <row r="1506" spans="1:21" ht="12.4" customHeight="1">
      <c r="B1506" s="748" t="s">
        <v>761</v>
      </c>
      <c r="G1506" s="748">
        <f>'Part IV-Uses of Funds'!G10</f>
        <v>10000</v>
      </c>
      <c r="J1506" s="748">
        <f>'Part IV-Uses of Funds'!J10</f>
        <v>10000</v>
      </c>
      <c r="M1506" s="748">
        <f>'Part IV-Uses of Funds'!M10</f>
        <v>0</v>
      </c>
      <c r="P1506" s="748">
        <f>'Part IV-Uses of Funds'!P10</f>
        <v>0</v>
      </c>
      <c r="S1506" s="748">
        <f>'Part IV-Uses of Funds'!S10</f>
        <v>0</v>
      </c>
    </row>
    <row r="1507" spans="1:21" ht="12.4" customHeight="1">
      <c r="B1507" s="748" t="s">
        <v>762</v>
      </c>
      <c r="G1507" s="748">
        <f>'Part IV-Uses of Funds'!G11</f>
        <v>7500</v>
      </c>
      <c r="J1507" s="748">
        <f>'Part IV-Uses of Funds'!J11</f>
        <v>7500</v>
      </c>
      <c r="M1507" s="748">
        <f>'Part IV-Uses of Funds'!M11</f>
        <v>0</v>
      </c>
      <c r="P1507" s="748">
        <f>'Part IV-Uses of Funds'!P11</f>
        <v>0</v>
      </c>
      <c r="S1507" s="748">
        <f>'Part IV-Uses of Funds'!S11</f>
        <v>0</v>
      </c>
    </row>
    <row r="1508" spans="1:21" ht="12.4" customHeight="1">
      <c r="B1508" s="748" t="s">
        <v>3885</v>
      </c>
      <c r="G1508" s="748">
        <f>'Part IV-Uses of Funds'!G12</f>
        <v>12500</v>
      </c>
      <c r="J1508" s="748">
        <f>'Part IV-Uses of Funds'!J12</f>
        <v>12500</v>
      </c>
      <c r="M1508" s="748">
        <f>'Part IV-Uses of Funds'!M12</f>
        <v>0</v>
      </c>
      <c r="P1508" s="748">
        <f>'Part IV-Uses of Funds'!P12</f>
        <v>0</v>
      </c>
      <c r="S1508" s="748">
        <f>'Part IV-Uses of Funds'!S12</f>
        <v>0</v>
      </c>
    </row>
    <row r="1509" spans="1:21" ht="12.4" customHeight="1">
      <c r="B1509" s="748" t="s">
        <v>198</v>
      </c>
      <c r="G1509" s="748">
        <f>'Part IV-Uses of Funds'!G13</f>
        <v>300</v>
      </c>
      <c r="J1509" s="748">
        <f>'Part IV-Uses of Funds'!J13</f>
        <v>300</v>
      </c>
      <c r="M1509" s="748">
        <f>'Part IV-Uses of Funds'!M13</f>
        <v>0</v>
      </c>
      <c r="P1509" s="748">
        <f>'Part IV-Uses of Funds'!P13</f>
        <v>0</v>
      </c>
      <c r="S1509" s="748">
        <f>'Part IV-Uses of Funds'!S13</f>
        <v>0</v>
      </c>
    </row>
    <row r="1510" spans="1:21" ht="12.4" customHeight="1">
      <c r="A1510" s="748" t="str">
        <f>IF(AND(G1510&gt;0,OR(C1510="",C1510="&lt;Enter detailed description here; use Comments section if needed&gt;")),"X","")</f>
        <v/>
      </c>
      <c r="B1510" s="748" t="s">
        <v>1242</v>
      </c>
      <c r="C1510" s="748" t="str">
        <f>'Part IV-Uses of Funds'!C14</f>
        <v>Water Study (Required by utility provider to issue letter of water availability)</v>
      </c>
      <c r="G1510" s="748">
        <f>'Part IV-Uses of Funds'!G14</f>
        <v>1197</v>
      </c>
      <c r="J1510" s="748">
        <f>'Part IV-Uses of Funds'!J14</f>
        <v>1197</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4" customHeight="1">
      <c r="A1511" s="748" t="str">
        <f>IF(AND(G1511&gt;0,OR(C1511="",C1511="&lt;Enter detailed description here; use Comments section if needed&gt;")),"X","")</f>
        <v/>
      </c>
      <c r="B1511" s="748" t="s">
        <v>1242</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4" customHeight="1">
      <c r="A1512" s="748" t="str">
        <f>IF(AND(G1512&gt;0,OR(C1512="",C1512="&lt;Enter detailed description here; use Comments section if needed&gt;")),"X","")</f>
        <v/>
      </c>
      <c r="B1512" s="748" t="s">
        <v>1242</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4" customHeight="1">
      <c r="F1513" s="748" t="s">
        <v>199</v>
      </c>
      <c r="G1513" s="748">
        <f>SUM(G1504:H1512)</f>
        <v>44647</v>
      </c>
      <c r="J1513" s="748">
        <f>SUM(J1504:K1512)</f>
        <v>44647</v>
      </c>
      <c r="M1513" s="748">
        <f>SUM(M1504:N1512)</f>
        <v>0</v>
      </c>
      <c r="P1513" s="748">
        <f>SUM(P1504:Q1512)</f>
        <v>0</v>
      </c>
      <c r="S1513" s="748">
        <f>SUM(S1504:T1512)</f>
        <v>0</v>
      </c>
    </row>
    <row r="1514" spans="1:21" ht="13.15" customHeight="1">
      <c r="B1514" s="748" t="s">
        <v>3406</v>
      </c>
      <c r="O1514" s="748" t="str">
        <f>B1514</f>
        <v>ACQUISITION</v>
      </c>
    </row>
    <row r="1515" spans="1:21" ht="12.4" customHeight="1">
      <c r="B1515" s="748" t="s">
        <v>3407</v>
      </c>
      <c r="G1515" s="748">
        <f>'Part IV-Uses of Funds'!G19</f>
        <v>400000</v>
      </c>
      <c r="S1515" s="748">
        <f>'Part IV-Uses of Funds'!S19</f>
        <v>0</v>
      </c>
    </row>
    <row r="1516" spans="1:21" ht="12.4" customHeight="1">
      <c r="B1516" s="748" t="s">
        <v>1760</v>
      </c>
      <c r="G1516" s="748">
        <f>'Part IV-Uses of Funds'!G20</f>
        <v>0</v>
      </c>
      <c r="S1516" s="748">
        <f>'Part IV-Uses of Funds'!S20</f>
        <v>0</v>
      </c>
    </row>
    <row r="1517" spans="1:21" ht="12.4" customHeight="1">
      <c r="B1517" s="748" t="s">
        <v>550</v>
      </c>
      <c r="G1517" s="748">
        <f>'Part IV-Uses of Funds'!G21</f>
        <v>0</v>
      </c>
      <c r="M1517" s="748">
        <f>'Part IV-Uses of Funds'!M21</f>
        <v>0</v>
      </c>
      <c r="S1517" s="748">
        <f>'Part IV-Uses of Funds'!S21</f>
        <v>0</v>
      </c>
    </row>
    <row r="1518" spans="1:21" ht="12.4" customHeight="1">
      <c r="B1518" s="748" t="s">
        <v>764</v>
      </c>
      <c r="G1518" s="748">
        <f>'Part IV-Uses of Funds'!G22</f>
        <v>0</v>
      </c>
      <c r="M1518" s="748">
        <f>'Part IV-Uses of Funds'!M22</f>
        <v>0</v>
      </c>
      <c r="S1518" s="748">
        <f>'Part IV-Uses of Funds'!S22</f>
        <v>0</v>
      </c>
    </row>
    <row r="1519" spans="1:21" ht="12.4" customHeight="1">
      <c r="F1519" s="748" t="s">
        <v>199</v>
      </c>
      <c r="G1519" s="748">
        <f>SUM(G1515:H1518)</f>
        <v>400000</v>
      </c>
      <c r="M1519" s="748">
        <f>SUM(M1517:N1518)</f>
        <v>0</v>
      </c>
      <c r="S1519" s="748">
        <f>SUM(S1515:T1518)</f>
        <v>0</v>
      </c>
    </row>
    <row r="1520" spans="1:21" ht="13.15" customHeight="1">
      <c r="B1520" s="748" t="s">
        <v>1761</v>
      </c>
      <c r="O1520" s="748" t="str">
        <f>B1520</f>
        <v>LAND IMPROVEMENTS</v>
      </c>
    </row>
    <row r="1521" spans="2:19" ht="12.4" customHeight="1">
      <c r="B1521" s="748" t="s">
        <v>1626</v>
      </c>
      <c r="G1521" s="748">
        <f>'Part IV-Uses of Funds'!G25</f>
        <v>500000</v>
      </c>
      <c r="J1521" s="748">
        <f>'Part IV-Uses of Funds'!J25</f>
        <v>500000</v>
      </c>
      <c r="M1521" s="748">
        <f>'Part IV-Uses of Funds'!M25</f>
        <v>0</v>
      </c>
      <c r="P1521" s="748">
        <f>'Part IV-Uses of Funds'!P25</f>
        <v>0</v>
      </c>
      <c r="S1521" s="748">
        <f>'Part IV-Uses of Funds'!S25</f>
        <v>0</v>
      </c>
    </row>
    <row r="1522" spans="2:19" ht="12.4" customHeight="1">
      <c r="B1522" s="748" t="s">
        <v>1627</v>
      </c>
      <c r="G1522" s="748">
        <f>'Part IV-Uses of Funds'!G26</f>
        <v>0</v>
      </c>
      <c r="J1522" s="748">
        <f>'Part IV-Uses of Funds'!J26</f>
        <v>0</v>
      </c>
      <c r="S1522" s="748">
        <f>'Part IV-Uses of Funds'!S26</f>
        <v>0</v>
      </c>
    </row>
    <row r="1523" spans="2:19" ht="12.4" customHeight="1">
      <c r="F1523" s="748" t="s">
        <v>199</v>
      </c>
      <c r="G1523" s="748">
        <f>SUM(G1521:H1522)</f>
        <v>500000</v>
      </c>
      <c r="J1523" s="748">
        <f>SUM(J1521:K1522)</f>
        <v>500000</v>
      </c>
      <c r="M1523" s="748">
        <f>M1521</f>
        <v>0</v>
      </c>
      <c r="P1523" s="748">
        <f>P1521</f>
        <v>0</v>
      </c>
      <c r="S1523" s="748">
        <f>SUM(S1521:T1522)</f>
        <v>0</v>
      </c>
    </row>
    <row r="1524" spans="2:19" ht="13.15" customHeight="1">
      <c r="B1524" s="748" t="s">
        <v>1628</v>
      </c>
      <c r="O1524" s="748" t="str">
        <f>B1524</f>
        <v>STRUCTURES</v>
      </c>
    </row>
    <row r="1525" spans="2:19" ht="12.4" customHeight="1">
      <c r="B1525" s="748" t="s">
        <v>1629</v>
      </c>
      <c r="G1525" s="748">
        <f>'Part IV-Uses of Funds'!G29</f>
        <v>4712500</v>
      </c>
      <c r="J1525" s="748">
        <f>'Part IV-Uses of Funds'!J29</f>
        <v>4712500</v>
      </c>
      <c r="M1525" s="748">
        <f>'Part IV-Uses of Funds'!M29</f>
        <v>0</v>
      </c>
      <c r="P1525" s="748">
        <f>'Part IV-Uses of Funds'!P29</f>
        <v>0</v>
      </c>
      <c r="S1525" s="748">
        <f>'Part IV-Uses of Funds'!S29</f>
        <v>0</v>
      </c>
    </row>
    <row r="1526" spans="2:19" ht="12.4" customHeight="1">
      <c r="B1526" s="748" t="s">
        <v>1630</v>
      </c>
      <c r="G1526" s="748">
        <f>'Part IV-Uses of Funds'!G30</f>
        <v>0</v>
      </c>
      <c r="J1526" s="748">
        <f>'Part IV-Uses of Funds'!J30</f>
        <v>0</v>
      </c>
      <c r="M1526" s="748">
        <f>'Part IV-Uses of Funds'!M30</f>
        <v>0</v>
      </c>
      <c r="P1526" s="748">
        <f>'Part IV-Uses of Funds'!P30</f>
        <v>0</v>
      </c>
      <c r="S1526" s="748">
        <f>'Part IV-Uses of Funds'!S30</f>
        <v>0</v>
      </c>
    </row>
    <row r="1527" spans="2:19" ht="12.4" customHeight="1">
      <c r="B1527" s="748" t="s">
        <v>1631</v>
      </c>
      <c r="G1527" s="748">
        <f>'Part IV-Uses of Funds'!G31</f>
        <v>200000</v>
      </c>
      <c r="J1527" s="748">
        <f>'Part IV-Uses of Funds'!J31</f>
        <v>200000</v>
      </c>
      <c r="M1527" s="748">
        <f>'Part IV-Uses of Funds'!M31</f>
        <v>0</v>
      </c>
      <c r="P1527" s="748">
        <f>'Part IV-Uses of Funds'!P31</f>
        <v>0</v>
      </c>
      <c r="S1527" s="748">
        <f>'Part IV-Uses of Funds'!S31</f>
        <v>0</v>
      </c>
    </row>
    <row r="1528" spans="2:19" ht="12.4" customHeight="1">
      <c r="F1528" s="748" t="s">
        <v>199</v>
      </c>
      <c r="G1528" s="748">
        <f>SUM(G1525:H1527)</f>
        <v>4912500</v>
      </c>
      <c r="J1528" s="748">
        <f>SUM(J1525:K1527)</f>
        <v>4912500</v>
      </c>
      <c r="M1528" s="748">
        <f>SUM(M1525:N1527)</f>
        <v>0</v>
      </c>
      <c r="P1528" s="748">
        <f>SUM(P1525:Q1527)</f>
        <v>0</v>
      </c>
      <c r="S1528" s="748">
        <f>SUM(S1525:T1527)</f>
        <v>0</v>
      </c>
    </row>
    <row r="1529" spans="2:19" ht="13.15" customHeight="1">
      <c r="B1529" s="748" t="s">
        <v>3641</v>
      </c>
      <c r="E1529" s="748">
        <f>E1530+E1531</f>
        <v>0.14000000000000001</v>
      </c>
      <c r="O1529" s="748" t="str">
        <f>B1529</f>
        <v>CONTRACTOR SERVICES</v>
      </c>
    </row>
    <row r="1530" spans="2:19" ht="12.4" customHeight="1">
      <c r="B1530" s="748" t="s">
        <v>3747</v>
      </c>
      <c r="E1530" s="748">
        <f>'DCA Underwriting Assumptions'!$R$38</f>
        <v>0.06</v>
      </c>
      <c r="F1530" s="748">
        <f>E1530*($G$27+$G$32)</f>
        <v>0</v>
      </c>
      <c r="G1530" s="748">
        <f>'Part IV-Uses of Funds'!G34</f>
        <v>324000</v>
      </c>
      <c r="J1530" s="748">
        <f>'Part IV-Uses of Funds'!J34</f>
        <v>324000</v>
      </c>
      <c r="M1530" s="748">
        <f>'Part IV-Uses of Funds'!M34</f>
        <v>0</v>
      </c>
      <c r="P1530" s="748">
        <f>'Part IV-Uses of Funds'!P34</f>
        <v>0</v>
      </c>
      <c r="S1530" s="748">
        <f>'Part IV-Uses of Funds'!S34</f>
        <v>0</v>
      </c>
    </row>
    <row r="1531" spans="2:19" ht="12.4" customHeight="1">
      <c r="B1531" s="748" t="s">
        <v>3184</v>
      </c>
      <c r="E1531" s="748">
        <f>'DCA Underwriting Assumptions'!$R$39+'DCA Underwriting Assumptions'!$R$40</f>
        <v>0.08</v>
      </c>
      <c r="F1531" s="748">
        <f>E1531*($G$27+$G$32)</f>
        <v>0</v>
      </c>
      <c r="G1531" s="748">
        <f>'Part IV-Uses of Funds'!G35</f>
        <v>433000</v>
      </c>
      <c r="J1531" s="748">
        <f>'Part IV-Uses of Funds'!J35</f>
        <v>433000</v>
      </c>
      <c r="M1531" s="748">
        <f>'Part IV-Uses of Funds'!M35</f>
        <v>0</v>
      </c>
      <c r="P1531" s="748">
        <f>'Part IV-Uses of Funds'!P35</f>
        <v>0</v>
      </c>
      <c r="S1531" s="748">
        <f>'Part IV-Uses of Funds'!S35</f>
        <v>0</v>
      </c>
    </row>
    <row r="1532" spans="2:19" ht="12.4" customHeight="1">
      <c r="B1532" s="748" t="s">
        <v>3185</v>
      </c>
      <c r="F1532" s="748" t="s">
        <v>199</v>
      </c>
      <c r="G1532" s="748">
        <f>SUM(G1530:H1531)</f>
        <v>757000</v>
      </c>
      <c r="J1532" s="748">
        <f>SUM(J1530:K1531)</f>
        <v>757000</v>
      </c>
      <c r="M1532" s="748">
        <f>SUM(M1530:N1531)</f>
        <v>0</v>
      </c>
      <c r="P1532" s="748">
        <f>SUM(P1530:Q1531)</f>
        <v>0</v>
      </c>
      <c r="S1532" s="748">
        <f>SUM(S1530:T1531)</f>
        <v>0</v>
      </c>
    </row>
    <row r="1533" spans="2:19" ht="6" customHeight="1"/>
    <row r="1534" spans="2:19" ht="12.4" customHeight="1">
      <c r="B1534" s="748" t="s">
        <v>1766</v>
      </c>
      <c r="D1534" s="748">
        <f>B1535/'Part VI-Revenues &amp; Expenses'!$M$63</f>
        <v>96398.4375</v>
      </c>
      <c r="F1534" s="748" t="s">
        <v>2141</v>
      </c>
    </row>
    <row r="1535" spans="2:19" ht="12.4" customHeight="1">
      <c r="B1535" s="748">
        <f>G1523+G1528+G1532</f>
        <v>6169500</v>
      </c>
      <c r="D1535" s="748">
        <f>B1535/'Part VI-Revenues &amp; Expenses'!$M$98</f>
        <v>92.824687048627823</v>
      </c>
      <c r="F1535" s="748" t="s">
        <v>1337</v>
      </c>
    </row>
    <row r="1536" spans="2:19" ht="6" customHeight="1"/>
    <row r="1537" spans="1:21" ht="13.15" customHeight="1">
      <c r="B1537" s="748" t="s">
        <v>1764</v>
      </c>
      <c r="O1537" s="748" t="str">
        <f>B1537</f>
        <v>CONSTRUCTION CONTINGENCY</v>
      </c>
    </row>
    <row r="1538" spans="1:21" ht="12.4" customHeight="1">
      <c r="B1538" s="748" t="s">
        <v>3234</v>
      </c>
      <c r="F1538" s="748" t="e">
        <f>G1538/$B$39</f>
        <v>#DIV/0!</v>
      </c>
      <c r="G1538" s="748">
        <f>'Part IV-Uses of Funds'!G42</f>
        <v>350000</v>
      </c>
      <c r="J1538" s="748">
        <f>'Part IV-Uses of Funds'!J42</f>
        <v>350000</v>
      </c>
      <c r="M1538" s="748">
        <f>'Part IV-Uses of Funds'!M42</f>
        <v>0</v>
      </c>
      <c r="P1538" s="748">
        <f>'Part IV-Uses of Funds'!P42</f>
        <v>0</v>
      </c>
      <c r="S1538" s="748">
        <f>'Part IV-Uses of Funds'!S42</f>
        <v>0</v>
      </c>
    </row>
    <row r="1539" spans="1:21" ht="6" customHeight="1"/>
    <row r="1540" spans="1:21" ht="3" customHeight="1"/>
    <row r="1541" spans="1:21" ht="21" customHeight="1">
      <c r="A1541" s="748" t="s">
        <v>1126</v>
      </c>
      <c r="B1541" s="748" t="s">
        <v>1494</v>
      </c>
      <c r="J1541" s="748" t="s">
        <v>397</v>
      </c>
      <c r="M1541" s="748" t="s">
        <v>878</v>
      </c>
      <c r="P1541" s="748" t="s">
        <v>398</v>
      </c>
      <c r="S1541" s="748" t="s">
        <v>307</v>
      </c>
    </row>
    <row r="1542" spans="1:21" ht="21" customHeight="1">
      <c r="G1542" s="748" t="s">
        <v>94</v>
      </c>
    </row>
    <row r="1543" spans="1:21" ht="13.15" customHeight="1">
      <c r="B1543" s="748" t="s">
        <v>1115</v>
      </c>
      <c r="O1543" s="748" t="str">
        <f>B1543</f>
        <v>CONSTRUCTION PERIOD FINANCING</v>
      </c>
    </row>
    <row r="1544" spans="1:21" ht="13.15" customHeight="1">
      <c r="B1544" s="748" t="s">
        <v>3748</v>
      </c>
      <c r="G1544" s="748">
        <f>'Part IV-Uses of Funds'!G48</f>
        <v>0</v>
      </c>
      <c r="J1544" s="748">
        <f>'Part IV-Uses of Funds'!J48</f>
        <v>0</v>
      </c>
      <c r="M1544" s="748">
        <f>'Part IV-Uses of Funds'!M48</f>
        <v>0</v>
      </c>
      <c r="P1544" s="748">
        <f>'Part IV-Uses of Funds'!P48</f>
        <v>0</v>
      </c>
      <c r="S1544" s="748">
        <f>'Part IV-Uses of Funds'!S48</f>
        <v>0</v>
      </c>
    </row>
    <row r="1545" spans="1:21" ht="13.15" customHeight="1">
      <c r="B1545" s="748" t="s">
        <v>3589</v>
      </c>
      <c r="G1545" s="748">
        <f>'Part IV-Uses of Funds'!G49</f>
        <v>0</v>
      </c>
      <c r="J1545" s="748">
        <f>'Part IV-Uses of Funds'!J49</f>
        <v>0</v>
      </c>
      <c r="M1545" s="748">
        <f>'Part IV-Uses of Funds'!M49</f>
        <v>0</v>
      </c>
      <c r="P1545" s="748">
        <f>'Part IV-Uses of Funds'!P49</f>
        <v>0</v>
      </c>
      <c r="S1545" s="748">
        <f>'Part IV-Uses of Funds'!S49</f>
        <v>0</v>
      </c>
    </row>
    <row r="1546" spans="1:21" ht="13.15" customHeight="1">
      <c r="B1546" s="748" t="s">
        <v>3749</v>
      </c>
      <c r="G1546" s="748">
        <f>'Part IV-Uses of Funds'!G50</f>
        <v>0</v>
      </c>
      <c r="J1546" s="748">
        <f>'Part IV-Uses of Funds'!J50</f>
        <v>0</v>
      </c>
      <c r="M1546" s="748">
        <f>'Part IV-Uses of Funds'!M50</f>
        <v>0</v>
      </c>
      <c r="P1546" s="748">
        <f>'Part IV-Uses of Funds'!P50</f>
        <v>0</v>
      </c>
      <c r="S1546" s="748">
        <f>'Part IV-Uses of Funds'!S50</f>
        <v>0</v>
      </c>
    </row>
    <row r="1547" spans="1:21" ht="13.15" customHeight="1">
      <c r="B1547" s="748" t="s">
        <v>1116</v>
      </c>
      <c r="G1547" s="748">
        <f>'Part IV-Uses of Funds'!G51</f>
        <v>25000</v>
      </c>
      <c r="J1547" s="748">
        <f>'Part IV-Uses of Funds'!J51</f>
        <v>25000</v>
      </c>
      <c r="M1547" s="748">
        <f>'Part IV-Uses of Funds'!M51</f>
        <v>0</v>
      </c>
      <c r="P1547" s="748">
        <f>'Part IV-Uses of Funds'!P51</f>
        <v>0</v>
      </c>
      <c r="S1547" s="748">
        <f>'Part IV-Uses of Funds'!S51</f>
        <v>0</v>
      </c>
    </row>
    <row r="1548" spans="1:21" ht="13.15" customHeight="1">
      <c r="B1548" s="748" t="s">
        <v>3590</v>
      </c>
      <c r="G1548" s="748">
        <f>'Part IV-Uses of Funds'!G52</f>
        <v>35000</v>
      </c>
      <c r="J1548" s="748">
        <f>'Part IV-Uses of Funds'!J52</f>
        <v>35000</v>
      </c>
      <c r="M1548" s="748">
        <f>'Part IV-Uses of Funds'!M52</f>
        <v>0</v>
      </c>
      <c r="P1548" s="748">
        <f>'Part IV-Uses of Funds'!P52</f>
        <v>0</v>
      </c>
      <c r="S1548" s="748">
        <f>'Part IV-Uses of Funds'!S52</f>
        <v>0</v>
      </c>
    </row>
    <row r="1549" spans="1:21" ht="13.15" customHeight="1">
      <c r="B1549" s="748" t="s">
        <v>508</v>
      </c>
      <c r="G1549" s="748">
        <f>'Part IV-Uses of Funds'!G53</f>
        <v>0</v>
      </c>
      <c r="J1549" s="748">
        <f>'Part IV-Uses of Funds'!J53</f>
        <v>0</v>
      </c>
      <c r="M1549" s="748">
        <f>'Part IV-Uses of Funds'!M53</f>
        <v>0</v>
      </c>
      <c r="P1549" s="748">
        <f>'Part IV-Uses of Funds'!P53</f>
        <v>0</v>
      </c>
      <c r="S1549" s="748">
        <f>'Part IV-Uses of Funds'!S53</f>
        <v>0</v>
      </c>
    </row>
    <row r="1550" spans="1:21" ht="12.4" customHeight="1">
      <c r="B1550" s="748" t="s">
        <v>2013</v>
      </c>
      <c r="G1550" s="748">
        <f>'Part IV-Uses of Funds'!G54</f>
        <v>60000</v>
      </c>
      <c r="J1550" s="748">
        <f>'Part IV-Uses of Funds'!J54</f>
        <v>60000</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1242</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199</v>
      </c>
      <c r="G1552" s="748">
        <f>SUM(G1544:H1551)</f>
        <v>120000</v>
      </c>
      <c r="J1552" s="748">
        <f>SUM(J1544:K1551)</f>
        <v>120000</v>
      </c>
      <c r="M1552" s="748">
        <f>SUM(M1544:N1551)</f>
        <v>0</v>
      </c>
      <c r="P1552" s="748">
        <f>SUM(P1544:Q1551)</f>
        <v>0</v>
      </c>
      <c r="S1552" s="748">
        <f>SUM(S1544:T1551)</f>
        <v>0</v>
      </c>
    </row>
    <row r="1553" spans="1:21" ht="13.15" customHeight="1">
      <c r="B1553" s="748" t="s">
        <v>747</v>
      </c>
      <c r="O1553" s="748" t="str">
        <f>B1553</f>
        <v>PROFESSIONAL SERVICES</v>
      </c>
    </row>
    <row r="1554" spans="1:21" ht="13.15" customHeight="1">
      <c r="B1554" s="748" t="s">
        <v>748</v>
      </c>
      <c r="G1554" s="748">
        <f>'Part IV-Uses of Funds'!G58</f>
        <v>134400</v>
      </c>
      <c r="J1554" s="748">
        <f>'Part IV-Uses of Funds'!J58</f>
        <v>134400</v>
      </c>
      <c r="M1554" s="748">
        <f>'Part IV-Uses of Funds'!M58</f>
        <v>0</v>
      </c>
      <c r="P1554" s="748">
        <f>'Part IV-Uses of Funds'!P58</f>
        <v>0</v>
      </c>
      <c r="S1554" s="748">
        <f>'Part IV-Uses of Funds'!S58</f>
        <v>0</v>
      </c>
    </row>
    <row r="1555" spans="1:21" ht="13.15" customHeight="1">
      <c r="B1555" s="748" t="s">
        <v>615</v>
      </c>
      <c r="G1555" s="748">
        <f>'Part IV-Uses of Funds'!G59</f>
        <v>44800</v>
      </c>
      <c r="J1555" s="748">
        <f>'Part IV-Uses of Funds'!J59</f>
        <v>44800</v>
      </c>
      <c r="M1555" s="748">
        <f>'Part IV-Uses of Funds'!M59</f>
        <v>0</v>
      </c>
      <c r="P1555" s="748">
        <f>'Part IV-Uses of Funds'!P59</f>
        <v>0</v>
      </c>
      <c r="S1555" s="748">
        <f>'Part IV-Uses of Funds'!S59</f>
        <v>0</v>
      </c>
    </row>
    <row r="1556" spans="1:21" ht="13.15" customHeight="1">
      <c r="B1556" s="748" t="s">
        <v>1767</v>
      </c>
      <c r="G1556" s="748">
        <f>'Part IV-Uses of Funds'!G60</f>
        <v>0</v>
      </c>
      <c r="J1556" s="748">
        <f>'Part IV-Uses of Funds'!J60</f>
        <v>0</v>
      </c>
      <c r="M1556" s="748">
        <f>'Part IV-Uses of Funds'!M60</f>
        <v>0</v>
      </c>
      <c r="P1556" s="748">
        <f>'Part IV-Uses of Funds'!P60</f>
        <v>0</v>
      </c>
      <c r="S1556" s="748">
        <f>'Part IV-Uses of Funds'!S60</f>
        <v>0</v>
      </c>
    </row>
    <row r="1557" spans="1:21" ht="13.15" customHeight="1">
      <c r="B1557" s="748" t="s">
        <v>1959</v>
      </c>
      <c r="G1557" s="748">
        <f>'Part IV-Uses of Funds'!G61</f>
        <v>25000</v>
      </c>
      <c r="J1557" s="748">
        <f>'Part IV-Uses of Funds'!J61</f>
        <v>25000</v>
      </c>
      <c r="M1557" s="748">
        <f>'Part IV-Uses of Funds'!M61</f>
        <v>0</v>
      </c>
      <c r="P1557" s="748">
        <f>'Part IV-Uses of Funds'!P61</f>
        <v>0</v>
      </c>
      <c r="S1557" s="748">
        <f>'Part IV-Uses of Funds'!S61</f>
        <v>0</v>
      </c>
    </row>
    <row r="1558" spans="1:21" ht="13.15" customHeight="1">
      <c r="B1558" s="748" t="s">
        <v>1960</v>
      </c>
      <c r="G1558" s="748">
        <f>'Part IV-Uses of Funds'!G62</f>
        <v>7000</v>
      </c>
      <c r="J1558" s="748">
        <f>'Part IV-Uses of Funds'!J62</f>
        <v>7000</v>
      </c>
      <c r="M1558" s="748">
        <f>'Part IV-Uses of Funds'!M62</f>
        <v>0</v>
      </c>
      <c r="P1558" s="748">
        <f>'Part IV-Uses of Funds'!P62</f>
        <v>0</v>
      </c>
      <c r="S1558" s="748">
        <f>'Part IV-Uses of Funds'!S62</f>
        <v>0</v>
      </c>
    </row>
    <row r="1559" spans="1:21" ht="13.15" customHeight="1">
      <c r="B1559" s="748" t="s">
        <v>1961</v>
      </c>
      <c r="G1559" s="748">
        <f>'Part IV-Uses of Funds'!G63</f>
        <v>10000</v>
      </c>
      <c r="J1559" s="748">
        <f>'Part IV-Uses of Funds'!J63</f>
        <v>10000</v>
      </c>
      <c r="M1559" s="748">
        <f>'Part IV-Uses of Funds'!M63</f>
        <v>0</v>
      </c>
      <c r="P1559" s="748">
        <f>'Part IV-Uses of Funds'!P63</f>
        <v>0</v>
      </c>
      <c r="S1559" s="748">
        <f>'Part IV-Uses of Funds'!S63</f>
        <v>0</v>
      </c>
    </row>
    <row r="1560" spans="1:21" ht="13.15" customHeight="1">
      <c r="B1560" s="748" t="s">
        <v>616</v>
      </c>
      <c r="G1560" s="748">
        <f>'Part IV-Uses of Funds'!G64</f>
        <v>0</v>
      </c>
      <c r="J1560" s="748">
        <f>'Part IV-Uses of Funds'!J64</f>
        <v>0</v>
      </c>
      <c r="M1560" s="748">
        <f>'Part IV-Uses of Funds'!M64</f>
        <v>0</v>
      </c>
      <c r="P1560" s="748">
        <f>'Part IV-Uses of Funds'!P64</f>
        <v>0</v>
      </c>
      <c r="S1560" s="748">
        <f>'Part IV-Uses of Funds'!S64</f>
        <v>0</v>
      </c>
    </row>
    <row r="1561" spans="1:21" ht="13.15" customHeight="1">
      <c r="B1561" s="748" t="s">
        <v>753</v>
      </c>
      <c r="G1561" s="748">
        <f>'Part IV-Uses of Funds'!G65</f>
        <v>105000</v>
      </c>
      <c r="J1561" s="748">
        <f>'Part IV-Uses of Funds'!J65</f>
        <v>105000</v>
      </c>
      <c r="M1561" s="748">
        <f>'Part IV-Uses of Funds'!M65</f>
        <v>0</v>
      </c>
      <c r="P1561" s="748">
        <f>'Part IV-Uses of Funds'!P65</f>
        <v>0</v>
      </c>
      <c r="S1561" s="748">
        <f>'Part IV-Uses of Funds'!S65</f>
        <v>0</v>
      </c>
    </row>
    <row r="1562" spans="1:21" ht="13.15" customHeight="1">
      <c r="B1562" s="748" t="s">
        <v>3195</v>
      </c>
      <c r="G1562" s="748">
        <f>'Part IV-Uses of Funds'!G66</f>
        <v>25000</v>
      </c>
      <c r="J1562" s="748">
        <f>'Part IV-Uses of Funds'!J66</f>
        <v>25000</v>
      </c>
      <c r="M1562" s="748">
        <f>'Part IV-Uses of Funds'!M66</f>
        <v>0</v>
      </c>
      <c r="P1562" s="748">
        <f>'Part IV-Uses of Funds'!P66</f>
        <v>0</v>
      </c>
      <c r="S1562" s="748">
        <f>'Part IV-Uses of Funds'!S66</f>
        <v>0</v>
      </c>
    </row>
    <row r="1563" spans="1:21" ht="13.15" customHeight="1">
      <c r="A1563" s="748" t="str">
        <f>IF(AND(G1563&gt;0,OR(C1563="",C1563="&lt;Enter detailed description here; use Comments section if needed&gt;")),"X","")</f>
        <v/>
      </c>
      <c r="B1563" s="748" t="s">
        <v>1242</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199</v>
      </c>
      <c r="G1564" s="748">
        <f>SUM(G1554:H1563)</f>
        <v>351200</v>
      </c>
      <c r="J1564" s="748">
        <f>SUM(J1554:K1563)</f>
        <v>351200</v>
      </c>
      <c r="M1564" s="748">
        <f>SUM(M1554:N1563)</f>
        <v>0</v>
      </c>
      <c r="P1564" s="748">
        <f>SUM(P1554:Q1563)</f>
        <v>0</v>
      </c>
      <c r="S1564" s="748">
        <f>SUM(S1554:T1563)</f>
        <v>0</v>
      </c>
    </row>
    <row r="1565" spans="1:21" ht="13.15" customHeight="1">
      <c r="B1565" s="748" t="s">
        <v>1848</v>
      </c>
      <c r="O1565" s="748" t="str">
        <f>B1565</f>
        <v>LOCAL GOVERNMENT FEES</v>
      </c>
    </row>
    <row r="1566" spans="1:21" ht="13.15" customHeight="1">
      <c r="B1566" s="748" t="s">
        <v>1849</v>
      </c>
      <c r="G1566" s="748">
        <f>'Part IV-Uses of Funds'!G70</f>
        <v>13000</v>
      </c>
      <c r="J1566" s="748">
        <f>'Part IV-Uses of Funds'!J70</f>
        <v>13000</v>
      </c>
      <c r="M1566" s="748">
        <f>'Part IV-Uses of Funds'!M70</f>
        <v>0</v>
      </c>
      <c r="P1566" s="748">
        <f>'Part IV-Uses of Funds'!P70</f>
        <v>0</v>
      </c>
      <c r="S1566" s="748">
        <f>'Part IV-Uses of Funds'!S70</f>
        <v>0</v>
      </c>
    </row>
    <row r="1567" spans="1:21" ht="13.15" customHeight="1">
      <c r="B1567" s="748" t="s">
        <v>1850</v>
      </c>
      <c r="G1567" s="748">
        <f>'Part IV-Uses of Funds'!G71</f>
        <v>2000</v>
      </c>
      <c r="J1567" s="748">
        <f>'Part IV-Uses of Funds'!J71</f>
        <v>2000</v>
      </c>
      <c r="M1567" s="748">
        <f>'Part IV-Uses of Funds'!M71</f>
        <v>0</v>
      </c>
      <c r="P1567" s="748">
        <f>'Part IV-Uses of Funds'!P71</f>
        <v>0</v>
      </c>
      <c r="S1567" s="748">
        <f>'Part IV-Uses of Funds'!S71</f>
        <v>0</v>
      </c>
    </row>
    <row r="1568" spans="1:21" ht="13.15" customHeight="1">
      <c r="B1568" s="748" t="s">
        <v>1851</v>
      </c>
      <c r="D1568" s="748" t="s">
        <v>2142</v>
      </c>
      <c r="E1568" s="748" t="str">
        <f>'Part IV-Uses of Funds'!E72</f>
        <v>No</v>
      </c>
      <c r="G1568" s="748">
        <f>'Part IV-Uses of Funds'!G72</f>
        <v>65000</v>
      </c>
      <c r="J1568" s="748">
        <f>'Part IV-Uses of Funds'!J72</f>
        <v>65000</v>
      </c>
      <c r="M1568" s="748">
        <f>'Part IV-Uses of Funds'!M72</f>
        <v>0</v>
      </c>
      <c r="P1568" s="748">
        <f>'Part IV-Uses of Funds'!P72</f>
        <v>0</v>
      </c>
      <c r="S1568" s="748">
        <f>'Part IV-Uses of Funds'!S72</f>
        <v>0</v>
      </c>
    </row>
    <row r="1569" spans="1:21" ht="13.15" customHeight="1">
      <c r="B1569" s="748" t="s">
        <v>1956</v>
      </c>
      <c r="D1569" s="748" t="s">
        <v>2142</v>
      </c>
      <c r="E1569" s="748" t="str">
        <f>'Part IV-Uses of Funds'!E73</f>
        <v>No</v>
      </c>
      <c r="G1569" s="748">
        <f>'Part IV-Uses of Funds'!G73</f>
        <v>33150</v>
      </c>
      <c r="J1569" s="748">
        <f>'Part IV-Uses of Funds'!J73</f>
        <v>33150</v>
      </c>
      <c r="M1569" s="748">
        <f>'Part IV-Uses of Funds'!M73</f>
        <v>0</v>
      </c>
      <c r="P1569" s="748">
        <f>'Part IV-Uses of Funds'!P73</f>
        <v>0</v>
      </c>
      <c r="S1569" s="748">
        <f>'Part IV-Uses of Funds'!S73</f>
        <v>0</v>
      </c>
    </row>
    <row r="1570" spans="1:21" ht="13.15" customHeight="1">
      <c r="F1570" s="748" t="s">
        <v>199</v>
      </c>
      <c r="G1570" s="748">
        <f>SUM(G1566:H1569)</f>
        <v>113150</v>
      </c>
      <c r="J1570" s="748">
        <f>SUM(J1566:K1569)</f>
        <v>113150</v>
      </c>
      <c r="M1570" s="748">
        <f>SUM(M1566:N1569)</f>
        <v>0</v>
      </c>
      <c r="P1570" s="748">
        <f>SUM(P1566:Q1569)</f>
        <v>0</v>
      </c>
      <c r="S1570" s="748">
        <f>SUM(S1566:T1569)</f>
        <v>0</v>
      </c>
    </row>
    <row r="1571" spans="1:21" ht="13.15" customHeight="1">
      <c r="B1571" s="748" t="s">
        <v>1238</v>
      </c>
      <c r="O1571" s="748" t="str">
        <f>B1571</f>
        <v>PERMANENT FINANCING FEES</v>
      </c>
    </row>
    <row r="1572" spans="1:21" ht="13.15" customHeight="1">
      <c r="B1572" s="748" t="s">
        <v>1957</v>
      </c>
      <c r="G1572" s="748">
        <f>'Part IV-Uses of Funds'!G76</f>
        <v>0</v>
      </c>
      <c r="S1572" s="748">
        <f>'Part IV-Uses of Funds'!S76</f>
        <v>0</v>
      </c>
    </row>
    <row r="1573" spans="1:21" ht="13.15" customHeight="1">
      <c r="B1573" s="748" t="s">
        <v>1958</v>
      </c>
      <c r="G1573" s="748">
        <f>'Part IV-Uses of Funds'!G77</f>
        <v>0</v>
      </c>
      <c r="S1573" s="748">
        <f>'Part IV-Uses of Funds'!S77</f>
        <v>0</v>
      </c>
    </row>
    <row r="1574" spans="1:21" ht="13.15" customHeight="1">
      <c r="B1574" s="748" t="s">
        <v>2217</v>
      </c>
      <c r="G1574" s="748">
        <f>'Part IV-Uses of Funds'!G78</f>
        <v>12500</v>
      </c>
      <c r="J1574" s="748">
        <f>'Part IV-Uses of Funds'!J78</f>
        <v>12500</v>
      </c>
      <c r="M1574" s="748">
        <f>'Part IV-Uses of Funds'!M78</f>
        <v>0</v>
      </c>
      <c r="P1574" s="748">
        <f>'Part IV-Uses of Funds'!P78</f>
        <v>0</v>
      </c>
      <c r="S1574" s="748">
        <f>'Part IV-Uses of Funds'!S78</f>
        <v>0</v>
      </c>
    </row>
    <row r="1575" spans="1:21" ht="13.15" customHeight="1">
      <c r="B1575" s="748" t="s">
        <v>2218</v>
      </c>
      <c r="G1575" s="748">
        <f>'Part IV-Uses of Funds'!G79</f>
        <v>12500</v>
      </c>
      <c r="J1575" s="748">
        <f>'Part IV-Uses of Funds'!J79</f>
        <v>12500</v>
      </c>
      <c r="M1575" s="748">
        <f>'Part IV-Uses of Funds'!M79</f>
        <v>0</v>
      </c>
      <c r="P1575" s="748">
        <f>'Part IV-Uses of Funds'!P79</f>
        <v>0</v>
      </c>
      <c r="S1575" s="748">
        <f>'Part IV-Uses of Funds'!S79</f>
        <v>0</v>
      </c>
    </row>
    <row r="1576" spans="1:21" ht="13.15" customHeight="1">
      <c r="B1576" s="748" t="s">
        <v>2219</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3712</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1242</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199</v>
      </c>
      <c r="G1579" s="748">
        <f>SUM(G1572:H1578)</f>
        <v>25000</v>
      </c>
      <c r="J1579" s="748">
        <f>SUM(J1574:K1578)</f>
        <v>25000</v>
      </c>
      <c r="M1579" s="748">
        <f>SUM(M1574:N1578)</f>
        <v>0</v>
      </c>
      <c r="P1579" s="748">
        <f>SUM(P1574:Q1578)</f>
        <v>0</v>
      </c>
      <c r="S1579" s="748">
        <f>SUM(S1572:T1578)</f>
        <v>0</v>
      </c>
    </row>
    <row r="1580" spans="1:21" ht="3.4" customHeight="1"/>
    <row r="1581" spans="1:21" ht="6" customHeight="1"/>
    <row r="1582" spans="1:21" ht="18" customHeight="1">
      <c r="A1582" s="748" t="s">
        <v>1126</v>
      </c>
      <c r="B1582" s="748" t="s">
        <v>1494</v>
      </c>
      <c r="J1582" s="748" t="s">
        <v>397</v>
      </c>
      <c r="M1582" s="748" t="s">
        <v>878</v>
      </c>
      <c r="P1582" s="748" t="s">
        <v>398</v>
      </c>
      <c r="S1582" s="748" t="s">
        <v>307</v>
      </c>
    </row>
    <row r="1583" spans="1:21" ht="18" customHeight="1">
      <c r="G1583" s="748" t="s">
        <v>94</v>
      </c>
    </row>
    <row r="1584" spans="1:21" ht="13.15" customHeight="1">
      <c r="B1584" s="748" t="s">
        <v>1117</v>
      </c>
      <c r="O1584" s="748" t="str">
        <f>B1584</f>
        <v>DCA-RELATED COSTS</v>
      </c>
    </row>
    <row r="1585" spans="1:21" ht="12.4" customHeight="1">
      <c r="B1585" s="748" t="s">
        <v>2434</v>
      </c>
      <c r="G1585" s="748">
        <f>'Part IV-Uses of Funds'!G89</f>
        <v>1000</v>
      </c>
      <c r="S1585" s="748">
        <f>'Part IV-Uses of Funds'!S89</f>
        <v>0</v>
      </c>
    </row>
    <row r="1586" spans="1:21" ht="12.4" customHeight="1">
      <c r="B1586" s="748" t="s">
        <v>2118</v>
      </c>
      <c r="G1586" s="748">
        <f>'Part IV-Uses of Funds'!G90</f>
        <v>4000</v>
      </c>
      <c r="S1586" s="748">
        <f>'Part IV-Uses of Funds'!S90</f>
        <v>0</v>
      </c>
    </row>
    <row r="1587" spans="1:21" ht="12.4" customHeight="1">
      <c r="B1587" s="748" t="s">
        <v>2749</v>
      </c>
      <c r="G1587" s="748">
        <f>'Part IV-Uses of Funds'!G91</f>
        <v>0</v>
      </c>
      <c r="S1587" s="748">
        <f>'Part IV-Uses of Funds'!S91</f>
        <v>0</v>
      </c>
    </row>
    <row r="1588" spans="1:21" ht="12.4" customHeight="1">
      <c r="B1588" s="748" t="s">
        <v>858</v>
      </c>
      <c r="E1588" s="748">
        <f>'DCA Underwriting Assumptions'!$Q$41*$J$165</f>
        <v>0</v>
      </c>
      <c r="G1588" s="748">
        <f>'Part IV-Uses of Funds'!G92</f>
        <v>52669</v>
      </c>
      <c r="S1588" s="748">
        <f>'Part IV-Uses of Funds'!S92</f>
        <v>0</v>
      </c>
    </row>
    <row r="1589" spans="1:21" ht="12.4" customHeight="1">
      <c r="B1589" s="748" t="s">
        <v>1523</v>
      </c>
      <c r="E1589" s="748">
        <f>'Part VI-Revenues &amp; Expenses'!$M$63*'DCA Underwriting Assumptions'!$Q$44</f>
        <v>44800</v>
      </c>
      <c r="G1589" s="748">
        <f>'Part IV-Uses of Funds'!G93</f>
        <v>44800</v>
      </c>
      <c r="S1589" s="748">
        <f>'Part IV-Uses of Funds'!S93</f>
        <v>0</v>
      </c>
    </row>
    <row r="1590" spans="1:21" ht="12.4" customHeight="1">
      <c r="B1590" s="748" t="s">
        <v>759</v>
      </c>
      <c r="G1590" s="748">
        <f>'Part IV-Uses of Funds'!G94</f>
        <v>0</v>
      </c>
      <c r="S1590" s="748">
        <f>'Part IV-Uses of Funds'!S94</f>
        <v>0</v>
      </c>
    </row>
    <row r="1591" spans="1:21" ht="12.4" customHeight="1">
      <c r="B1591" s="748" t="s">
        <v>3504</v>
      </c>
      <c r="G1591" s="748">
        <f>'Part IV-Uses of Funds'!G95</f>
        <v>0</v>
      </c>
      <c r="S1591" s="748">
        <f>'Part IV-Uses of Funds'!S95</f>
        <v>0</v>
      </c>
    </row>
    <row r="1592" spans="1:21" ht="12.4" customHeight="1">
      <c r="A1592" s="748" t="str">
        <f>IF(AND(G1592&gt;0,OR(C1592="",C1592="&lt;Enter detailed description here; use Comments section if needed&gt;")),"X","")</f>
        <v/>
      </c>
      <c r="B1592" s="748" t="s">
        <v>1242</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4" customHeight="1">
      <c r="A1593" s="748" t="str">
        <f>IF(AND(G1593&gt;0,OR(C1593="",C1593="&lt;Enter detailed description here; use Comments section if needed&gt;")),"X","")</f>
        <v/>
      </c>
      <c r="B1593" s="748" t="s">
        <v>1242</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4" customHeight="1">
      <c r="F1594" s="748" t="s">
        <v>199</v>
      </c>
      <c r="G1594" s="748">
        <f>SUM(G1585:H1593)</f>
        <v>102469</v>
      </c>
      <c r="S1594" s="748">
        <f>SUM(S1585:T1593)</f>
        <v>0</v>
      </c>
    </row>
    <row r="1595" spans="1:21" ht="13.15" customHeight="1">
      <c r="B1595" s="748" t="s">
        <v>3538</v>
      </c>
      <c r="O1595" s="748" t="str">
        <f>B1595</f>
        <v>EQUITY COSTS</v>
      </c>
    </row>
    <row r="1596" spans="1:21" ht="12.4" customHeight="1">
      <c r="B1596" s="748" t="s">
        <v>507</v>
      </c>
      <c r="G1596" s="748">
        <f>'Part IV-Uses of Funds'!G100</f>
        <v>0</v>
      </c>
      <c r="S1596" s="748">
        <f>'Part IV-Uses of Funds'!S100</f>
        <v>0</v>
      </c>
    </row>
    <row r="1597" spans="1:21" ht="12.4" customHeight="1">
      <c r="B1597" s="748" t="s">
        <v>410</v>
      </c>
      <c r="G1597" s="748">
        <f>'Part IV-Uses of Funds'!G101</f>
        <v>0</v>
      </c>
      <c r="S1597" s="748">
        <f>'Part IV-Uses of Funds'!S101</f>
        <v>0</v>
      </c>
    </row>
    <row r="1598" spans="1:21" ht="12.4" customHeight="1">
      <c r="B1598" s="748" t="s">
        <v>3734</v>
      </c>
      <c r="G1598" s="748">
        <f>'Part IV-Uses of Funds'!G102</f>
        <v>50000</v>
      </c>
      <c r="S1598" s="748">
        <f>'Part IV-Uses of Funds'!S102</f>
        <v>0</v>
      </c>
    </row>
    <row r="1599" spans="1:21" ht="12.4" customHeight="1">
      <c r="A1599" s="748" t="str">
        <f>IF(AND(G1599&gt;0,OR(C1599="",C1599="&lt;Enter detailed description here; use Comments section if needed&gt;")),"X","")</f>
        <v/>
      </c>
      <c r="B1599" s="748" t="s">
        <v>1242</v>
      </c>
      <c r="C1599" s="748" t="str">
        <f>'Part IV-Uses of Funds'!C103</f>
        <v>PrePaid Asset Management Fee</v>
      </c>
      <c r="G1599" s="748">
        <f>'Part IV-Uses of Funds'!G103</f>
        <v>50000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4" customHeight="1">
      <c r="F1600" s="748" t="s">
        <v>199</v>
      </c>
      <c r="G1600" s="748">
        <f>SUM(G1596:H1599)</f>
        <v>100000</v>
      </c>
      <c r="S1600" s="748">
        <f>SUM(S1596:T1599)</f>
        <v>0</v>
      </c>
    </row>
    <row r="1601" spans="1:21" ht="13.15" customHeight="1">
      <c r="B1601" s="748" t="s">
        <v>411</v>
      </c>
      <c r="O1601" s="748" t="str">
        <f>B1601</f>
        <v>DEVELOPER'S FEE</v>
      </c>
    </row>
    <row r="1602" spans="1:21" ht="12.4" customHeight="1">
      <c r="B1602" s="748" t="s">
        <v>3082</v>
      </c>
      <c r="F1602" s="748" t="e">
        <f>G1602/$G$109</f>
        <v>#DIV/0!</v>
      </c>
      <c r="G1602" s="748">
        <f>'Part IV-Uses of Funds'!G106</f>
        <v>225000</v>
      </c>
      <c r="J1602" s="748">
        <f>'Part IV-Uses of Funds'!J106</f>
        <v>225000</v>
      </c>
      <c r="M1602" s="748">
        <f>'Part IV-Uses of Funds'!M106</f>
        <v>0</v>
      </c>
      <c r="P1602" s="748">
        <f>'Part IV-Uses of Funds'!P106</f>
        <v>0</v>
      </c>
      <c r="S1602" s="748">
        <f>'Part IV-Uses of Funds'!S106</f>
        <v>0</v>
      </c>
    </row>
    <row r="1603" spans="1:21" ht="12.4" customHeight="1">
      <c r="B1603" s="748" t="s">
        <v>3083</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4" customHeight="1">
      <c r="B1604" s="748" t="s">
        <v>3075</v>
      </c>
      <c r="F1604" s="748" t="e">
        <f>G1604/$G$109</f>
        <v>#DIV/0!</v>
      </c>
      <c r="G1604" s="748">
        <f>'Part IV-Uses of Funds'!G108</f>
        <v>921993</v>
      </c>
      <c r="J1604" s="748">
        <f>'Part IV-Uses of Funds'!J108</f>
        <v>921993</v>
      </c>
      <c r="M1604" s="748">
        <f>'Part IV-Uses of Funds'!M108</f>
        <v>0</v>
      </c>
      <c r="P1604" s="748">
        <f>'Part IV-Uses of Funds'!P108</f>
        <v>0</v>
      </c>
      <c r="S1604" s="748">
        <f>'Part IV-Uses of Funds'!S108</f>
        <v>0</v>
      </c>
    </row>
    <row r="1605" spans="1:21" ht="12.4" customHeight="1">
      <c r="C1605" s="748" t="str">
        <f>IF(G1605&lt;='DCA Underwriting Assumptions'!$Q$46,"","Developer Fee exceeds DCA Program Maximum !!!")</f>
        <v/>
      </c>
      <c r="F1605" s="748" t="s">
        <v>199</v>
      </c>
      <c r="G1605" s="748">
        <f>SUM(G1602:H1604)</f>
        <v>1146993</v>
      </c>
      <c r="J1605" s="748">
        <f>SUM(J1602:K1604)</f>
        <v>1146993</v>
      </c>
      <c r="M1605" s="748">
        <f>SUM(M1602:N1604)</f>
        <v>0</v>
      </c>
      <c r="P1605" s="748">
        <f>SUM(P1602:Q1604)</f>
        <v>0</v>
      </c>
      <c r="S1605" s="748">
        <f>SUM(S1602:T1604)</f>
        <v>0</v>
      </c>
    </row>
    <row r="1606" spans="1:21" ht="13.15" customHeight="1">
      <c r="B1606" s="748" t="s">
        <v>1895</v>
      </c>
      <c r="O1606" s="748" t="str">
        <f>B1606</f>
        <v>START-UP AND RESERVES</v>
      </c>
    </row>
    <row r="1607" spans="1:21" ht="12.4" customHeight="1">
      <c r="B1607" s="748" t="s">
        <v>368</v>
      </c>
      <c r="G1607" s="748">
        <f>'Part IV-Uses of Funds'!G111</f>
        <v>15000</v>
      </c>
      <c r="S1607" s="748">
        <f>'Part IV-Uses of Funds'!S111</f>
        <v>0</v>
      </c>
    </row>
    <row r="1608" spans="1:21" ht="12.4" customHeight="1">
      <c r="B1608" s="748" t="s">
        <v>2558</v>
      </c>
      <c r="G1608" s="748">
        <f>'Part IV-Uses of Funds'!G112</f>
        <v>50000</v>
      </c>
      <c r="S1608" s="748">
        <f>'Part IV-Uses of Funds'!S112</f>
        <v>0</v>
      </c>
    </row>
    <row r="1609" spans="1:21" ht="12.4" customHeight="1">
      <c r="B1609" s="748" t="s">
        <v>1015</v>
      </c>
      <c r="G1609" s="748">
        <f>'Part IV-Uses of Funds'!G113</f>
        <v>125000</v>
      </c>
      <c r="S1609" s="748">
        <f>'Part IV-Uses of Funds'!S113</f>
        <v>0</v>
      </c>
    </row>
    <row r="1610" spans="1:21" ht="12.4" customHeight="1">
      <c r="B1610" s="748" t="s">
        <v>2042</v>
      </c>
      <c r="G1610" s="748">
        <f>'Part IV-Uses of Funds'!G114</f>
        <v>16000</v>
      </c>
      <c r="S1610" s="748">
        <f>'Part IV-Uses of Funds'!S114</f>
        <v>0</v>
      </c>
    </row>
    <row r="1611" spans="1:21" ht="12.4" customHeight="1">
      <c r="B1611" s="748" t="s">
        <v>2043</v>
      </c>
      <c r="E1611" s="748" t="s">
        <v>1485</v>
      </c>
      <c r="F1611" s="748">
        <f>G1611/'Part VI-Revenues &amp; Expenses'!$M$63</f>
        <v>781.25</v>
      </c>
      <c r="G1611" s="748">
        <f>'Part IV-Uses of Funds'!G115</f>
        <v>50000</v>
      </c>
      <c r="J1611" s="748">
        <f>'Part IV-Uses of Funds'!J115</f>
        <v>50000</v>
      </c>
      <c r="M1611" s="748">
        <f>'Part IV-Uses of Funds'!M115</f>
        <v>0</v>
      </c>
      <c r="P1611" s="748">
        <f>'Part IV-Uses of Funds'!P115</f>
        <v>0</v>
      </c>
      <c r="S1611" s="748">
        <f>'Part IV-Uses of Funds'!S115</f>
        <v>0</v>
      </c>
    </row>
    <row r="1612" spans="1:21" ht="12.4" customHeight="1">
      <c r="A1612" s="748" t="str">
        <f>IF(AND(G1612&gt;0,OR(C1612="",C1612="&lt;Enter detailed description here; use Comments section if needed&gt;")),"X","")</f>
        <v/>
      </c>
      <c r="B1612" s="748" t="s">
        <v>1242</v>
      </c>
      <c r="C1612" s="748" t="str">
        <f>'Part IV-Uses of Funds'!C116</f>
        <v>Erosion Control + Construction Inspections</v>
      </c>
      <c r="G1612" s="748">
        <f>'Part IV-Uses of Funds'!G116</f>
        <v>22000</v>
      </c>
      <c r="J1612" s="748">
        <f>'Part IV-Uses of Funds'!J116</f>
        <v>22000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4" customHeight="1">
      <c r="F1613" s="748" t="s">
        <v>199</v>
      </c>
      <c r="G1613" s="748">
        <f>SUM(G1607:H1612)</f>
        <v>278000</v>
      </c>
      <c r="J1613" s="748">
        <f>SUM(J1611:K1612)</f>
        <v>72000</v>
      </c>
      <c r="M1613" s="748">
        <f>SUM(M1611:N1612)</f>
        <v>0</v>
      </c>
      <c r="P1613" s="748">
        <f>SUM(P1611:Q1612)</f>
        <v>0</v>
      </c>
      <c r="S1613" s="748">
        <f>SUM(S1607:T1612)</f>
        <v>0</v>
      </c>
    </row>
    <row r="1614" spans="1:21" ht="13.15" customHeight="1">
      <c r="B1614" s="748" t="s">
        <v>1122</v>
      </c>
      <c r="O1614" s="748" t="str">
        <f>B1614</f>
        <v>OTHER COSTS</v>
      </c>
    </row>
    <row r="1615" spans="1:21" ht="12.4" customHeight="1">
      <c r="B1615" s="748" t="s">
        <v>1028</v>
      </c>
      <c r="G1615" s="748">
        <f>'Part IV-Uses of Funds'!G119</f>
        <v>0</v>
      </c>
      <c r="J1615" s="748">
        <f>'Part IV-Uses of Funds'!J119</f>
        <v>0</v>
      </c>
      <c r="M1615" s="748">
        <f>'Part IV-Uses of Funds'!M119</f>
        <v>0</v>
      </c>
      <c r="P1615" s="748">
        <f>'Part IV-Uses of Funds'!P119</f>
        <v>0</v>
      </c>
      <c r="S1615" s="748">
        <f>'Part IV-Uses of Funds'!S119</f>
        <v>0</v>
      </c>
    </row>
    <row r="1616" spans="1:21" ht="12.4" customHeight="1">
      <c r="A1616" s="748" t="str">
        <f>IF(AND(G1616&gt;0,OR(C1616="",C1616="&lt;Enter detailed description here; use Comments section if needed&gt;")),"X","")</f>
        <v/>
      </c>
      <c r="B1616" s="748" t="s">
        <v>1242</v>
      </c>
      <c r="C1616" s="748" t="str">
        <f>'Part IV-Uses of Funds'!C120</f>
        <v>Tax and Insurance Escrow</v>
      </c>
      <c r="G1616" s="748">
        <f>'Part IV-Uses of Funds'!G120</f>
        <v>20490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4" customHeight="1">
      <c r="F1617" s="748" t="s">
        <v>199</v>
      </c>
      <c r="G1617" s="748">
        <f>SUM(G1615:H1616)</f>
        <v>20490</v>
      </c>
      <c r="J1617" s="748">
        <f>SUM(J1615:K1616)</f>
        <v>0</v>
      </c>
      <c r="M1617" s="748">
        <f>SUM(M1615:N1616)</f>
        <v>0</v>
      </c>
      <c r="P1617" s="748">
        <f>SUM(P1615:Q1616)</f>
        <v>0</v>
      </c>
      <c r="S1617" s="748">
        <f>SUM(S1615:T1616)</f>
        <v>0</v>
      </c>
    </row>
    <row r="1618" spans="1:19" ht="3" customHeight="1"/>
    <row r="1619" spans="1:19" ht="13.9" customHeight="1">
      <c r="B1619" s="748" t="s">
        <v>412</v>
      </c>
      <c r="G1619" s="748">
        <f>G1513+G1519+G1523+G1528+G1532+G1538+G1552+G1564+G1570+G1579+G1594+G1600+G1605+G1613+G1617</f>
        <v>9221449</v>
      </c>
      <c r="J1619" s="748">
        <f>J1513+J1519+J1523+J1528+J1532+J1538+J1552+J1564+J1570+J1579+J1594+J1600+J1605+J1613+J1617</f>
        <v>8392490</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0</v>
      </c>
    </row>
    <row r="1620" spans="1:19" ht="3" customHeight="1"/>
    <row r="1621" spans="1:19" ht="13.9" customHeight="1">
      <c r="B1621" s="748" t="s">
        <v>3899</v>
      </c>
      <c r="D1621" s="748">
        <f>IF(AND($T$155 = "Yes", 'Part IX A-Scoring Criteria'!$O$176 &gt; 0),'DCA Underwriting Assumptions'!$R$13, IF(AND('Part IV-Uses of Funds'!$T$156="Yes", 'Part IX A-Scoring Criteria'!$O$74&gt;0),'DCA Underwriting Assumptions'!$R$12, 'DCA Underwriting Assumptions'!$R$11))</f>
        <v>9637344</v>
      </c>
      <c r="F1621" s="748" t="s">
        <v>1051</v>
      </c>
      <c r="G1621" s="748">
        <f>G1619/'Part VI-Revenues &amp; Expenses'!$M$63</f>
        <v>144085.140625</v>
      </c>
      <c r="J1621" s="748" t="s">
        <v>1052</v>
      </c>
      <c r="M1621" s="748">
        <f>G1619/'Part VI-Revenues &amp; Expenses'!$M$98</f>
        <v>138.74351528647088</v>
      </c>
    </row>
    <row r="1622" spans="1:19" ht="3" customHeight="1"/>
    <row r="1623" spans="1:19" ht="3.4" customHeight="1"/>
    <row r="1624" spans="1:19" ht="25.9" customHeight="1">
      <c r="A1624" s="748" t="s">
        <v>1241</v>
      </c>
      <c r="B1624" s="748" t="s">
        <v>2388</v>
      </c>
      <c r="J1624" s="748" t="s">
        <v>397</v>
      </c>
      <c r="M1624" s="748" t="s">
        <v>93</v>
      </c>
      <c r="P1624" s="748" t="s">
        <v>398</v>
      </c>
    </row>
    <row r="1625" spans="1:19" ht="15" customHeight="1">
      <c r="B1625" s="748" t="s">
        <v>3190</v>
      </c>
    </row>
    <row r="1626" spans="1:19" ht="6" customHeight="1"/>
    <row r="1627" spans="1:19" ht="13.9" customHeight="1">
      <c r="B1627" s="748" t="s">
        <v>415</v>
      </c>
      <c r="J1627" s="748">
        <f>'Part IV-Uses of Funds'!J131</f>
        <v>0</v>
      </c>
      <c r="P1627" s="748">
        <f>'Part IV-Uses of Funds'!P131</f>
        <v>0</v>
      </c>
    </row>
    <row r="1628" spans="1:19" ht="13.9" customHeight="1">
      <c r="B1628" s="748" t="s">
        <v>3473</v>
      </c>
      <c r="J1628" s="748">
        <f>'Part IV-Uses of Funds'!J132</f>
        <v>0</v>
      </c>
      <c r="P1628" s="748">
        <f>'Part IV-Uses of Funds'!P132</f>
        <v>0</v>
      </c>
    </row>
    <row r="1629" spans="1:19" ht="13.9" customHeight="1">
      <c r="B1629" s="748" t="s">
        <v>3085</v>
      </c>
      <c r="J1629" s="748">
        <f>'Part IV-Uses of Funds'!J133</f>
        <v>0</v>
      </c>
      <c r="P1629" s="748">
        <f>'Part IV-Uses of Funds'!P133</f>
        <v>0</v>
      </c>
    </row>
    <row r="1630" spans="1:19" ht="13.9" customHeight="1">
      <c r="B1630" s="748" t="s">
        <v>3086</v>
      </c>
      <c r="J1630" s="748">
        <f>'Part IV-Uses of Funds'!J134</f>
        <v>0</v>
      </c>
      <c r="P1630" s="748">
        <f>'Part IV-Uses of Funds'!P134</f>
        <v>0</v>
      </c>
    </row>
    <row r="1631" spans="1:19" ht="13.9" customHeight="1">
      <c r="B1631" s="748" t="s">
        <v>457</v>
      </c>
      <c r="J1631" s="748">
        <f>'Part IV-Uses of Funds'!J135</f>
        <v>0</v>
      </c>
      <c r="P1631" s="748">
        <f>'Part IV-Uses of Funds'!P135</f>
        <v>0</v>
      </c>
    </row>
    <row r="1632" spans="1:19" ht="13.9" customHeight="1">
      <c r="B1632" s="748" t="s">
        <v>2521</v>
      </c>
      <c r="C1632" s="748" t="str">
        <f>'Part IV-Uses of Funds'!C136</f>
        <v>Basis Reduction of 15% of installed cost of solar equipment, or .15*$212,500=$31,875</v>
      </c>
      <c r="J1632" s="748">
        <f>'Part IV-Uses of Funds'!J136</f>
        <v>31875</v>
      </c>
      <c r="P1632" s="748">
        <f>'Part IV-Uses of Funds'!P136</f>
        <v>0</v>
      </c>
    </row>
    <row r="1633" spans="1:19" ht="13.9" customHeight="1">
      <c r="B1633" s="748" t="s">
        <v>3087</v>
      </c>
      <c r="J1633" s="748">
        <f>SUM(J1627:K1632)</f>
        <v>31875</v>
      </c>
      <c r="P1633" s="748">
        <f>SUM(P1627:Q1632)</f>
        <v>0</v>
      </c>
    </row>
    <row r="1634" spans="1:19" ht="3" customHeight="1"/>
    <row r="1635" spans="1:19" ht="15" customHeight="1">
      <c r="B1635" s="748" t="s">
        <v>3581</v>
      </c>
    </row>
    <row r="1636" spans="1:19" ht="13.9" customHeight="1">
      <c r="B1636" s="748" t="s">
        <v>2948</v>
      </c>
      <c r="J1636" s="748">
        <f>J1619</f>
        <v>8392490</v>
      </c>
      <c r="M1636" s="748">
        <f>M1619</f>
        <v>0</v>
      </c>
      <c r="P1636" s="748">
        <f>P1619</f>
        <v>0</v>
      </c>
    </row>
    <row r="1637" spans="1:19" ht="13.9" customHeight="1">
      <c r="B1637" s="748" t="s">
        <v>3360</v>
      </c>
      <c r="J1637" s="748">
        <f>J1633</f>
        <v>31875</v>
      </c>
      <c r="P1637" s="748">
        <f>P1633</f>
        <v>0</v>
      </c>
    </row>
    <row r="1638" spans="1:19" ht="13.9" customHeight="1">
      <c r="B1638" s="748" t="s">
        <v>3464</v>
      </c>
      <c r="J1638" s="748">
        <f>J1636-J1637</f>
        <v>8360615</v>
      </c>
      <c r="M1638" s="748">
        <f>M1636</f>
        <v>0</v>
      </c>
      <c r="P1638" s="748">
        <f>P1636-P1637</f>
        <v>0</v>
      </c>
    </row>
    <row r="1639" spans="1:19" ht="13.9" customHeight="1">
      <c r="B1639" s="748" t="s">
        <v>2270</v>
      </c>
      <c r="G1639" s="748" t="s">
        <v>2740</v>
      </c>
      <c r="H1639" s="748" t="str">
        <f>'Part IV-Uses of Funds'!H143</f>
        <v>&lt;&lt;Select&gt;&gt;</v>
      </c>
      <c r="J1639" s="748">
        <f>'Part IV-Uses of Funds'!J143</f>
        <v>1</v>
      </c>
      <c r="P1639" s="748">
        <f>'Part IV-Uses of Funds'!P143</f>
        <v>0</v>
      </c>
    </row>
    <row r="1640" spans="1:19" ht="13.9" customHeight="1">
      <c r="B1640" s="748" t="s">
        <v>3375</v>
      </c>
      <c r="J1640" s="748">
        <f>J1638*J1639</f>
        <v>8360615</v>
      </c>
      <c r="M1640" s="748">
        <f>+M1638</f>
        <v>0</v>
      </c>
      <c r="P1640" s="748">
        <f>P1638*P1639</f>
        <v>0</v>
      </c>
    </row>
    <row r="1641" spans="1:19" ht="13.9" customHeight="1">
      <c r="B1641" s="748" t="s">
        <v>3843</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3191</v>
      </c>
      <c r="J1642" s="748">
        <f>J1640*J1641</f>
        <v>8360615</v>
      </c>
      <c r="M1642" s="748">
        <f>M1640*M1641</f>
        <v>0</v>
      </c>
      <c r="P1642" s="748">
        <f>P1640*P1641</f>
        <v>0</v>
      </c>
    </row>
    <row r="1643" spans="1:19" ht="13.9" customHeight="1">
      <c r="B1643" s="748" t="s">
        <v>3192</v>
      </c>
      <c r="J1643" s="748">
        <f>'Part IV-Uses of Funds'!J147</f>
        <v>0.09</v>
      </c>
      <c r="M1643" s="748">
        <f>'Part IV-Uses of Funds'!M147</f>
        <v>0</v>
      </c>
      <c r="P1643" s="748">
        <f>'Part IV-Uses of Funds'!P147</f>
        <v>0</v>
      </c>
    </row>
    <row r="1644" spans="1:19" ht="13.9" customHeight="1">
      <c r="B1644" s="748" t="s">
        <v>3844</v>
      </c>
      <c r="J1644" s="748">
        <f>J1642*J1643</f>
        <v>752455.35</v>
      </c>
      <c r="M1644" s="748">
        <f>M1642*M1643</f>
        <v>0</v>
      </c>
      <c r="P1644" s="748">
        <f>P1642*P1643</f>
        <v>0</v>
      </c>
    </row>
    <row r="1645" spans="1:19" ht="13.9" customHeight="1">
      <c r="B1645" s="748" t="s">
        <v>2386</v>
      </c>
      <c r="J1645" s="748">
        <f>J1644+M1644+P1644</f>
        <v>752455.35</v>
      </c>
    </row>
    <row r="1646" spans="1:19" ht="6" customHeight="1"/>
    <row r="1647" spans="1:19" ht="15" customHeight="1">
      <c r="A1647" s="748" t="s">
        <v>1243</v>
      </c>
      <c r="B1647" s="748" t="s">
        <v>2389</v>
      </c>
      <c r="J1647" s="748" t="s">
        <v>476</v>
      </c>
      <c r="M1647" s="748" t="str">
        <f>IF(J1649&gt;D1621,"TDC exceeds PUCL!","")</f>
        <v/>
      </c>
      <c r="S1647" s="748" t="s">
        <v>2910</v>
      </c>
    </row>
    <row r="1648" spans="1:19" ht="15" customHeight="1">
      <c r="B1648" s="748" t="s">
        <v>385</v>
      </c>
      <c r="J1648" s="748">
        <f>MIN(G1619,D1621)</f>
        <v>9221449</v>
      </c>
      <c r="M1648" s="748" t="s">
        <v>3662</v>
      </c>
    </row>
    <row r="1649" spans="1:20" ht="13.9" customHeight="1">
      <c r="B1649" s="748" t="s">
        <v>3629</v>
      </c>
      <c r="J1649" s="748">
        <f>'Part IV-Uses of Funds'!J153</f>
        <v>9221449</v>
      </c>
    </row>
    <row r="1650" spans="1:20" ht="13.9" customHeight="1">
      <c r="B1650" s="748" t="s">
        <v>472</v>
      </c>
      <c r="J1650" s="749">
        <f>'Part III A-Sources of Funds'!$H$49-'Part III A-Sources of Funds'!$H$37-'Part III A-Sources of Funds'!$H$40-'Part III A-Sources of Funds'!$H$41</f>
        <v>1647807.0000000007</v>
      </c>
      <c r="T1650" s="748" t="s">
        <v>475</v>
      </c>
    </row>
    <row r="1651" spans="1:20" ht="13.9" customHeight="1">
      <c r="B1651" s="748" t="s">
        <v>3565</v>
      </c>
      <c r="J1651" s="748">
        <f>+J1649-J1650</f>
        <v>7573641.9999999991</v>
      </c>
      <c r="M1651" s="748" t="s">
        <v>473</v>
      </c>
      <c r="O1651" s="748" t="s">
        <v>2911</v>
      </c>
      <c r="S1651" s="748" t="s">
        <v>2781</v>
      </c>
      <c r="T1651" s="748">
        <f>'Part IV-Uses of Funds'!T155</f>
        <v>0</v>
      </c>
    </row>
    <row r="1652" spans="1:20" ht="13.9" customHeight="1">
      <c r="B1652" s="748" t="s">
        <v>1998</v>
      </c>
      <c r="J1652" s="748" t="str">
        <f>"/ 10"</f>
        <v>/ 10</v>
      </c>
      <c r="M1652" s="748">
        <f>'Part IV-Uses of Funds'!M156</f>
        <v>0</v>
      </c>
      <c r="O1652" s="748">
        <f>'Part IV-Uses of Funds'!O156</f>
        <v>0</v>
      </c>
      <c r="S1652" s="748" t="s">
        <v>474</v>
      </c>
      <c r="T1652" s="748">
        <f>'Part IV-Uses of Funds'!T156</f>
        <v>0</v>
      </c>
    </row>
    <row r="1653" spans="1:20" ht="13.9" customHeight="1">
      <c r="B1653" s="748" t="s">
        <v>1999</v>
      </c>
      <c r="J1653" s="748">
        <f>J1651/10</f>
        <v>757364.2</v>
      </c>
      <c r="N1653" s="748" t="s">
        <v>2000</v>
      </c>
      <c r="Q1653" s="748" t="s">
        <v>3068</v>
      </c>
    </row>
    <row r="1654" spans="1:20" ht="13.9" customHeight="1">
      <c r="B1654" s="748" t="s">
        <v>4126</v>
      </c>
      <c r="J1654" s="748">
        <f>N1654+Q1654</f>
        <v>1</v>
      </c>
      <c r="M1654" s="748" t="s">
        <v>2001</v>
      </c>
      <c r="N1654" s="748">
        <f>'Part IV-Uses of Funds'!N158</f>
        <v>0.75</v>
      </c>
      <c r="P1654" s="748" t="s">
        <v>1029</v>
      </c>
      <c r="Q1654" s="748">
        <f>'Part IV-Uses of Funds'!Q158</f>
        <v>0.25</v>
      </c>
    </row>
    <row r="1655" spans="1:20" ht="13.9" customHeight="1">
      <c r="B1655" s="748" t="s">
        <v>2387</v>
      </c>
      <c r="J1655" s="748">
        <f>IF(J1654=0,"",J1653/J1654)</f>
        <v>757364.2</v>
      </c>
    </row>
    <row r="1656" spans="1:20" ht="9" customHeight="1"/>
    <row r="1657" spans="1:20" ht="16.149999999999999" customHeight="1">
      <c r="B1657" s="748" t="s">
        <v>3560</v>
      </c>
      <c r="J1657" s="748">
        <f>+MIN(J1645,J1655,'DCA Underwriting Assumptions'!$R$6)</f>
        <v>752455.35</v>
      </c>
    </row>
    <row r="1658" spans="1:20" ht="9.4" customHeight="1"/>
    <row r="1659" spans="1:20" ht="16.149999999999999" customHeight="1">
      <c r="B1659" s="748" t="s">
        <v>3725</v>
      </c>
      <c r="J1659" s="748">
        <f>'Part IV-Uses of Funds'!J163</f>
        <v>752409</v>
      </c>
      <c r="M1659" s="748" t="str">
        <f>IF(J1659&gt;J1657,"ALLOCATION CANNOT EXCEED MAXIMUM - REVISE ALLOCATION!","")</f>
        <v/>
      </c>
    </row>
    <row r="1660" spans="1:20" ht="9.4" customHeight="1"/>
    <row r="1661" spans="1:20" ht="16.149999999999999" customHeight="1">
      <c r="A1661" s="748" t="s">
        <v>2950</v>
      </c>
      <c r="B1661" s="748" t="s">
        <v>3817</v>
      </c>
      <c r="J1661" s="748">
        <f>+MIN(J1657,J1659)</f>
        <v>752409</v>
      </c>
    </row>
    <row r="1662" spans="1:20" ht="3" customHeight="1"/>
    <row r="1663" spans="1:20" ht="6" customHeight="1"/>
    <row r="1664" spans="1:20" ht="12" customHeight="1">
      <c r="A1664" s="748" t="s">
        <v>2952</v>
      </c>
      <c r="B1664" s="748" t="s">
        <v>953</v>
      </c>
      <c r="K1664" s="748" t="s">
        <v>973</v>
      </c>
      <c r="L1664" s="748" t="s">
        <v>224</v>
      </c>
    </row>
    <row r="1665" spans="1:12" ht="107.65" customHeight="1">
      <c r="A1665" s="748" t="str">
        <f>'Part IV-Uses of Funds'!A169</f>
        <v>Endeavor Pointe will feature a 50kw solar array with an anticipated cost of $212,500 -- the size of the solar array is designed to reduce community level electricity expenses by approximately 50%, however, the community will continue to be a net consumer of electricity from the grid.  Per IRC Section 48, a federal clean energy tax credit equal to 30% of system installed cost is available (equal to $63,750), however, a reduction in basis of 1/2 of the value of the credit is required.  Thus, basis was reduced by $31,875.  Per unit cost of $96,351.56 includes all site development (64 units+1,949 SF clubhouse) as well as the solar array.  In addition to the solar array, the community will go through Earthcraft's Multifamily Sustainable Building Certification.</v>
      </c>
      <c r="K1665" s="748">
        <f>'Part IV-Uses of Funds'!K169</f>
        <v>0</v>
      </c>
    </row>
    <row r="1666" spans="1:12" ht="107.65" customHeight="1">
      <c r="A1666" s="748" t="str">
        <f>'Part IV-Uses of Funds'!A170</f>
        <v>We anticipate certifying Endeavor Pointe under Earthcraft Multifamily Builfing Program and the green building program certification fee above of $25,000 includes all expenses -- inspections and program fees-- necessary for Earthcraft Multifamily Sustainable Building Certification.</v>
      </c>
      <c r="K1666" s="748">
        <f>'Part IV-Uses of Funds'!K170</f>
        <v>0</v>
      </c>
    </row>
    <row r="1667" spans="1:12" ht="107.65" customHeight="1">
      <c r="A1667" s="748" t="str">
        <f>'Part IV-Uses of Funds'!A171</f>
        <v>Estimated schedule of values included in tab 8. Taxes calculated based on ad valorem expense per unit of comparable properties in Walker County, per documentation in tab 8.  Water ($1000 per tap) and sewer ($510 per tap) fee schedules included in tab 8.</v>
      </c>
      <c r="K1667" s="748">
        <f>'Part IV-Uses of Funds'!K171</f>
        <v>0</v>
      </c>
    </row>
    <row r="1668" spans="1:12" ht="107.6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2011-028 Endeavor Pointe, ,  County</v>
      </c>
    </row>
    <row r="1675" spans="1:12">
      <c r="F1675" s="748" t="s">
        <v>861</v>
      </c>
      <c r="I1675" s="748" t="str">
        <f>VLOOKUP('Part I-Project Information'!$J$25,'Part I-Project Information'!$C$183:$D$342,2)</f>
        <v>North</v>
      </c>
    </row>
    <row r="1677" spans="1:12">
      <c r="A1677" s="748" t="s">
        <v>1126</v>
      </c>
      <c r="B1677" s="748" t="s">
        <v>3559</v>
      </c>
      <c r="F1677" s="748" t="s">
        <v>3919</v>
      </c>
      <c r="I1677" s="748" t="str">
        <f>'Part V-Utility Allowances'!I5</f>
        <v>DCA</v>
      </c>
    </row>
    <row r="1678" spans="1:12">
      <c r="F1678" s="748" t="s">
        <v>1139</v>
      </c>
      <c r="I1678" s="748">
        <f>'Part V-Utility Allowances'!I6</f>
        <v>40695</v>
      </c>
      <c r="K1678" s="748" t="s">
        <v>773</v>
      </c>
      <c r="L1678" s="748" t="str">
        <f>'Part V-Utility Allowances'!L6</f>
        <v>MF</v>
      </c>
    </row>
    <row r="1680" spans="1:12">
      <c r="F1680" s="748" t="s">
        <v>1121</v>
      </c>
      <c r="I1680" s="748" t="s">
        <v>208</v>
      </c>
    </row>
    <row r="1681" spans="1:13">
      <c r="B1681" s="748" t="s">
        <v>1373</v>
      </c>
      <c r="D1681" s="748" t="s">
        <v>2519</v>
      </c>
      <c r="F1681" s="748" t="s">
        <v>1043</v>
      </c>
      <c r="G1681" s="748" t="s">
        <v>3064</v>
      </c>
      <c r="I1681" s="748">
        <v>0</v>
      </c>
      <c r="J1681" s="748">
        <v>1</v>
      </c>
      <c r="K1681" s="748">
        <v>2</v>
      </c>
      <c r="L1681" s="748">
        <v>3</v>
      </c>
      <c r="M1681" s="748">
        <v>4</v>
      </c>
    </row>
    <row r="1682" spans="1:13">
      <c r="B1682" s="748" t="s">
        <v>3066</v>
      </c>
      <c r="D1682" s="748" t="str">
        <f>'Part V-Utility Allowances'!D10</f>
        <v>Electric Heat Pump</v>
      </c>
      <c r="F1682" s="748" t="str">
        <f>'Part V-Utility Allowances'!F10</f>
        <v>X</v>
      </c>
      <c r="G1682" s="748">
        <f>'Part V-Utility Allowances'!G10</f>
        <v>0</v>
      </c>
      <c r="I1682" s="748">
        <f>'Part V-Utility Allowances'!I10</f>
        <v>0</v>
      </c>
      <c r="J1682" s="748">
        <f>'Part V-Utility Allowances'!J10</f>
        <v>11</v>
      </c>
      <c r="K1682" s="748">
        <f>'Part V-Utility Allowances'!K10</f>
        <v>13</v>
      </c>
      <c r="L1682" s="748">
        <f>'Part V-Utility Allowances'!L10</f>
        <v>0</v>
      </c>
      <c r="M1682" s="748">
        <f>'Part V-Utility Allowances'!M10</f>
        <v>0</v>
      </c>
    </row>
    <row r="1683" spans="1:13">
      <c r="B1683" s="748" t="s">
        <v>944</v>
      </c>
      <c r="D1683" s="748" t="s">
        <v>2515</v>
      </c>
      <c r="F1683" s="748" t="str">
        <f>'Part V-Utility Allowances'!F11</f>
        <v>X</v>
      </c>
      <c r="G1683" s="748">
        <f>'Part V-Utility Allowances'!G11</f>
        <v>0</v>
      </c>
      <c r="I1683" s="748">
        <f>'Part V-Utility Allowances'!I11</f>
        <v>0</v>
      </c>
      <c r="J1683" s="748">
        <f>'Part V-Utility Allowances'!J11</f>
        <v>23</v>
      </c>
      <c r="K1683" s="748">
        <f>'Part V-Utility Allowances'!K11</f>
        <v>29</v>
      </c>
      <c r="L1683" s="748">
        <f>'Part V-Utility Allowances'!L11</f>
        <v>0</v>
      </c>
      <c r="M1683" s="748">
        <f>'Part V-Utility Allowances'!M11</f>
        <v>0</v>
      </c>
    </row>
    <row r="1684" spans="1:13">
      <c r="B1684" s="748" t="s">
        <v>2516</v>
      </c>
      <c r="D1684" s="748" t="str">
        <f>'Part V-Utility Allowances'!D12</f>
        <v>Electric</v>
      </c>
      <c r="F1684" s="748" t="str">
        <f>'Part V-Utility Allowances'!F12</f>
        <v>X</v>
      </c>
      <c r="G1684" s="748">
        <f>'Part V-Utility Allowances'!G12</f>
        <v>0</v>
      </c>
      <c r="I1684" s="748">
        <f>'Part V-Utility Allowances'!I12</f>
        <v>0</v>
      </c>
      <c r="J1684" s="748">
        <f>'Part V-Utility Allowances'!J12</f>
        <v>9</v>
      </c>
      <c r="K1684" s="748">
        <f>'Part V-Utility Allowances'!K12</f>
        <v>11</v>
      </c>
      <c r="L1684" s="748">
        <f>'Part V-Utility Allowances'!L12</f>
        <v>0</v>
      </c>
      <c r="M1684" s="748">
        <f>'Part V-Utility Allowances'!M12</f>
        <v>0</v>
      </c>
    </row>
    <row r="1685" spans="1:13">
      <c r="B1685" s="748" t="s">
        <v>2517</v>
      </c>
      <c r="D1685" s="748" t="str">
        <f>'Part V-Utility Allowances'!D13</f>
        <v>Electric</v>
      </c>
      <c r="F1685" s="748" t="str">
        <f>'Part V-Utility Allowances'!F13</f>
        <v>X</v>
      </c>
      <c r="G1685" s="748">
        <f>'Part V-Utility Allowances'!G13</f>
        <v>0</v>
      </c>
      <c r="I1685" s="748">
        <f>'Part V-Utility Allowances'!I13</f>
        <v>0</v>
      </c>
      <c r="J1685" s="748">
        <f>'Part V-Utility Allowances'!J13</f>
        <v>28</v>
      </c>
      <c r="K1685" s="748">
        <f>'Part V-Utility Allowances'!K13</f>
        <v>35</v>
      </c>
      <c r="L1685" s="748">
        <f>'Part V-Utility Allowances'!L13</f>
        <v>0</v>
      </c>
      <c r="M1685" s="748">
        <f>'Part V-Utility Allowances'!M13</f>
        <v>0</v>
      </c>
    </row>
    <row r="1686" spans="1:13">
      <c r="B1686" s="748" t="s">
        <v>2518</v>
      </c>
      <c r="D1686" s="748" t="s">
        <v>2515</v>
      </c>
      <c r="F1686" s="748" t="str">
        <f>'Part V-Utility Allowances'!F14</f>
        <v>X</v>
      </c>
      <c r="G1686" s="748">
        <f>'Part V-Utility Allowances'!G14</f>
        <v>0</v>
      </c>
      <c r="I1686" s="748">
        <f>'Part V-Utility Allowances'!I14</f>
        <v>0</v>
      </c>
      <c r="J1686" s="748">
        <f>'Part V-Utility Allowances'!J14</f>
        <v>26</v>
      </c>
      <c r="K1686" s="748">
        <f>'Part V-Utility Allowances'!K14</f>
        <v>33</v>
      </c>
      <c r="L1686" s="748">
        <f>'Part V-Utility Allowances'!L14</f>
        <v>0</v>
      </c>
      <c r="M1686" s="748">
        <f>'Part V-Utility Allowances'!M14</f>
        <v>0</v>
      </c>
    </row>
    <row r="1687" spans="1:13">
      <c r="B1687" s="748" t="s">
        <v>2047</v>
      </c>
      <c r="D1687" s="748" t="s">
        <v>3558</v>
      </c>
      <c r="E1687" s="748" t="str">
        <f>'Part V-Utility Allowances'!E15</f>
        <v>No</v>
      </c>
      <c r="F1687" s="748" t="str">
        <f>'Part V-Utility Allowances'!F15</f>
        <v>X</v>
      </c>
      <c r="G1687" s="748">
        <f>'Part V-Utility Allowances'!G15</f>
        <v>0</v>
      </c>
      <c r="I1687" s="748">
        <f>'Part V-Utility Allowances'!I15</f>
        <v>0</v>
      </c>
      <c r="J1687" s="748">
        <f>'Part V-Utility Allowances'!J15</f>
        <v>36</v>
      </c>
      <c r="K1687" s="748">
        <f>'Part V-Utility Allowances'!K15</f>
        <v>42</v>
      </c>
      <c r="L1687" s="748">
        <f>'Part V-Utility Allowances'!L15</f>
        <v>0</v>
      </c>
      <c r="M1687" s="748">
        <f>'Part V-Utility Allowances'!M15</f>
        <v>0</v>
      </c>
    </row>
    <row r="1688" spans="1:13">
      <c r="B1688" s="748" t="s">
        <v>3065</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1669</v>
      </c>
      <c r="I1689" s="748">
        <f>SUM(I1682:I1688)</f>
        <v>0</v>
      </c>
      <c r="J1689" s="748">
        <f>SUM(J1682:J1688)</f>
        <v>133</v>
      </c>
      <c r="K1689" s="748">
        <f>SUM(K1682:K1688)</f>
        <v>163</v>
      </c>
      <c r="L1689" s="748">
        <f>SUM(L1682:L1688)</f>
        <v>0</v>
      </c>
      <c r="M1689" s="748">
        <f>SUM(M1682:M1688)</f>
        <v>0</v>
      </c>
    </row>
    <row r="1691" spans="1:13">
      <c r="A1691" s="748" t="s">
        <v>1241</v>
      </c>
      <c r="B1691" s="748" t="s">
        <v>3561</v>
      </c>
      <c r="F1691" s="748" t="s">
        <v>3919</v>
      </c>
      <c r="I1691" s="748">
        <f>'Part V-Utility Allowances'!I19</f>
        <v>0</v>
      </c>
    </row>
    <row r="1692" spans="1:13">
      <c r="F1692" s="748" t="s">
        <v>1139</v>
      </c>
      <c r="I1692" s="748">
        <f>'Part V-Utility Allowances'!I20</f>
        <v>0</v>
      </c>
      <c r="K1692" s="748" t="s">
        <v>773</v>
      </c>
      <c r="L1692" s="748">
        <f>'Part V-Utility Allowances'!L20</f>
        <v>0</v>
      </c>
    </row>
    <row r="1694" spans="1:13">
      <c r="F1694" s="748" t="s">
        <v>1121</v>
      </c>
      <c r="I1694" s="748" t="s">
        <v>208</v>
      </c>
    </row>
    <row r="1695" spans="1:13">
      <c r="B1695" s="748" t="s">
        <v>1373</v>
      </c>
      <c r="D1695" s="748" t="s">
        <v>2519</v>
      </c>
      <c r="F1695" s="748" t="s">
        <v>1043</v>
      </c>
      <c r="G1695" s="748" t="s">
        <v>3064</v>
      </c>
      <c r="I1695" s="748">
        <v>0</v>
      </c>
      <c r="J1695" s="748">
        <v>1</v>
      </c>
      <c r="K1695" s="748">
        <v>2</v>
      </c>
      <c r="L1695" s="748">
        <v>3</v>
      </c>
      <c r="M1695" s="748">
        <v>4</v>
      </c>
    </row>
    <row r="1696" spans="1:13">
      <c r="B1696" s="748" t="s">
        <v>3066</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944</v>
      </c>
      <c r="D1697" s="748" t="s">
        <v>2515</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2516</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2517</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2518</v>
      </c>
      <c r="D1700" s="748" t="s">
        <v>2515</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2047</v>
      </c>
      <c r="D1701" s="748" t="s">
        <v>3558</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3065</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1669</v>
      </c>
      <c r="I1703" s="748">
        <f>SUM(I1696:I1702)</f>
        <v>0</v>
      </c>
      <c r="J1703" s="748">
        <f>SUM(J1696:J1702)</f>
        <v>0</v>
      </c>
      <c r="K1703" s="748">
        <f>SUM(K1696:K1702)</f>
        <v>0</v>
      </c>
      <c r="L1703" s="748">
        <f>SUM(L1696:L1702)</f>
        <v>0</v>
      </c>
      <c r="M1703" s="748">
        <f>SUM(M1696:M1702)</f>
        <v>0</v>
      </c>
    </row>
    <row r="1705" spans="2:13">
      <c r="B1705" s="748" t="s">
        <v>2965</v>
      </c>
    </row>
    <row r="1707" spans="2:13">
      <c r="B1707" s="748" t="s">
        <v>953</v>
      </c>
    </row>
    <row r="1708" spans="2:13">
      <c r="B1708" s="748">
        <f>'Part V-Utility Allowances'!B36</f>
        <v>0</v>
      </c>
    </row>
    <row r="1709" spans="2:13">
      <c r="B1709" s="748">
        <f>'Part V-Utility Allowances'!B37</f>
        <v>0</v>
      </c>
    </row>
    <row r="1711" spans="2:13">
      <c r="B1711" s="748" t="s">
        <v>3042</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2011-028 Endeavor Pointe, ,  County</v>
      </c>
    </row>
    <row r="1717" spans="1:219" ht="12" customHeight="1"/>
    <row r="1718" spans="1:219" ht="12.4" customHeight="1">
      <c r="A1718" s="748" t="s">
        <v>1126</v>
      </c>
      <c r="B1718" s="748" t="s">
        <v>3673</v>
      </c>
      <c r="D1718" s="748" t="s">
        <v>453</v>
      </c>
      <c r="N1718" s="748" t="s">
        <v>1042</v>
      </c>
      <c r="O1718" s="748" t="str">
        <f>'Part I-Project Information'!$J$26</f>
        <v>Chattanooga</v>
      </c>
      <c r="EY1718" s="748" t="s">
        <v>760</v>
      </c>
      <c r="EZ1718" s="748" t="s">
        <v>3702</v>
      </c>
      <c r="FA1718" s="748" t="s">
        <v>3703</v>
      </c>
      <c r="FB1718" s="748" t="s">
        <v>3704</v>
      </c>
      <c r="FC1718" s="748" t="s">
        <v>3705</v>
      </c>
      <c r="FI1718" s="748" t="s">
        <v>760</v>
      </c>
      <c r="FJ1718" s="748" t="s">
        <v>3702</v>
      </c>
      <c r="FK1718" s="748" t="s">
        <v>3703</v>
      </c>
      <c r="FL1718" s="748" t="s">
        <v>3704</v>
      </c>
      <c r="FM1718" s="748" t="s">
        <v>3705</v>
      </c>
      <c r="FN1718" s="748" t="s">
        <v>760</v>
      </c>
      <c r="FO1718" s="748" t="s">
        <v>3702</v>
      </c>
      <c r="FP1718" s="748" t="s">
        <v>3703</v>
      </c>
      <c r="FQ1718" s="748" t="s">
        <v>3704</v>
      </c>
      <c r="FR1718" s="748" t="s">
        <v>3705</v>
      </c>
      <c r="FS1718" s="748" t="s">
        <v>760</v>
      </c>
      <c r="FT1718" s="748" t="s">
        <v>3702</v>
      </c>
      <c r="FU1718" s="748" t="s">
        <v>3703</v>
      </c>
      <c r="FV1718" s="748" t="s">
        <v>3704</v>
      </c>
      <c r="FW1718" s="748" t="s">
        <v>3705</v>
      </c>
      <c r="FX1718" s="748" t="s">
        <v>760</v>
      </c>
      <c r="FY1718" s="748" t="s">
        <v>3702</v>
      </c>
      <c r="FZ1718" s="748" t="s">
        <v>3703</v>
      </c>
      <c r="GA1718" s="748" t="s">
        <v>3704</v>
      </c>
      <c r="GB1718" s="748" t="s">
        <v>3705</v>
      </c>
      <c r="GC1718" s="748" t="s">
        <v>760</v>
      </c>
      <c r="GD1718" s="748" t="s">
        <v>3702</v>
      </c>
      <c r="GE1718" s="748" t="s">
        <v>3703</v>
      </c>
      <c r="GF1718" s="748" t="s">
        <v>3704</v>
      </c>
      <c r="GG1718" s="748" t="s">
        <v>3705</v>
      </c>
      <c r="GH1718" s="748" t="s">
        <v>760</v>
      </c>
      <c r="GI1718" s="748" t="s">
        <v>3702</v>
      </c>
      <c r="GJ1718" s="748" t="s">
        <v>3703</v>
      </c>
      <c r="GK1718" s="748" t="s">
        <v>3704</v>
      </c>
      <c r="GL1718" s="748" t="s">
        <v>3705</v>
      </c>
    </row>
    <row r="1719" spans="1:219" ht="12.4" customHeight="1">
      <c r="T1719" s="748" t="s">
        <v>1640</v>
      </c>
      <c r="U1719" s="748" t="s">
        <v>1526</v>
      </c>
      <c r="V1719" s="748" t="s">
        <v>1527</v>
      </c>
      <c r="W1719" s="748" t="s">
        <v>1528</v>
      </c>
      <c r="X1719" s="748" t="s">
        <v>1644</v>
      </c>
      <c r="Y1719" s="748" t="s">
        <v>1556</v>
      </c>
      <c r="Z1719" s="748" t="s">
        <v>3331</v>
      </c>
      <c r="AA1719" s="748" t="s">
        <v>3332</v>
      </c>
      <c r="AB1719" s="748" t="s">
        <v>3333</v>
      </c>
      <c r="AC1719" s="748" t="s">
        <v>3439</v>
      </c>
      <c r="AD1719" s="748" t="s">
        <v>1557</v>
      </c>
      <c r="AE1719" s="748" t="s">
        <v>3440</v>
      </c>
      <c r="AF1719" s="748" t="s">
        <v>3334</v>
      </c>
      <c r="AG1719" s="748" t="s">
        <v>3447</v>
      </c>
      <c r="AH1719" s="748" t="s">
        <v>3448</v>
      </c>
      <c r="AI1719" s="748" t="s">
        <v>295</v>
      </c>
      <c r="AJ1719" s="748" t="s">
        <v>3449</v>
      </c>
      <c r="AK1719" s="748" t="s">
        <v>3450</v>
      </c>
      <c r="AL1719" s="748" t="s">
        <v>3337</v>
      </c>
      <c r="AM1719" s="748" t="s">
        <v>2008</v>
      </c>
      <c r="AN1719" s="748" t="s">
        <v>1001</v>
      </c>
      <c r="AO1719" s="748" t="s">
        <v>990</v>
      </c>
      <c r="AP1719" s="748" t="s">
        <v>868</v>
      </c>
      <c r="AQ1719" s="748" t="s">
        <v>869</v>
      </c>
      <c r="AR1719" s="748" t="s">
        <v>870</v>
      </c>
      <c r="AS1719" s="748" t="s">
        <v>871</v>
      </c>
      <c r="AT1719" s="748" t="s">
        <v>872</v>
      </c>
      <c r="AU1719" s="748" t="s">
        <v>873</v>
      </c>
      <c r="AV1719" s="748" t="s">
        <v>874</v>
      </c>
      <c r="AW1719" s="748" t="s">
        <v>875</v>
      </c>
      <c r="AX1719" s="748" t="s">
        <v>964</v>
      </c>
      <c r="AY1719" s="748" t="s">
        <v>965</v>
      </c>
      <c r="AZ1719" s="748" t="s">
        <v>1602</v>
      </c>
      <c r="BA1719" s="748" t="s">
        <v>1603</v>
      </c>
      <c r="BB1719" s="748" t="s">
        <v>1607</v>
      </c>
      <c r="BC1719" s="748" t="s">
        <v>905</v>
      </c>
      <c r="BD1719" s="748" t="s">
        <v>906</v>
      </c>
      <c r="BE1719" s="748" t="s">
        <v>907</v>
      </c>
      <c r="BF1719" s="748" t="s">
        <v>908</v>
      </c>
      <c r="BG1719" s="748" t="s">
        <v>910</v>
      </c>
      <c r="BH1719" s="748" t="s">
        <v>1486</v>
      </c>
      <c r="BI1719" s="748" t="s">
        <v>1487</v>
      </c>
      <c r="BJ1719" s="748" t="s">
        <v>1488</v>
      </c>
      <c r="BK1719" s="748" t="s">
        <v>1599</v>
      </c>
      <c r="BL1719" s="748" t="s">
        <v>1600</v>
      </c>
      <c r="BM1719" s="748" t="s">
        <v>1592</v>
      </c>
      <c r="BN1719" s="748" t="s">
        <v>1593</v>
      </c>
      <c r="BO1719" s="748" t="s">
        <v>1594</v>
      </c>
      <c r="BP1719" s="748" t="s">
        <v>1595</v>
      </c>
      <c r="BQ1719" s="748" t="s">
        <v>1596</v>
      </c>
      <c r="BR1719" s="748" t="s">
        <v>3693</v>
      </c>
      <c r="BS1719" s="748" t="s">
        <v>3694</v>
      </c>
      <c r="BT1719" s="748" t="s">
        <v>3609</v>
      </c>
      <c r="BU1719" s="748" t="s">
        <v>3610</v>
      </c>
      <c r="BV1719" s="748" t="s">
        <v>3696</v>
      </c>
      <c r="BW1719" s="748" t="s">
        <v>279</v>
      </c>
      <c r="BX1719" s="748" t="s">
        <v>2011</v>
      </c>
      <c r="BY1719" s="748" t="s">
        <v>2012</v>
      </c>
      <c r="BZ1719" s="748" t="s">
        <v>2131</v>
      </c>
      <c r="CA1719" s="748" t="s">
        <v>2132</v>
      </c>
      <c r="CB1719" s="748" t="s">
        <v>298</v>
      </c>
      <c r="CC1719" s="748" t="s">
        <v>2239</v>
      </c>
      <c r="CD1719" s="748" t="s">
        <v>2240</v>
      </c>
      <c r="CE1719" s="748" t="s">
        <v>1865</v>
      </c>
      <c r="CF1719" s="748" t="s">
        <v>1866</v>
      </c>
      <c r="CG1719" s="748" t="s">
        <v>297</v>
      </c>
      <c r="CH1719" s="748" t="s">
        <v>1505</v>
      </c>
      <c r="CI1719" s="748" t="s">
        <v>1506</v>
      </c>
      <c r="CJ1719" s="748" t="s">
        <v>1507</v>
      </c>
      <c r="CK1719" s="748" t="s">
        <v>1508</v>
      </c>
      <c r="CL1719" s="748" t="s">
        <v>296</v>
      </c>
      <c r="CM1719" s="748" t="s">
        <v>1509</v>
      </c>
      <c r="CN1719" s="748" t="s">
        <v>1510</v>
      </c>
      <c r="CO1719" s="748" t="s">
        <v>1638</v>
      </c>
      <c r="CP1719" s="748" t="s">
        <v>1639</v>
      </c>
      <c r="CQ1719" s="748" t="s">
        <v>1385</v>
      </c>
      <c r="CR1719" s="748" t="s">
        <v>1386</v>
      </c>
      <c r="CS1719" s="748" t="s">
        <v>1387</v>
      </c>
      <c r="CT1719" s="748" t="s">
        <v>1388</v>
      </c>
      <c r="CU1719" s="748" t="s">
        <v>1389</v>
      </c>
      <c r="CV1719" s="748" t="s">
        <v>1570</v>
      </c>
      <c r="CW1719" s="748" t="s">
        <v>1571</v>
      </c>
      <c r="CX1719" s="748" t="s">
        <v>1572</v>
      </c>
      <c r="CY1719" s="748" t="s">
        <v>1573</v>
      </c>
      <c r="CZ1719" s="748" t="s">
        <v>3692</v>
      </c>
      <c r="DA1719" s="748" t="s">
        <v>2177</v>
      </c>
      <c r="DB1719" s="748" t="s">
        <v>2182</v>
      </c>
      <c r="DC1719" s="748" t="s">
        <v>2183</v>
      </c>
      <c r="DD1719" s="748" t="s">
        <v>2181</v>
      </c>
      <c r="DE1719" s="748" t="s">
        <v>2036</v>
      </c>
      <c r="DF1719" s="748" t="s">
        <v>787</v>
      </c>
      <c r="DG1719" s="748" t="s">
        <v>788</v>
      </c>
      <c r="DH1719" s="748" t="s">
        <v>789</v>
      </c>
      <c r="DI1719" s="748" t="s">
        <v>900</v>
      </c>
      <c r="DJ1719" s="748" t="s">
        <v>901</v>
      </c>
      <c r="DK1719" s="748" t="s">
        <v>163</v>
      </c>
      <c r="DL1719" s="748" t="s">
        <v>266</v>
      </c>
      <c r="DM1719" s="748" t="s">
        <v>267</v>
      </c>
      <c r="DN1719" s="748" t="s">
        <v>268</v>
      </c>
      <c r="DO1719" s="748" t="s">
        <v>164</v>
      </c>
      <c r="DP1719" s="748" t="s">
        <v>426</v>
      </c>
      <c r="DQ1719" s="748" t="s">
        <v>427</v>
      </c>
      <c r="DR1719" s="748" t="s">
        <v>428</v>
      </c>
      <c r="DS1719" s="748" t="s">
        <v>2973</v>
      </c>
      <c r="DT1719" s="748" t="s">
        <v>2974</v>
      </c>
      <c r="DU1719" s="748" t="s">
        <v>2975</v>
      </c>
      <c r="DV1719" s="748" t="s">
        <v>986</v>
      </c>
      <c r="DW1719" s="748" t="s">
        <v>1084</v>
      </c>
      <c r="DX1719" s="748" t="s">
        <v>1213</v>
      </c>
      <c r="DY1719" s="748" t="s">
        <v>1214</v>
      </c>
      <c r="DZ1719" s="748" t="s">
        <v>165</v>
      </c>
      <c r="EA1719" s="748" t="s">
        <v>269</v>
      </c>
      <c r="EB1719" s="748" t="s">
        <v>270</v>
      </c>
      <c r="EC1719" s="748" t="s">
        <v>271</v>
      </c>
      <c r="ED1719" s="748" t="s">
        <v>272</v>
      </c>
      <c r="EE1719" s="748" t="s">
        <v>989</v>
      </c>
      <c r="EF1719" s="748" t="s">
        <v>892</v>
      </c>
      <c r="EG1719" s="748" t="s">
        <v>893</v>
      </c>
      <c r="EH1719" s="748" t="s">
        <v>785</v>
      </c>
      <c r="EI1719" s="748" t="s">
        <v>786</v>
      </c>
      <c r="EJ1719" s="748" t="s">
        <v>3424</v>
      </c>
      <c r="EK1719" s="748" t="s">
        <v>3425</v>
      </c>
      <c r="EL1719" s="748" t="s">
        <v>3426</v>
      </c>
      <c r="EM1719" s="748" t="s">
        <v>2250</v>
      </c>
      <c r="EN1719" s="748" t="s">
        <v>2251</v>
      </c>
      <c r="EO1719" s="748" t="s">
        <v>166</v>
      </c>
      <c r="EP1719" s="748" t="s">
        <v>167</v>
      </c>
      <c r="EQ1719" s="748" t="s">
        <v>168</v>
      </c>
      <c r="ER1719" s="748" t="s">
        <v>169</v>
      </c>
      <c r="ES1719" s="748" t="s">
        <v>170</v>
      </c>
      <c r="GM1719" s="748" t="s">
        <v>2642</v>
      </c>
      <c r="GN1719" s="748" t="s">
        <v>3925</v>
      </c>
      <c r="GO1719" s="748" t="s">
        <v>4076</v>
      </c>
      <c r="GP1719" s="748" t="s">
        <v>497</v>
      </c>
      <c r="GQ1719" s="748" t="s">
        <v>498</v>
      </c>
      <c r="GR1719" s="748" t="s">
        <v>499</v>
      </c>
      <c r="GS1719" s="748" t="s">
        <v>404</v>
      </c>
      <c r="GT1719" s="748" t="s">
        <v>405</v>
      </c>
      <c r="GU1719" s="748" t="s">
        <v>406</v>
      </c>
      <c r="GV1719" s="748" t="s">
        <v>500</v>
      </c>
      <c r="GW1719" s="748" t="s">
        <v>210</v>
      </c>
      <c r="GX1719" s="748" t="s">
        <v>407</v>
      </c>
      <c r="GY1719" s="748" t="s">
        <v>408</v>
      </c>
      <c r="GZ1719" s="748" t="s">
        <v>309</v>
      </c>
      <c r="HA1719" s="748" t="s">
        <v>310</v>
      </c>
      <c r="HB1719" s="748" t="s">
        <v>311</v>
      </c>
      <c r="HC1719" s="748" t="s">
        <v>312</v>
      </c>
      <c r="HD1719" s="748" t="s">
        <v>313</v>
      </c>
      <c r="HE1719" s="748" t="s">
        <v>314</v>
      </c>
      <c r="HF1719" s="748" t="s">
        <v>315</v>
      </c>
      <c r="HG1719" s="748" t="s">
        <v>316</v>
      </c>
      <c r="HH1719" s="748" t="s">
        <v>317</v>
      </c>
      <c r="HI1719" s="748" t="s">
        <v>318</v>
      </c>
      <c r="HJ1719" s="748" t="s">
        <v>319</v>
      </c>
      <c r="HK1719" s="748" t="s">
        <v>320</v>
      </c>
    </row>
    <row r="1720" spans="1:219" ht="13.15" customHeight="1">
      <c r="B1720" s="748" t="s">
        <v>2936</v>
      </c>
      <c r="G1720" s="748" t="str">
        <f>'Part VI-Revenues &amp; Expenses'!G5</f>
        <v>Floating</v>
      </c>
      <c r="P1720" s="748" t="s">
        <v>1677</v>
      </c>
    </row>
    <row r="1721" spans="1:219" ht="13.15" customHeight="1">
      <c r="B1721" s="748" t="s">
        <v>3072</v>
      </c>
      <c r="G1721" s="748" t="str">
        <f>'Part VI-Revenues &amp; Expenses'!G6</f>
        <v>No</v>
      </c>
      <c r="J1721" s="748" t="s">
        <v>3767</v>
      </c>
      <c r="P1721" s="748">
        <f>VLOOKUP('Part I-Project Information'!$J$26,'DCA Underwriting Assumptions'!$C$77:$D$187,2)</f>
        <v>41600</v>
      </c>
    </row>
    <row r="1722" spans="1:219" ht="13.9" customHeight="1">
      <c r="A1722" s="748" t="str">
        <f>IF(A1763&gt;0,"Finish!","")</f>
        <v/>
      </c>
      <c r="J1722" s="748" t="s">
        <v>3768</v>
      </c>
    </row>
    <row r="1723" spans="1:219" ht="13.9" customHeight="1">
      <c r="B1723" s="748" t="s">
        <v>2134</v>
      </c>
      <c r="C1723" s="748" t="s">
        <v>379</v>
      </c>
      <c r="D1723" s="748" t="s">
        <v>880</v>
      </c>
      <c r="E1723" s="748" t="s">
        <v>2242</v>
      </c>
      <c r="F1723" s="748" t="s">
        <v>2242</v>
      </c>
      <c r="G1723" s="748" t="s">
        <v>3737</v>
      </c>
      <c r="H1723" s="748" t="s">
        <v>3735</v>
      </c>
      <c r="I1723" s="748" t="s">
        <v>1373</v>
      </c>
      <c r="J1723" s="748" t="s">
        <v>4127</v>
      </c>
      <c r="K1723" s="748" t="s">
        <v>416</v>
      </c>
      <c r="M1723" s="748" t="s">
        <v>3674</v>
      </c>
      <c r="N1723" s="748" t="s">
        <v>976</v>
      </c>
      <c r="O1723" s="748" t="s">
        <v>494</v>
      </c>
      <c r="P1723" s="748" t="s">
        <v>1578</v>
      </c>
      <c r="ET1723" s="748" t="s">
        <v>2094</v>
      </c>
      <c r="EU1723" s="748" t="s">
        <v>3702</v>
      </c>
      <c r="EV1723" s="748" t="s">
        <v>3703</v>
      </c>
      <c r="EW1723" s="748" t="s">
        <v>3704</v>
      </c>
      <c r="EX1723" s="748" t="s">
        <v>3705</v>
      </c>
      <c r="EY1723" s="748" t="s">
        <v>3882</v>
      </c>
      <c r="EZ1723" s="748" t="s">
        <v>3882</v>
      </c>
      <c r="FA1723" s="748" t="s">
        <v>3882</v>
      </c>
      <c r="FB1723" s="748" t="s">
        <v>3882</v>
      </c>
      <c r="FC1723" s="748" t="s">
        <v>3882</v>
      </c>
      <c r="FD1723" s="748" t="s">
        <v>760</v>
      </c>
      <c r="FE1723" s="748" t="s">
        <v>3702</v>
      </c>
      <c r="FF1723" s="748" t="s">
        <v>3703</v>
      </c>
      <c r="FG1723" s="748" t="s">
        <v>3704</v>
      </c>
      <c r="FH1723" s="748" t="s">
        <v>3705</v>
      </c>
      <c r="FI1723" s="748" t="s">
        <v>3884</v>
      </c>
      <c r="FJ1723" s="748" t="s">
        <v>3884</v>
      </c>
      <c r="FK1723" s="748" t="s">
        <v>3884</v>
      </c>
      <c r="FL1723" s="748" t="s">
        <v>3884</v>
      </c>
      <c r="FM1723" s="748" t="s">
        <v>3884</v>
      </c>
      <c r="FN1723" s="748" t="s">
        <v>597</v>
      </c>
      <c r="FO1723" s="748" t="s">
        <v>597</v>
      </c>
      <c r="FP1723" s="748" t="s">
        <v>597</v>
      </c>
      <c r="FQ1723" s="748" t="s">
        <v>597</v>
      </c>
      <c r="FR1723" s="748" t="s">
        <v>597</v>
      </c>
      <c r="FS1723" s="748" t="s">
        <v>598</v>
      </c>
      <c r="FT1723" s="748" t="s">
        <v>598</v>
      </c>
      <c r="FU1723" s="748" t="s">
        <v>598</v>
      </c>
      <c r="FV1723" s="748" t="s">
        <v>598</v>
      </c>
      <c r="FW1723" s="748" t="s">
        <v>598</v>
      </c>
      <c r="FX1723" s="748" t="s">
        <v>599</v>
      </c>
      <c r="FY1723" s="748" t="s">
        <v>599</v>
      </c>
      <c r="FZ1723" s="748" t="s">
        <v>599</v>
      </c>
      <c r="GA1723" s="748" t="s">
        <v>599</v>
      </c>
      <c r="GB1723" s="748" t="s">
        <v>599</v>
      </c>
      <c r="GC1723" s="748" t="s">
        <v>600</v>
      </c>
      <c r="GD1723" s="748" t="s">
        <v>600</v>
      </c>
      <c r="GE1723" s="748" t="s">
        <v>600</v>
      </c>
      <c r="GF1723" s="748" t="s">
        <v>600</v>
      </c>
      <c r="GG1723" s="748" t="s">
        <v>600</v>
      </c>
      <c r="GH1723" s="748" t="s">
        <v>2093</v>
      </c>
      <c r="GI1723" s="748" t="s">
        <v>2093</v>
      </c>
      <c r="GJ1723" s="748" t="s">
        <v>2093</v>
      </c>
      <c r="GK1723" s="748" t="s">
        <v>2093</v>
      </c>
      <c r="GL1723" s="748" t="s">
        <v>2093</v>
      </c>
    </row>
    <row r="1724" spans="1:219" ht="13.9" customHeight="1">
      <c r="B1724" s="748" t="s">
        <v>2161</v>
      </c>
      <c r="C1724" s="748" t="s">
        <v>466</v>
      </c>
      <c r="D1724" s="748" t="s">
        <v>380</v>
      </c>
      <c r="E1724" s="748" t="s">
        <v>2243</v>
      </c>
      <c r="F1724" s="748" t="s">
        <v>2220</v>
      </c>
      <c r="G1724" s="748" t="s">
        <v>2221</v>
      </c>
      <c r="H1724" s="748" t="s">
        <v>3736</v>
      </c>
      <c r="I1724" s="748" t="s">
        <v>1374</v>
      </c>
      <c r="J1724" s="748" t="s">
        <v>712</v>
      </c>
      <c r="K1724" s="748" t="s">
        <v>2336</v>
      </c>
      <c r="L1724" s="748" t="s">
        <v>772</v>
      </c>
      <c r="M1724" s="748" t="s">
        <v>2242</v>
      </c>
      <c r="N1724" s="748" t="s">
        <v>2161</v>
      </c>
      <c r="O1724" s="748" t="s">
        <v>495</v>
      </c>
      <c r="P1724" s="748" t="s">
        <v>1682</v>
      </c>
      <c r="Q1724" s="748" t="s">
        <v>1683</v>
      </c>
      <c r="S1724" s="748" t="s">
        <v>794</v>
      </c>
      <c r="EU1724" s="748" t="s">
        <v>3881</v>
      </c>
      <c r="EV1724" s="748" t="s">
        <v>3881</v>
      </c>
      <c r="EW1724" s="748" t="s">
        <v>3881</v>
      </c>
      <c r="EX1724" s="748" t="s">
        <v>3881</v>
      </c>
      <c r="FD1724" s="748" t="s">
        <v>3883</v>
      </c>
      <c r="FE1724" s="748" t="s">
        <v>3883</v>
      </c>
      <c r="FF1724" s="748" t="s">
        <v>3883</v>
      </c>
      <c r="FG1724" s="748" t="s">
        <v>3883</v>
      </c>
      <c r="FH1724" s="748" t="s">
        <v>3883</v>
      </c>
    </row>
    <row r="1725" spans="1:219" ht="13.15" customHeight="1">
      <c r="A1725" s="748" t="str">
        <f>IF(AND(E1725&gt;0,OR(B1725="",C1725="",D1725="",F1725="",G1725="", H1725="",M1725="",N1725="",O1725="")),1,"")</f>
        <v/>
      </c>
      <c r="B1725" s="748">
        <f>'Part VI-Revenues &amp; Expenses'!B10</f>
        <v>0</v>
      </c>
      <c r="C1725" s="748">
        <f>'Part VI-Revenues &amp; Expenses'!C10</f>
        <v>0</v>
      </c>
      <c r="D1725" s="748">
        <f>'Part VI-Revenues &amp; Expenses'!D10</f>
        <v>0</v>
      </c>
      <c r="E1725" s="748">
        <f>'Part VI-Revenues &amp; Expenses'!E10</f>
        <v>0</v>
      </c>
      <c r="F1725" s="748">
        <f>'Part VI-Revenues &amp; Expenses'!F10</f>
        <v>0</v>
      </c>
      <c r="G1725" s="748">
        <f>'Part VI-Revenues &amp; Expenses'!G10</f>
        <v>0</v>
      </c>
      <c r="H1725" s="748">
        <f>'Part VI-Revenues &amp; Expenses'!H10</f>
        <v>0</v>
      </c>
      <c r="I1725" s="748">
        <f>'Part VI-Revenues &amp; Expenses'!I10</f>
        <v>0</v>
      </c>
      <c r="J1725" s="748">
        <f>'Part VI-Revenues &amp; Expenses'!J10</f>
        <v>0</v>
      </c>
      <c r="K1725" s="748">
        <f>MAX(0,H1725-I1725)</f>
        <v>0</v>
      </c>
      <c r="L1725" s="748">
        <f t="shared" ref="L1725:L1762" si="99">MAX(0,E1725*K1725)</f>
        <v>0</v>
      </c>
      <c r="M1725" s="748">
        <f>'Part VI-Revenues &amp; Expenses'!M10</f>
        <v>0</v>
      </c>
      <c r="N1725" s="748">
        <f>'Part VI-Revenues &amp; Expenses'!N10</f>
        <v>0</v>
      </c>
      <c r="O1725" s="748">
        <f>'Part VI-Revenues &amp; Expenses'!O10</f>
        <v>0</v>
      </c>
      <c r="P1725" s="748" t="str">
        <f>'Part VI-Revenues &amp; Expenses'!P10</f>
        <v/>
      </c>
      <c r="Q1725" s="748" t="str">
        <f>'Part VI-Revenues &amp; Expenses'!Q10</f>
        <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t="str">
        <f t="shared" ref="Z1725:Z1762" si="106">IF(AND(C1725=1,B1725="50% AMI",NOT(M1725="Common")),E1725,"")</f>
        <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t="str">
        <f t="shared" ref="CC1725:CC1762" si="131">IF(OR(AND(C1725=1,B1725="50% AMI",NOT(M1725="Common")),AND(C1725=1,B1725="HOME 50% AMI",NOT(M1725="Common"))),E1725*F1725,"")</f>
        <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t="str">
        <f t="shared" ref="DB1725:DB1762" si="156">IF(AND($C1725=1, $O1725="New Construction",NOT($B1725="Unrestricted"),NOT($B1725="NSP 120% AMI"),NOT($B1725="N/A-CS"),NOT($M1725="Common")),$E1725,"")</f>
        <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t="str">
        <f t="shared" ref="EU1725:EU1762" si="201">IF(AND($C1725=1, NOT(OR($N1725="SF Detached",$N1725="Mfd Home",$N1725="Duplex",$N1725="Townhome"))),$E1725,"")</f>
        <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50% AMI</v>
      </c>
      <c r="C1726" s="748">
        <f>'Part VI-Revenues &amp; Expenses'!C11</f>
        <v>1</v>
      </c>
      <c r="D1726" s="748">
        <f>'Part VI-Revenues &amp; Expenses'!D11</f>
        <v>1</v>
      </c>
      <c r="E1726" s="748">
        <f>'Part VI-Revenues &amp; Expenses'!E11</f>
        <v>3</v>
      </c>
      <c r="F1726" s="748">
        <f>'Part VI-Revenues &amp; Expenses'!F11</f>
        <v>762</v>
      </c>
      <c r="G1726" s="748">
        <f>'Part VI-Revenues &amp; Expenses'!G11</f>
        <v>534</v>
      </c>
      <c r="H1726" s="748">
        <f>'Part VI-Revenues &amp; Expenses'!H11</f>
        <v>468</v>
      </c>
      <c r="I1726" s="748">
        <f>'Part VI-Revenues &amp; Expenses'!I11</f>
        <v>133</v>
      </c>
      <c r="J1726" s="748">
        <f>'Part VI-Revenues &amp; Expenses'!J11</f>
        <v>0</v>
      </c>
      <c r="K1726" s="748">
        <f t="shared" ref="K1726:K1742" si="271">MAX(0,H1726-I1726)</f>
        <v>335</v>
      </c>
      <c r="L1726" s="748">
        <f t="shared" si="99"/>
        <v>1005</v>
      </c>
      <c r="M1726" s="748" t="str">
        <f>'Part VI-Revenues &amp; Expenses'!M11</f>
        <v>No</v>
      </c>
      <c r="N1726" s="748" t="str">
        <f>'Part VI-Revenues &amp; Expenses'!N11</f>
        <v>2-Story</v>
      </c>
      <c r="O1726" s="748" t="str">
        <f>'Part VI-Revenues &amp; Expenses'!O11</f>
        <v>New Construction</v>
      </c>
      <c r="P1726" s="748">
        <f>'Part VI-Revenues &amp; Expenses'!P11</f>
        <v>18720</v>
      </c>
      <c r="Q1726" s="748">
        <f>'Part VI-Revenues &amp; Expenses'!Q11</f>
        <v>0.6</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f t="shared" si="106"/>
        <v>3</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f t="shared" si="131"/>
        <v>2286</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f t="shared" si="156"/>
        <v>3</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f t="shared" si="201"/>
        <v>3</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f t="shared" si="231"/>
        <v>3</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50% AMI</v>
      </c>
      <c r="C1727" s="748">
        <f>'Part VI-Revenues &amp; Expenses'!C12</f>
        <v>2</v>
      </c>
      <c r="D1727" s="748">
        <f>'Part VI-Revenues &amp; Expenses'!D12</f>
        <v>2</v>
      </c>
      <c r="E1727" s="748">
        <f>'Part VI-Revenues &amp; Expenses'!E12</f>
        <v>10</v>
      </c>
      <c r="F1727" s="748">
        <f>'Part VI-Revenues &amp; Expenses'!F12</f>
        <v>1078</v>
      </c>
      <c r="G1727" s="748">
        <f>'Part VI-Revenues &amp; Expenses'!G12</f>
        <v>641</v>
      </c>
      <c r="H1727" s="748">
        <f>'Part VI-Revenues &amp; Expenses'!H12</f>
        <v>518</v>
      </c>
      <c r="I1727" s="748">
        <f>'Part VI-Revenues &amp; Expenses'!I12</f>
        <v>163</v>
      </c>
      <c r="J1727" s="748">
        <f>'Part VI-Revenues &amp; Expenses'!J12</f>
        <v>0</v>
      </c>
      <c r="K1727" s="748">
        <f t="shared" si="271"/>
        <v>355</v>
      </c>
      <c r="L1727" s="748">
        <f t="shared" si="99"/>
        <v>3550</v>
      </c>
      <c r="M1727" s="748" t="str">
        <f>'Part VI-Revenues &amp; Expenses'!M12</f>
        <v>No</v>
      </c>
      <c r="N1727" s="748" t="str">
        <f>'Part VI-Revenues &amp; Expenses'!N12</f>
        <v>2-Story</v>
      </c>
      <c r="O1727" s="748" t="str">
        <f>'Part VI-Revenues &amp; Expenses'!O12</f>
        <v>New Construction</v>
      </c>
      <c r="P1727" s="748">
        <f>'Part VI-Revenues &amp; Expenses'!P12</f>
        <v>20720</v>
      </c>
      <c r="Q1727" s="748">
        <f>'Part VI-Revenues &amp; Expenses'!Q12</f>
        <v>0.55341880341880345</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f t="shared" si="107"/>
        <v>10</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f t="shared" si="132"/>
        <v>10780</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f t="shared" si="157"/>
        <v>10</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f t="shared" si="202"/>
        <v>10</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f t="shared" si="232"/>
        <v>10</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f>'Part VI-Revenues &amp; Expenses'!B13</f>
        <v>0</v>
      </c>
      <c r="C1728" s="748">
        <f>'Part VI-Revenues &amp; Expenses'!C13</f>
        <v>0</v>
      </c>
      <c r="D1728" s="748">
        <f>'Part VI-Revenues &amp; Expenses'!D13</f>
        <v>0</v>
      </c>
      <c r="E1728" s="748">
        <f>'Part VI-Revenues &amp; Expenses'!E13</f>
        <v>0</v>
      </c>
      <c r="F1728" s="748">
        <f>'Part VI-Revenues &amp; Expenses'!F13</f>
        <v>0</v>
      </c>
      <c r="G1728" s="748">
        <f>'Part VI-Revenues &amp; Expenses'!G13</f>
        <v>0</v>
      </c>
      <c r="H1728" s="748">
        <f>'Part VI-Revenues &amp; Expenses'!H13</f>
        <v>0</v>
      </c>
      <c r="I1728" s="748">
        <f>'Part VI-Revenues &amp; Expenses'!I13</f>
        <v>0</v>
      </c>
      <c r="J1728" s="748">
        <f>'Part VI-Revenues &amp; Expenses'!J13</f>
        <v>0</v>
      </c>
      <c r="K1728" s="748">
        <f t="shared" si="271"/>
        <v>0</v>
      </c>
      <c r="L1728" s="748">
        <f t="shared" si="99"/>
        <v>0</v>
      </c>
      <c r="M1728" s="748">
        <f>'Part VI-Revenues &amp; Expenses'!M13</f>
        <v>0</v>
      </c>
      <c r="N1728" s="748">
        <f>'Part VI-Revenues &amp; Expenses'!N13</f>
        <v>0</v>
      </c>
      <c r="O1728" s="748">
        <f>'Part VI-Revenues &amp; Expenses'!O13</f>
        <v>0</v>
      </c>
      <c r="P1728" s="748" t="str">
        <f>'Part VI-Revenues &amp; Expenses'!P13</f>
        <v/>
      </c>
      <c r="Q1728" s="748" t="str">
        <f>'Part VI-Revenues &amp; Expenses'!Q13</f>
        <v/>
      </c>
      <c r="R1728" s="748">
        <f>'Part VI-Revenues &amp; Expenses'!R13</f>
        <v>0</v>
      </c>
      <c r="T1728" s="748" t="str">
        <f t="shared" si="100"/>
        <v/>
      </c>
      <c r="U1728" s="748" t="str">
        <f t="shared" si="101"/>
        <v/>
      </c>
      <c r="V1728" s="748" t="str">
        <f t="shared" si="102"/>
        <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t="str">
        <f t="shared" si="127"/>
        <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t="str">
        <f t="shared" si="202"/>
        <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t="str">
        <f>'Part VI-Revenues &amp; Expenses'!B14</f>
        <v>60% AMI</v>
      </c>
      <c r="C1729" s="748">
        <f>'Part VI-Revenues &amp; Expenses'!C14</f>
        <v>1</v>
      </c>
      <c r="D1729" s="748">
        <f>'Part VI-Revenues &amp; Expenses'!D14</f>
        <v>1</v>
      </c>
      <c r="E1729" s="748">
        <f>'Part VI-Revenues &amp; Expenses'!E14</f>
        <v>5</v>
      </c>
      <c r="F1729" s="748">
        <f>'Part VI-Revenues &amp; Expenses'!F14</f>
        <v>762</v>
      </c>
      <c r="G1729" s="748">
        <f>'Part VI-Revenues &amp; Expenses'!G14</f>
        <v>610</v>
      </c>
      <c r="H1729" s="748">
        <f>'Part VI-Revenues &amp; Expenses'!H14</f>
        <v>468</v>
      </c>
      <c r="I1729" s="748">
        <f>'Part VI-Revenues &amp; Expenses'!I14</f>
        <v>133</v>
      </c>
      <c r="J1729" s="748">
        <f>'Part VI-Revenues &amp; Expenses'!J14</f>
        <v>0</v>
      </c>
      <c r="K1729" s="748">
        <f t="shared" si="271"/>
        <v>335</v>
      </c>
      <c r="L1729" s="748">
        <f t="shared" si="99"/>
        <v>1675</v>
      </c>
      <c r="M1729" s="748" t="str">
        <f>'Part VI-Revenues &amp; Expenses'!M14</f>
        <v>No</v>
      </c>
      <c r="N1729" s="748" t="str">
        <f>'Part VI-Revenues &amp; Expenses'!N14</f>
        <v>2-Story</v>
      </c>
      <c r="O1729" s="748" t="str">
        <f>'Part VI-Revenues &amp; Expenses'!O14</f>
        <v>New Construction</v>
      </c>
      <c r="P1729" s="748">
        <f>'Part VI-Revenues &amp; Expenses'!P14</f>
        <v>18720</v>
      </c>
      <c r="Q1729" s="748">
        <f>'Part VI-Revenues &amp; Expenses'!Q14</f>
        <v>0.6</v>
      </c>
      <c r="R1729" s="748">
        <f>'Part VI-Revenues &amp; Expenses'!R14</f>
        <v>0</v>
      </c>
      <c r="T1729" s="748" t="str">
        <f t="shared" si="100"/>
        <v/>
      </c>
      <c r="U1729" s="748">
        <f t="shared" si="101"/>
        <v>5</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f t="shared" si="126"/>
        <v>3810</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f t="shared" si="156"/>
        <v>5</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f t="shared" si="201"/>
        <v>5</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f t="shared" si="231"/>
        <v>5</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t="str">
        <f>'Part VI-Revenues &amp; Expenses'!B15</f>
        <v>60% AMI</v>
      </c>
      <c r="C1730" s="748">
        <f>'Part VI-Revenues &amp; Expenses'!C15</f>
        <v>2</v>
      </c>
      <c r="D1730" s="748">
        <f>'Part VI-Revenues &amp; Expenses'!D15</f>
        <v>2</v>
      </c>
      <c r="E1730" s="748">
        <f>'Part VI-Revenues &amp; Expenses'!E15</f>
        <v>46</v>
      </c>
      <c r="F1730" s="748">
        <f>'Part VI-Revenues &amp; Expenses'!F15</f>
        <v>1078</v>
      </c>
      <c r="G1730" s="748">
        <f>'Part VI-Revenues &amp; Expenses'!G15</f>
        <v>718</v>
      </c>
      <c r="H1730" s="748">
        <f>'Part VI-Revenues &amp; Expenses'!H15</f>
        <v>518</v>
      </c>
      <c r="I1730" s="748">
        <f>'Part VI-Revenues &amp; Expenses'!I15</f>
        <v>163</v>
      </c>
      <c r="J1730" s="748">
        <f>'Part VI-Revenues &amp; Expenses'!J15</f>
        <v>0</v>
      </c>
      <c r="K1730" s="748">
        <f t="shared" si="271"/>
        <v>355</v>
      </c>
      <c r="L1730" s="748">
        <f t="shared" si="99"/>
        <v>16330</v>
      </c>
      <c r="M1730" s="748" t="str">
        <f>'Part VI-Revenues &amp; Expenses'!M15</f>
        <v>No</v>
      </c>
      <c r="N1730" s="748" t="str">
        <f>'Part VI-Revenues &amp; Expenses'!N15</f>
        <v>2-Story</v>
      </c>
      <c r="O1730" s="748" t="str">
        <f>'Part VI-Revenues &amp; Expenses'!O15</f>
        <v>New Construction</v>
      </c>
      <c r="P1730" s="748">
        <f>'Part VI-Revenues &amp; Expenses'!P15</f>
        <v>20720</v>
      </c>
      <c r="Q1730" s="748">
        <f>'Part VI-Revenues &amp; Expenses'!Q15</f>
        <v>0.55341880341880345</v>
      </c>
      <c r="R1730" s="748">
        <f>'Part VI-Revenues &amp; Expenses'!R15</f>
        <v>0</v>
      </c>
      <c r="T1730" s="748" t="str">
        <f t="shared" si="100"/>
        <v/>
      </c>
      <c r="U1730" s="748" t="str">
        <f t="shared" si="101"/>
        <v/>
      </c>
      <c r="V1730" s="748">
        <f t="shared" si="102"/>
        <v>46</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f t="shared" si="127"/>
        <v>49588</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f t="shared" si="157"/>
        <v>46</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f t="shared" si="202"/>
        <v>46</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f t="shared" si="232"/>
        <v>46</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65" customHeight="1">
      <c r="A1763" s="748">
        <f>COUNT(A1725,A1726,A1727,A1728,A1729,A1730,A1731,A1732,A1733,A1734,A1735,A1736,A1737,A1738,A1739,A1740,A1741,A1742,A1743,A1744,A1745,A1746,A1747,A1748,A1749,A1750,A1751,A1752,A1753,A1754)</f>
        <v>0</v>
      </c>
      <c r="D1763" s="748" t="s">
        <v>1967</v>
      </c>
      <c r="E1763" s="748">
        <f>SUM(E1725:E1762)</f>
        <v>64</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66464</v>
      </c>
      <c r="K1763" s="748" t="s">
        <v>2301</v>
      </c>
      <c r="L1763" s="748">
        <f>SUM(L1725:L1762)</f>
        <v>22560</v>
      </c>
      <c r="T1763" s="748">
        <f t="shared" ref="T1763:CE1763" si="304">SUM(T1725:T1762)</f>
        <v>0</v>
      </c>
      <c r="U1763" s="748">
        <f t="shared" si="304"/>
        <v>5</v>
      </c>
      <c r="V1763" s="748">
        <f t="shared" si="304"/>
        <v>46</v>
      </c>
      <c r="W1763" s="748">
        <f t="shared" si="304"/>
        <v>0</v>
      </c>
      <c r="X1763" s="748">
        <f t="shared" si="304"/>
        <v>0</v>
      </c>
      <c r="Y1763" s="748">
        <f t="shared" si="304"/>
        <v>0</v>
      </c>
      <c r="Z1763" s="748">
        <f t="shared" si="304"/>
        <v>3</v>
      </c>
      <c r="AA1763" s="748">
        <f t="shared" si="304"/>
        <v>10</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3810</v>
      </c>
      <c r="BY1763" s="748">
        <f t="shared" si="304"/>
        <v>49588</v>
      </c>
      <c r="BZ1763" s="748">
        <f t="shared" si="304"/>
        <v>0</v>
      </c>
      <c r="CA1763" s="748">
        <f t="shared" si="304"/>
        <v>0</v>
      </c>
      <c r="CB1763" s="748">
        <f t="shared" si="304"/>
        <v>0</v>
      </c>
      <c r="CC1763" s="748">
        <f t="shared" si="304"/>
        <v>2286</v>
      </c>
      <c r="CD1763" s="748">
        <f t="shared" si="304"/>
        <v>10780</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8</v>
      </c>
      <c r="DC1763" s="748">
        <f t="shared" si="305"/>
        <v>56</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8</v>
      </c>
      <c r="EV1763" s="748">
        <f t="shared" si="306"/>
        <v>56</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8</v>
      </c>
      <c r="FZ1763" s="748">
        <f t="shared" si="306"/>
        <v>56</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65" customHeight="1">
      <c r="K1764" s="748" t="s">
        <v>1390</v>
      </c>
      <c r="L1764" s="748">
        <f>L1763*12</f>
        <v>270720</v>
      </c>
    </row>
    <row r="1765" spans="1:219" ht="6" customHeight="1"/>
    <row r="1766" spans="1:219" ht="14.65" customHeight="1">
      <c r="A1766" s="748" t="s">
        <v>4128</v>
      </c>
    </row>
    <row r="1767" spans="1:219" ht="14.65" customHeight="1"/>
    <row r="1768" spans="1:219" ht="2.65" customHeight="1"/>
    <row r="1769" spans="1:219" ht="14.65" customHeight="1">
      <c r="A1769" s="748" t="s">
        <v>1241</v>
      </c>
      <c r="B1769" s="748" t="s">
        <v>767</v>
      </c>
      <c r="Q1769" s="748" t="str">
        <f>IF(SUM(Q1772:Q1813)&gt;0,"ERROR Between Rent Schedule &amp; Unit Summary:", "")</f>
        <v/>
      </c>
      <c r="R1769" s="748" t="s">
        <v>1241</v>
      </c>
      <c r="S1769" s="748" t="s">
        <v>767</v>
      </c>
    </row>
    <row r="1770" spans="1:219" ht="3" customHeight="1"/>
    <row r="1771" spans="1:219" ht="14.65" customHeight="1">
      <c r="B1771" s="748" t="s">
        <v>1797</v>
      </c>
      <c r="H1771" s="748" t="s">
        <v>909</v>
      </c>
      <c r="I1771" s="748" t="s">
        <v>768</v>
      </c>
      <c r="J1771" s="748" t="s">
        <v>769</v>
      </c>
      <c r="K1771" s="748" t="s">
        <v>770</v>
      </c>
      <c r="L1771" s="748" t="s">
        <v>771</v>
      </c>
      <c r="M1771" s="748" t="s">
        <v>772</v>
      </c>
      <c r="S1771" s="748" t="s">
        <v>1797</v>
      </c>
      <c r="Y1771" s="748" t="s">
        <v>909</v>
      </c>
      <c r="Z1771" s="748" t="s">
        <v>768</v>
      </c>
      <c r="AA1771" s="748" t="s">
        <v>769</v>
      </c>
      <c r="AB1771" s="748" t="s">
        <v>770</v>
      </c>
      <c r="AC1771" s="748" t="s">
        <v>771</v>
      </c>
      <c r="AD1771" s="748" t="s">
        <v>772</v>
      </c>
    </row>
    <row r="1772" spans="1:219" ht="15" customHeight="1">
      <c r="C1772" s="748" t="s">
        <v>1799</v>
      </c>
      <c r="G1772" s="748" t="s">
        <v>2009</v>
      </c>
      <c r="H1772" s="748">
        <f>T1763</f>
        <v>0</v>
      </c>
      <c r="I1772" s="748">
        <f>U1763</f>
        <v>5</v>
      </c>
      <c r="J1772" s="748">
        <f>V1763</f>
        <v>46</v>
      </c>
      <c r="K1772" s="748">
        <f>W1763</f>
        <v>0</v>
      </c>
      <c r="L1772" s="748">
        <f>X1763</f>
        <v>0</v>
      </c>
      <c r="M1772" s="748">
        <f t="shared" ref="M1772:M1778" si="308">SUM(H1772:L1772)</f>
        <v>51</v>
      </c>
      <c r="N1772" s="748" t="s">
        <v>1598</v>
      </c>
      <c r="Q1772" s="748">
        <f t="shared" ref="Q1772:Q1778" si="309">ABS(M1772-AD1772)</f>
        <v>0</v>
      </c>
      <c r="T1772" s="748" t="s">
        <v>1799</v>
      </c>
      <c r="X1772" s="748" t="s">
        <v>2009</v>
      </c>
      <c r="Y1772" s="748">
        <f>T1763</f>
        <v>0</v>
      </c>
      <c r="Z1772" s="748">
        <f>U1763</f>
        <v>5</v>
      </c>
      <c r="AA1772" s="748">
        <f>V1763</f>
        <v>46</v>
      </c>
      <c r="AB1772" s="748">
        <f>W1763</f>
        <v>0</v>
      </c>
      <c r="AC1772" s="748">
        <f>X1763</f>
        <v>0</v>
      </c>
      <c r="AD1772" s="748">
        <f t="shared" ref="AD1772:AD1778" si="310">SUM(Y1772:AC1772)</f>
        <v>51</v>
      </c>
      <c r="AE1772" s="748" t="s">
        <v>1569</v>
      </c>
    </row>
    <row r="1773" spans="1:219" ht="15" customHeight="1">
      <c r="A1773" s="748" t="s">
        <v>790</v>
      </c>
      <c r="G1773" s="748" t="s">
        <v>280</v>
      </c>
      <c r="H1773" s="748">
        <f>Y1763</f>
        <v>0</v>
      </c>
      <c r="I1773" s="748">
        <f>Z1763</f>
        <v>3</v>
      </c>
      <c r="J1773" s="748">
        <f>AA1763</f>
        <v>10</v>
      </c>
      <c r="K1773" s="748">
        <f>AB1763</f>
        <v>0</v>
      </c>
      <c r="L1773" s="748">
        <f>AC1763</f>
        <v>0</v>
      </c>
      <c r="M1773" s="748">
        <f t="shared" si="308"/>
        <v>13</v>
      </c>
      <c r="Q1773" s="748">
        <f t="shared" si="309"/>
        <v>0</v>
      </c>
      <c r="X1773" s="748" t="s">
        <v>280</v>
      </c>
      <c r="Y1773" s="748">
        <f>Y1763</f>
        <v>0</v>
      </c>
      <c r="Z1773" s="748">
        <f>Z1763</f>
        <v>3</v>
      </c>
      <c r="AA1773" s="748">
        <f>AA1763</f>
        <v>10</v>
      </c>
      <c r="AB1773" s="748">
        <f>AB1763</f>
        <v>0</v>
      </c>
      <c r="AC1773" s="748">
        <f>AC1763</f>
        <v>0</v>
      </c>
      <c r="AD1773" s="748">
        <f t="shared" si="310"/>
        <v>13</v>
      </c>
    </row>
    <row r="1774" spans="1:219" ht="15" customHeight="1">
      <c r="G1774" s="748" t="s">
        <v>772</v>
      </c>
      <c r="H1774" s="748">
        <f>SUM(H1772:H1773)</f>
        <v>0</v>
      </c>
      <c r="I1774" s="748">
        <f>SUM(I1772:I1773)</f>
        <v>8</v>
      </c>
      <c r="J1774" s="748">
        <f>SUM(J1772:J1773)</f>
        <v>56</v>
      </c>
      <c r="K1774" s="748">
        <f>SUM(K1772:K1773)</f>
        <v>0</v>
      </c>
      <c r="L1774" s="748">
        <f>SUM(L1772:L1773)</f>
        <v>0</v>
      </c>
      <c r="M1774" s="748">
        <f t="shared" si="308"/>
        <v>64</v>
      </c>
      <c r="Q1774" s="748">
        <f t="shared" si="309"/>
        <v>0</v>
      </c>
      <c r="X1774" s="748" t="s">
        <v>772</v>
      </c>
      <c r="Y1774" s="748">
        <f>SUM(Y1772:Y1773)</f>
        <v>0</v>
      </c>
      <c r="Z1774" s="748">
        <f>SUM(Z1772:Z1773)</f>
        <v>8</v>
      </c>
      <c r="AA1774" s="748">
        <f>SUM(AA1772:AA1773)</f>
        <v>56</v>
      </c>
      <c r="AB1774" s="748">
        <f>SUM(AB1772:AB1773)</f>
        <v>0</v>
      </c>
      <c r="AC1774" s="748">
        <f>SUM(AC1772:AC1773)</f>
        <v>0</v>
      </c>
      <c r="AD1774" s="748">
        <f t="shared" si="310"/>
        <v>64</v>
      </c>
    </row>
    <row r="1775" spans="1:219" ht="15" customHeight="1">
      <c r="C1775" s="748" t="s">
        <v>529</v>
      </c>
      <c r="H1775" s="748">
        <f>AI1763</f>
        <v>0</v>
      </c>
      <c r="I1775" s="748">
        <f>AJ1763</f>
        <v>0</v>
      </c>
      <c r="J1775" s="748">
        <f>AK1763</f>
        <v>0</v>
      </c>
      <c r="K1775" s="748">
        <f>AL1763</f>
        <v>0</v>
      </c>
      <c r="L1775" s="748">
        <f>AM1763</f>
        <v>0</v>
      </c>
      <c r="M1775" s="748">
        <f t="shared" si="308"/>
        <v>0</v>
      </c>
      <c r="Q1775" s="748">
        <f t="shared" si="309"/>
        <v>0</v>
      </c>
      <c r="T1775" s="748" t="s">
        <v>529</v>
      </c>
      <c r="Y1775" s="748">
        <f>AI1763</f>
        <v>0</v>
      </c>
      <c r="Z1775" s="748">
        <f>AJ1763</f>
        <v>0</v>
      </c>
      <c r="AA1775" s="748">
        <f>AK1763</f>
        <v>0</v>
      </c>
      <c r="AB1775" s="748">
        <f>AL1763</f>
        <v>0</v>
      </c>
      <c r="AC1775" s="748">
        <f>AM1763</f>
        <v>0</v>
      </c>
      <c r="AD1775" s="748">
        <f t="shared" si="310"/>
        <v>0</v>
      </c>
    </row>
    <row r="1776" spans="1:219" ht="15" customHeight="1">
      <c r="C1776" s="748" t="s">
        <v>1800</v>
      </c>
      <c r="H1776" s="748">
        <f>SUM(H1774:H1775)</f>
        <v>0</v>
      </c>
      <c r="I1776" s="748">
        <f>SUM(I1774:I1775)</f>
        <v>8</v>
      </c>
      <c r="J1776" s="748">
        <f>SUM(J1774:J1775)</f>
        <v>56</v>
      </c>
      <c r="K1776" s="748">
        <f>SUM(K1774:K1775)</f>
        <v>0</v>
      </c>
      <c r="L1776" s="748">
        <f>SUM(L1774:L1775)</f>
        <v>0</v>
      </c>
      <c r="M1776" s="748">
        <f t="shared" si="308"/>
        <v>64</v>
      </c>
      <c r="Q1776" s="748">
        <f t="shared" si="309"/>
        <v>0</v>
      </c>
      <c r="T1776" s="748" t="s">
        <v>1800</v>
      </c>
      <c r="Y1776" s="748">
        <f>SUM(Y1774:Y1775)</f>
        <v>0</v>
      </c>
      <c r="Z1776" s="748">
        <f>SUM(Z1774:Z1775)</f>
        <v>8</v>
      </c>
      <c r="AA1776" s="748">
        <f>SUM(AA1774:AA1775)</f>
        <v>56</v>
      </c>
      <c r="AB1776" s="748">
        <f>SUM(AB1774:AB1775)</f>
        <v>0</v>
      </c>
      <c r="AC1776" s="748">
        <f>SUM(AC1774:AC1775)</f>
        <v>0</v>
      </c>
      <c r="AD1776" s="748">
        <f t="shared" si="310"/>
        <v>64</v>
      </c>
    </row>
    <row r="1777" spans="3:31" ht="15" customHeight="1">
      <c r="C1777" s="748" t="s">
        <v>3908</v>
      </c>
      <c r="H1777" s="748">
        <f>BR1763</f>
        <v>0</v>
      </c>
      <c r="I1777" s="748">
        <f>BS1763</f>
        <v>0</v>
      </c>
      <c r="J1777" s="748">
        <f>BT1763</f>
        <v>0</v>
      </c>
      <c r="K1777" s="748">
        <f>BU1763</f>
        <v>0</v>
      </c>
      <c r="L1777" s="748">
        <f>BV1763</f>
        <v>0</v>
      </c>
      <c r="M1777" s="748">
        <f t="shared" si="308"/>
        <v>0</v>
      </c>
      <c r="N1777" s="748" t="s">
        <v>3533</v>
      </c>
      <c r="Q1777" s="748">
        <f t="shared" si="309"/>
        <v>0</v>
      </c>
      <c r="T1777" s="748" t="s">
        <v>3908</v>
      </c>
      <c r="Y1777" s="748">
        <f>BR1763</f>
        <v>0</v>
      </c>
      <c r="Z1777" s="748">
        <f>BS1763</f>
        <v>0</v>
      </c>
      <c r="AA1777" s="748">
        <f>BT1763</f>
        <v>0</v>
      </c>
      <c r="AB1777" s="748">
        <f>BU1763</f>
        <v>0</v>
      </c>
      <c r="AC1777" s="748">
        <f>BV1763</f>
        <v>0</v>
      </c>
      <c r="AD1777" s="748">
        <f t="shared" si="310"/>
        <v>0</v>
      </c>
      <c r="AE1777" s="748" t="s">
        <v>881</v>
      </c>
    </row>
    <row r="1778" spans="3:31" ht="15" customHeight="1">
      <c r="C1778" s="748" t="s">
        <v>772</v>
      </c>
      <c r="H1778" s="748">
        <f>SUM(H1776:H1777)</f>
        <v>0</v>
      </c>
      <c r="I1778" s="748">
        <f>SUM(I1776:I1777)</f>
        <v>8</v>
      </c>
      <c r="J1778" s="748">
        <f>SUM(J1776:J1777)</f>
        <v>56</v>
      </c>
      <c r="K1778" s="748">
        <f>SUM(K1776:K1777)</f>
        <v>0</v>
      </c>
      <c r="L1778" s="748">
        <f>SUM(L1776:L1777)</f>
        <v>0</v>
      </c>
      <c r="M1778" s="748">
        <f t="shared" si="308"/>
        <v>64</v>
      </c>
      <c r="Q1778" s="748">
        <f t="shared" si="309"/>
        <v>0</v>
      </c>
      <c r="T1778" s="748" t="s">
        <v>772</v>
      </c>
      <c r="Y1778" s="748">
        <f>SUM(Y1776:Y1777)</f>
        <v>0</v>
      </c>
      <c r="Z1778" s="748">
        <f>SUM(Z1776:Z1777)</f>
        <v>8</v>
      </c>
      <c r="AA1778" s="748">
        <f>SUM(AA1776:AA1777)</f>
        <v>56</v>
      </c>
      <c r="AB1778" s="748">
        <f>SUM(AB1776:AB1777)</f>
        <v>0</v>
      </c>
      <c r="AC1778" s="748">
        <f>SUM(AC1776:AC1777)</f>
        <v>0</v>
      </c>
      <c r="AD1778" s="748">
        <f t="shared" si="310"/>
        <v>64</v>
      </c>
    </row>
    <row r="1779" spans="3:31" ht="14.65" customHeight="1"/>
    <row r="1780" spans="3:31" ht="15" customHeight="1">
      <c r="C1780" s="748" t="s">
        <v>1608</v>
      </c>
      <c r="G1780" s="748" t="s">
        <v>2009</v>
      </c>
      <c r="H1780" s="748">
        <f>AX1763</f>
        <v>0</v>
      </c>
      <c r="I1780" s="748">
        <f>AY1763</f>
        <v>0</v>
      </c>
      <c r="J1780" s="748">
        <f>AZ1763</f>
        <v>0</v>
      </c>
      <c r="K1780" s="748">
        <f>BA1763</f>
        <v>0</v>
      </c>
      <c r="L1780" s="748">
        <f>BB1763</f>
        <v>0</v>
      </c>
      <c r="M1780" s="748">
        <f>SUM(H1780:L1780)</f>
        <v>0</v>
      </c>
      <c r="Q1780" s="748">
        <f>ABS(M1780-AD1780)</f>
        <v>0</v>
      </c>
      <c r="T1780" s="748" t="s">
        <v>1608</v>
      </c>
      <c r="X1780" s="748" t="s">
        <v>2009</v>
      </c>
      <c r="Y1780" s="748">
        <f>AX1763</f>
        <v>0</v>
      </c>
      <c r="Z1780" s="748">
        <f>AY1763</f>
        <v>0</v>
      </c>
      <c r="AA1780" s="748">
        <f>AZ1763</f>
        <v>0</v>
      </c>
      <c r="AB1780" s="748">
        <f>BA1763</f>
        <v>0</v>
      </c>
      <c r="AC1780" s="748">
        <f>BB1763</f>
        <v>0</v>
      </c>
      <c r="AD1780" s="748">
        <f>SUM(Y1780:AC1780)</f>
        <v>0</v>
      </c>
    </row>
    <row r="1781" spans="3:31" ht="15" customHeight="1">
      <c r="C1781" s="748" t="s">
        <v>3909</v>
      </c>
      <c r="G1781" s="748" t="s">
        <v>280</v>
      </c>
      <c r="H1781" s="748">
        <f>AS1763</f>
        <v>0</v>
      </c>
      <c r="I1781" s="748">
        <f>AT1763</f>
        <v>0</v>
      </c>
      <c r="J1781" s="748">
        <f>AU1763</f>
        <v>0</v>
      </c>
      <c r="K1781" s="748">
        <f>AV1763</f>
        <v>0</v>
      </c>
      <c r="L1781" s="748">
        <f>AW1763</f>
        <v>0</v>
      </c>
      <c r="M1781" s="748">
        <f>SUM(H1781:L1781)</f>
        <v>0</v>
      </c>
      <c r="Q1781" s="748">
        <f>ABS(M1781-AD1781)</f>
        <v>0</v>
      </c>
      <c r="T1781" s="748" t="s">
        <v>3909</v>
      </c>
      <c r="X1781" s="748" t="s">
        <v>280</v>
      </c>
      <c r="Y1781" s="748">
        <f>AS1763</f>
        <v>0</v>
      </c>
      <c r="Z1781" s="748">
        <f>AT1763</f>
        <v>0</v>
      </c>
      <c r="AA1781" s="748">
        <f>AU1763</f>
        <v>0</v>
      </c>
      <c r="AB1781" s="748">
        <f>AV1763</f>
        <v>0</v>
      </c>
      <c r="AC1781" s="748">
        <f>AW1763</f>
        <v>0</v>
      </c>
      <c r="AD1781" s="748">
        <f>SUM(Y1781:AC1781)</f>
        <v>0</v>
      </c>
    </row>
    <row r="1782" spans="3:31" ht="15" customHeight="1">
      <c r="G1782" s="748" t="s">
        <v>772</v>
      </c>
      <c r="H1782" s="748">
        <f>SUM(H1780:H1781)</f>
        <v>0</v>
      </c>
      <c r="I1782" s="748">
        <f>SUM(I1780:I1781)</f>
        <v>0</v>
      </c>
      <c r="J1782" s="748">
        <f>SUM(J1780:J1781)</f>
        <v>0</v>
      </c>
      <c r="K1782" s="748">
        <f>SUM(K1780:K1781)</f>
        <v>0</v>
      </c>
      <c r="L1782" s="748">
        <f>SUM(L1780:L1781)</f>
        <v>0</v>
      </c>
      <c r="M1782" s="748">
        <f>SUM(H1782:L1782)</f>
        <v>0</v>
      </c>
      <c r="Q1782" s="748">
        <f>ABS(M1782-AD1782)</f>
        <v>0</v>
      </c>
      <c r="X1782" s="748" t="s">
        <v>772</v>
      </c>
      <c r="Y1782" s="748">
        <f>SUM(Y1780:Y1781)</f>
        <v>0</v>
      </c>
      <c r="Z1782" s="748">
        <f>SUM(Z1780:Z1781)</f>
        <v>0</v>
      </c>
      <c r="AA1782" s="748">
        <f>SUM(AA1780:AA1781)</f>
        <v>0</v>
      </c>
      <c r="AB1782" s="748">
        <f>SUM(AB1780:AB1781)</f>
        <v>0</v>
      </c>
      <c r="AC1782" s="748">
        <f>SUM(AC1780:AC1781)</f>
        <v>0</v>
      </c>
      <c r="AD1782" s="748">
        <f>SUM(Y1782:AC1782)</f>
        <v>0</v>
      </c>
    </row>
    <row r="1783" spans="3:31" ht="14.65" customHeight="1"/>
    <row r="1784" spans="3:31" ht="15" customHeight="1">
      <c r="C1784" s="748" t="s">
        <v>1597</v>
      </c>
      <c r="G1784" s="748" t="s">
        <v>2009</v>
      </c>
      <c r="H1784" s="748">
        <f>BM1763</f>
        <v>0</v>
      </c>
      <c r="I1784" s="748">
        <f>BN1763</f>
        <v>0</v>
      </c>
      <c r="J1784" s="748">
        <f>BO1763</f>
        <v>0</v>
      </c>
      <c r="K1784" s="748">
        <f>BP1763</f>
        <v>0</v>
      </c>
      <c r="L1784" s="748">
        <f>BQ1763</f>
        <v>0</v>
      </c>
      <c r="M1784" s="748">
        <f>SUM(H1784:L1784)</f>
        <v>0</v>
      </c>
      <c r="Q1784" s="748">
        <f>ABS(M1784-AD1784)</f>
        <v>0</v>
      </c>
      <c r="T1784" s="748" t="s">
        <v>1597</v>
      </c>
      <c r="X1784" s="748" t="s">
        <v>2009</v>
      </c>
      <c r="Y1784" s="748">
        <f>BM1763</f>
        <v>0</v>
      </c>
      <c r="Z1784" s="748">
        <f>BN1763</f>
        <v>0</v>
      </c>
      <c r="AA1784" s="748">
        <f>BO1763</f>
        <v>0</v>
      </c>
      <c r="AB1784" s="748">
        <f>BP1763</f>
        <v>0</v>
      </c>
      <c r="AC1784" s="748">
        <f>BQ1763</f>
        <v>0</v>
      </c>
      <c r="AD1784" s="748">
        <f>SUM(Y1784:AC1784)</f>
        <v>0</v>
      </c>
    </row>
    <row r="1785" spans="3:31" ht="15" customHeight="1">
      <c r="C1785" s="748" t="s">
        <v>3909</v>
      </c>
      <c r="G1785" s="748" t="s">
        <v>280</v>
      </c>
      <c r="H1785" s="748">
        <f>BH1763</f>
        <v>0</v>
      </c>
      <c r="I1785" s="748">
        <f>BI1763</f>
        <v>0</v>
      </c>
      <c r="J1785" s="748">
        <f>BJ1763</f>
        <v>0</v>
      </c>
      <c r="K1785" s="748">
        <f>BK1763</f>
        <v>0</v>
      </c>
      <c r="L1785" s="748">
        <f>BL1763</f>
        <v>0</v>
      </c>
      <c r="M1785" s="748">
        <f>SUM(H1785:L1785)</f>
        <v>0</v>
      </c>
      <c r="Q1785" s="748">
        <f>ABS(M1785-AD1785)</f>
        <v>0</v>
      </c>
      <c r="T1785" s="748" t="s">
        <v>3909</v>
      </c>
      <c r="X1785" s="748" t="s">
        <v>280</v>
      </c>
      <c r="Y1785" s="748">
        <f>BH1763</f>
        <v>0</v>
      </c>
      <c r="Z1785" s="748">
        <f>BI1763</f>
        <v>0</v>
      </c>
      <c r="AA1785" s="748">
        <f>BJ1763</f>
        <v>0</v>
      </c>
      <c r="AB1785" s="748">
        <f>BK1763</f>
        <v>0</v>
      </c>
      <c r="AC1785" s="748">
        <f>BL1763</f>
        <v>0</v>
      </c>
      <c r="AD1785" s="748">
        <f>SUM(Y1785:AC1785)</f>
        <v>0</v>
      </c>
    </row>
    <row r="1786" spans="3:31" ht="15" customHeight="1">
      <c r="G1786" s="748" t="s">
        <v>772</v>
      </c>
      <c r="H1786" s="748">
        <f>SUM(H1784:H1785)</f>
        <v>0</v>
      </c>
      <c r="I1786" s="748">
        <f>SUM(I1784:I1785)</f>
        <v>0</v>
      </c>
      <c r="J1786" s="748">
        <f>SUM(J1784:J1785)</f>
        <v>0</v>
      </c>
      <c r="K1786" s="748">
        <f>SUM(K1784:K1785)</f>
        <v>0</v>
      </c>
      <c r="L1786" s="748">
        <f>SUM(L1784:L1785)</f>
        <v>0</v>
      </c>
      <c r="M1786" s="748">
        <f>SUM(H1786:L1786)</f>
        <v>0</v>
      </c>
      <c r="Q1786" s="748">
        <f>ABS(M1786-AD1786)</f>
        <v>0</v>
      </c>
      <c r="X1786" s="748" t="s">
        <v>772</v>
      </c>
      <c r="Y1786" s="748">
        <f>SUM(Y1784:Y1785)</f>
        <v>0</v>
      </c>
      <c r="Z1786" s="748">
        <f>SUM(Z1784:Z1785)</f>
        <v>0</v>
      </c>
      <c r="AA1786" s="748">
        <f>SUM(AA1784:AA1785)</f>
        <v>0</v>
      </c>
      <c r="AB1786" s="748">
        <f>SUM(AB1784:AB1785)</f>
        <v>0</v>
      </c>
      <c r="AC1786" s="748">
        <f>SUM(AC1784:AC1785)</f>
        <v>0</v>
      </c>
      <c r="AD1786" s="748">
        <f>SUM(Y1786:AC1786)</f>
        <v>0</v>
      </c>
    </row>
    <row r="1787" spans="3:31" ht="14.65" customHeight="1">
      <c r="C1787" s="748" t="s">
        <v>131</v>
      </c>
      <c r="T1787" s="748" t="s">
        <v>3380</v>
      </c>
    </row>
    <row r="1788" spans="3:31" ht="15" customHeight="1">
      <c r="E1788" s="748" t="s">
        <v>3709</v>
      </c>
      <c r="G1788" s="748" t="s">
        <v>2310</v>
      </c>
      <c r="H1788" s="748">
        <f>DA1763</f>
        <v>0</v>
      </c>
      <c r="I1788" s="748">
        <f>DB1763</f>
        <v>8</v>
      </c>
      <c r="J1788" s="748">
        <f>DC1763</f>
        <v>56</v>
      </c>
      <c r="K1788" s="748">
        <f>DD1763</f>
        <v>0</v>
      </c>
      <c r="L1788" s="748">
        <f>DE1763</f>
        <v>0</v>
      </c>
      <c r="M1788" s="748">
        <f t="shared" ref="M1788:M1798" si="311">SUM(H1788:L1788)</f>
        <v>64</v>
      </c>
      <c r="Q1788" s="748">
        <f t="shared" ref="Q1788:Q1796" si="312">ABS(M1788-AD1788)</f>
        <v>0</v>
      </c>
      <c r="V1788" s="748" t="s">
        <v>3709</v>
      </c>
      <c r="X1788" s="748" t="s">
        <v>2310</v>
      </c>
      <c r="Y1788" s="748">
        <f>DA1763</f>
        <v>0</v>
      </c>
      <c r="Z1788" s="748">
        <f>DB1763</f>
        <v>8</v>
      </c>
      <c r="AA1788" s="748">
        <f>DC1763</f>
        <v>56</v>
      </c>
      <c r="AB1788" s="748">
        <f>DD1763</f>
        <v>0</v>
      </c>
      <c r="AC1788" s="748">
        <f>DE1763</f>
        <v>0</v>
      </c>
      <c r="AD1788" s="748">
        <f t="shared" ref="AD1788:AD1796" si="313">SUM(Y1788:AC1788)</f>
        <v>64</v>
      </c>
    </row>
    <row r="1789" spans="3:31" ht="15" customHeight="1">
      <c r="G1789" s="748" t="s">
        <v>529</v>
      </c>
      <c r="H1789" s="748">
        <f>DF1763</f>
        <v>0</v>
      </c>
      <c r="I1789" s="748">
        <f>DG1763</f>
        <v>0</v>
      </c>
      <c r="J1789" s="748">
        <f>DH1763</f>
        <v>0</v>
      </c>
      <c r="K1789" s="748">
        <f>DI1763</f>
        <v>0</v>
      </c>
      <c r="L1789" s="748">
        <f>DJ1763</f>
        <v>0</v>
      </c>
      <c r="M1789" s="748">
        <f t="shared" si="311"/>
        <v>0</v>
      </c>
      <c r="Q1789" s="748">
        <f t="shared" si="312"/>
        <v>0</v>
      </c>
      <c r="X1789" s="748" t="s">
        <v>2309</v>
      </c>
      <c r="Y1789" s="748">
        <f>DF1763</f>
        <v>0</v>
      </c>
      <c r="Z1789" s="748">
        <f>DG1763</f>
        <v>0</v>
      </c>
      <c r="AA1789" s="748">
        <f>DH1763</f>
        <v>0</v>
      </c>
      <c r="AB1789" s="748">
        <f>DI1763</f>
        <v>0</v>
      </c>
      <c r="AC1789" s="748">
        <f>DJ1763</f>
        <v>0</v>
      </c>
      <c r="AD1789" s="748">
        <f t="shared" si="313"/>
        <v>0</v>
      </c>
    </row>
    <row r="1790" spans="3:31" ht="15" customHeight="1">
      <c r="G1790" s="748" t="s">
        <v>171</v>
      </c>
      <c r="H1790" s="748">
        <f>SUM(H1788:H1789)+DK1763</f>
        <v>0</v>
      </c>
      <c r="I1790" s="748">
        <f>SUM(I1788:I1789)+DL1763</f>
        <v>8</v>
      </c>
      <c r="J1790" s="748">
        <f>SUM(J1788:J1789)+DM1763</f>
        <v>56</v>
      </c>
      <c r="K1790" s="748">
        <f>SUM(K1788:K1789)+DN1763</f>
        <v>0</v>
      </c>
      <c r="L1790" s="748">
        <f>SUM(L1788:L1789)+DO1763</f>
        <v>0</v>
      </c>
      <c r="M1790" s="748">
        <f t="shared" si="311"/>
        <v>64</v>
      </c>
      <c r="Q1790" s="748">
        <f t="shared" si="312"/>
        <v>0</v>
      </c>
      <c r="X1790" s="748" t="s">
        <v>171</v>
      </c>
      <c r="Y1790" s="748">
        <f>SUM(Y1788:Y1789)+DK1763</f>
        <v>0</v>
      </c>
      <c r="Z1790" s="748">
        <f>SUM(Z1788:Z1789)+DL1763</f>
        <v>8</v>
      </c>
      <c r="AA1790" s="748">
        <f>SUM(AA1788:AA1789)+DM1763</f>
        <v>56</v>
      </c>
      <c r="AB1790" s="748">
        <f>SUM(AB1788:AB1789)+DN1763</f>
        <v>0</v>
      </c>
      <c r="AC1790" s="748">
        <f>SUM(AC1788:AC1789)+DO1763</f>
        <v>0</v>
      </c>
      <c r="AD1790" s="748">
        <f t="shared" si="313"/>
        <v>64</v>
      </c>
    </row>
    <row r="1791" spans="3:31" ht="15" customHeight="1">
      <c r="E1791" s="748" t="s">
        <v>3382</v>
      </c>
      <c r="G1791" s="748" t="s">
        <v>2310</v>
      </c>
      <c r="H1791" s="748">
        <f>DP1763</f>
        <v>0</v>
      </c>
      <c r="I1791" s="748">
        <f>DQ1763</f>
        <v>0</v>
      </c>
      <c r="J1791" s="748">
        <f>DR1763</f>
        <v>0</v>
      </c>
      <c r="K1791" s="748">
        <f>DS1763</f>
        <v>0</v>
      </c>
      <c r="L1791" s="748">
        <f>DT1763</f>
        <v>0</v>
      </c>
      <c r="M1791" s="748">
        <f t="shared" si="311"/>
        <v>0</v>
      </c>
      <c r="Q1791" s="748">
        <f t="shared" si="312"/>
        <v>0</v>
      </c>
      <c r="V1791" s="748" t="s">
        <v>3382</v>
      </c>
      <c r="X1791" s="748" t="s">
        <v>2310</v>
      </c>
      <c r="Y1791" s="748">
        <f>DP1763</f>
        <v>0</v>
      </c>
      <c r="Z1791" s="748">
        <f>DQ1763</f>
        <v>0</v>
      </c>
      <c r="AA1791" s="748">
        <f>DR1763</f>
        <v>0</v>
      </c>
      <c r="AB1791" s="748">
        <f>DS1763</f>
        <v>0</v>
      </c>
      <c r="AC1791" s="748">
        <f>DT1763</f>
        <v>0</v>
      </c>
      <c r="AD1791" s="748">
        <f t="shared" si="313"/>
        <v>0</v>
      </c>
    </row>
    <row r="1792" spans="3:31" ht="15" customHeight="1">
      <c r="G1792" s="748" t="s">
        <v>529</v>
      </c>
      <c r="H1792" s="748">
        <f>DU1763</f>
        <v>0</v>
      </c>
      <c r="I1792" s="748">
        <f>DV1763</f>
        <v>0</v>
      </c>
      <c r="J1792" s="748">
        <f>DW1763</f>
        <v>0</v>
      </c>
      <c r="K1792" s="748">
        <f>DX1763</f>
        <v>0</v>
      </c>
      <c r="L1792" s="748">
        <f>DY1763</f>
        <v>0</v>
      </c>
      <c r="M1792" s="748">
        <f t="shared" si="311"/>
        <v>0</v>
      </c>
      <c r="Q1792" s="748">
        <f t="shared" si="312"/>
        <v>0</v>
      </c>
      <c r="X1792" s="748" t="s">
        <v>2309</v>
      </c>
      <c r="Y1792" s="748">
        <f>DU1763</f>
        <v>0</v>
      </c>
      <c r="Z1792" s="748">
        <f>DV1763</f>
        <v>0</v>
      </c>
      <c r="AA1792" s="748">
        <f>DW1763</f>
        <v>0</v>
      </c>
      <c r="AB1792" s="748">
        <f>DX1763</f>
        <v>0</v>
      </c>
      <c r="AC1792" s="748">
        <f>DY1763</f>
        <v>0</v>
      </c>
      <c r="AD1792" s="748">
        <f t="shared" si="313"/>
        <v>0</v>
      </c>
    </row>
    <row r="1793" spans="2:30" ht="15" customHeight="1">
      <c r="G1793" s="748" t="s">
        <v>171</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171</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1995</v>
      </c>
      <c r="G1794" s="748" t="s">
        <v>2310</v>
      </c>
      <c r="H1794" s="748">
        <f>EE1763</f>
        <v>0</v>
      </c>
      <c r="I1794" s="748">
        <f>EF1763</f>
        <v>0</v>
      </c>
      <c r="J1794" s="748">
        <f>EG1763</f>
        <v>0</v>
      </c>
      <c r="K1794" s="748">
        <f>EH1763</f>
        <v>0</v>
      </c>
      <c r="L1794" s="748">
        <f>EI1763</f>
        <v>0</v>
      </c>
      <c r="M1794" s="748">
        <f t="shared" si="311"/>
        <v>0</v>
      </c>
      <c r="Q1794" s="748">
        <f t="shared" si="312"/>
        <v>0</v>
      </c>
      <c r="V1794" s="748" t="s">
        <v>3196</v>
      </c>
      <c r="X1794" s="748" t="s">
        <v>2310</v>
      </c>
      <c r="Y1794" s="748">
        <f>EE1763</f>
        <v>0</v>
      </c>
      <c r="Z1794" s="748">
        <f>EF1763</f>
        <v>0</v>
      </c>
      <c r="AA1794" s="748">
        <f>EG1763</f>
        <v>0</v>
      </c>
      <c r="AB1794" s="748">
        <f>EH1763</f>
        <v>0</v>
      </c>
      <c r="AC1794" s="748">
        <f>EI1763</f>
        <v>0</v>
      </c>
      <c r="AD1794" s="748">
        <f t="shared" si="313"/>
        <v>0</v>
      </c>
    </row>
    <row r="1795" spans="2:30" ht="15" customHeight="1">
      <c r="G1795" s="748" t="s">
        <v>529</v>
      </c>
      <c r="H1795" s="748">
        <f>EJ1763</f>
        <v>0</v>
      </c>
      <c r="I1795" s="748">
        <f>EK1763</f>
        <v>0</v>
      </c>
      <c r="J1795" s="748">
        <f>EL1763</f>
        <v>0</v>
      </c>
      <c r="K1795" s="748">
        <f>EM1763</f>
        <v>0</v>
      </c>
      <c r="L1795" s="748">
        <f>EN1763</f>
        <v>0</v>
      </c>
      <c r="M1795" s="748">
        <f t="shared" si="311"/>
        <v>0</v>
      </c>
      <c r="Q1795" s="748">
        <f t="shared" si="312"/>
        <v>0</v>
      </c>
      <c r="X1795" s="748" t="s">
        <v>2309</v>
      </c>
      <c r="Y1795" s="748">
        <f>EJ1763</f>
        <v>0</v>
      </c>
      <c r="Z1795" s="748">
        <f>EK1763</f>
        <v>0</v>
      </c>
      <c r="AA1795" s="748">
        <f>EL1763</f>
        <v>0</v>
      </c>
      <c r="AB1795" s="748">
        <f>EM1763</f>
        <v>0</v>
      </c>
      <c r="AC1795" s="748">
        <f>EN1763</f>
        <v>0</v>
      </c>
      <c r="AD1795" s="748">
        <f t="shared" si="313"/>
        <v>0</v>
      </c>
    </row>
    <row r="1796" spans="2:30" ht="15" customHeight="1">
      <c r="G1796" s="748" t="s">
        <v>171</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171</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609</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610</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65" customHeight="1">
      <c r="C1799" s="748" t="s">
        <v>132</v>
      </c>
      <c r="T1799" s="748" t="s">
        <v>132</v>
      </c>
    </row>
    <row r="1800" spans="2:30" ht="15" customHeight="1">
      <c r="E1800" s="748" t="s">
        <v>133</v>
      </c>
      <c r="H1800" s="748">
        <f>ET1763</f>
        <v>0</v>
      </c>
      <c r="I1800" s="748">
        <f>EU1763</f>
        <v>8</v>
      </c>
      <c r="J1800" s="748">
        <f>EV1763</f>
        <v>56</v>
      </c>
      <c r="K1800" s="748">
        <f>EW1763</f>
        <v>0</v>
      </c>
      <c r="L1800" s="748">
        <f>EX1763</f>
        <v>0</v>
      </c>
      <c r="M1800" s="748">
        <f>SUM(H1800:L1800)</f>
        <v>64</v>
      </c>
      <c r="Q1800" s="748">
        <f>ABS(M1800-AD1800)</f>
        <v>0</v>
      </c>
      <c r="V1800" s="748" t="s">
        <v>133</v>
      </c>
      <c r="Y1800" s="748">
        <f>ET1763</f>
        <v>0</v>
      </c>
      <c r="Z1800" s="748">
        <f>EU1763</f>
        <v>8</v>
      </c>
      <c r="AA1800" s="748">
        <f>EV1763</f>
        <v>56</v>
      </c>
      <c r="AB1800" s="748">
        <f>EW1763</f>
        <v>0</v>
      </c>
      <c r="AC1800" s="748">
        <f>EX1763</f>
        <v>0</v>
      </c>
      <c r="AD1800" s="748">
        <f>SUM(Y1800:AC1800)</f>
        <v>64</v>
      </c>
    </row>
    <row r="1801" spans="2:30" ht="15" customHeight="1">
      <c r="E1801" s="748" t="s">
        <v>134</v>
      </c>
      <c r="H1801" s="748">
        <f>EY1763</f>
        <v>0</v>
      </c>
      <c r="I1801" s="748">
        <f>EZ1763</f>
        <v>0</v>
      </c>
      <c r="J1801" s="748">
        <f>FA1763</f>
        <v>0</v>
      </c>
      <c r="K1801" s="748">
        <f>FB1763</f>
        <v>0</v>
      </c>
      <c r="L1801" s="748">
        <f>FC1763</f>
        <v>0</v>
      </c>
      <c r="M1801" s="748">
        <f>SUM(H1801:L1801)</f>
        <v>0</v>
      </c>
      <c r="Q1801" s="748">
        <f>ABS(M1801-AD1801)</f>
        <v>0</v>
      </c>
      <c r="V1801" s="748" t="s">
        <v>134</v>
      </c>
      <c r="Y1801" s="748">
        <f>EY1763</f>
        <v>0</v>
      </c>
      <c r="Z1801" s="748">
        <f>EZ1763</f>
        <v>0</v>
      </c>
      <c r="AA1801" s="748">
        <f>FA1763</f>
        <v>0</v>
      </c>
      <c r="AB1801" s="748">
        <f>FB1763</f>
        <v>0</v>
      </c>
      <c r="AC1801" s="748">
        <f>FC1763</f>
        <v>0</v>
      </c>
      <c r="AD1801" s="748">
        <f>SUM(Y1801:AC1801)</f>
        <v>0</v>
      </c>
    </row>
    <row r="1802" spans="2:30" ht="15" customHeight="1">
      <c r="E1802" s="748" t="s">
        <v>135</v>
      </c>
      <c r="H1802" s="748">
        <f>FN1763</f>
        <v>0</v>
      </c>
      <c r="I1802" s="748">
        <f>FO1763</f>
        <v>0</v>
      </c>
      <c r="J1802" s="748">
        <f>FP1763</f>
        <v>0</v>
      </c>
      <c r="K1802" s="748">
        <f>FQ1763</f>
        <v>0</v>
      </c>
      <c r="L1802" s="748">
        <f>FR1763</f>
        <v>0</v>
      </c>
      <c r="M1802" s="748">
        <f>SUM(H1802:L1802)</f>
        <v>0</v>
      </c>
      <c r="Q1802" s="748">
        <f>ABS(M1802-AD1802)</f>
        <v>0</v>
      </c>
      <c r="V1802" s="748" t="s">
        <v>135</v>
      </c>
      <c r="Y1802" s="748">
        <f>FN1763</f>
        <v>0</v>
      </c>
      <c r="Z1802" s="748">
        <f>FO1763</f>
        <v>0</v>
      </c>
      <c r="AA1802" s="748">
        <f>FP1763</f>
        <v>0</v>
      </c>
      <c r="AB1802" s="748">
        <f>FQ1763</f>
        <v>0</v>
      </c>
      <c r="AC1802" s="748">
        <f>FR1763</f>
        <v>0</v>
      </c>
      <c r="AD1802" s="748">
        <f>SUM(Y1802:AC1802)</f>
        <v>0</v>
      </c>
    </row>
    <row r="1803" spans="2:30" ht="15" customHeight="1">
      <c r="E1803" s="748" t="s">
        <v>998</v>
      </c>
      <c r="H1803" s="748">
        <f>FI1763</f>
        <v>0</v>
      </c>
      <c r="I1803" s="748">
        <f>FJ1763</f>
        <v>0</v>
      </c>
      <c r="J1803" s="748">
        <f>FK1763</f>
        <v>0</v>
      </c>
      <c r="K1803" s="748">
        <f>FL1763</f>
        <v>0</v>
      </c>
      <c r="L1803" s="748">
        <f>FM1763</f>
        <v>0</v>
      </c>
      <c r="M1803" s="748">
        <f>SUM(H1803:L1803)</f>
        <v>0</v>
      </c>
      <c r="Q1803" s="748">
        <f>ABS(M1803-AD1803)</f>
        <v>0</v>
      </c>
      <c r="V1803" s="748" t="s">
        <v>998</v>
      </c>
      <c r="Y1803" s="748">
        <f>FI1763</f>
        <v>0</v>
      </c>
      <c r="Z1803" s="748">
        <f>FJ1763</f>
        <v>0</v>
      </c>
      <c r="AA1803" s="748">
        <f>FK1763</f>
        <v>0</v>
      </c>
      <c r="AB1803" s="748">
        <f>FL1763</f>
        <v>0</v>
      </c>
      <c r="AC1803" s="748">
        <f>FM1763</f>
        <v>0</v>
      </c>
      <c r="AD1803" s="748">
        <f>SUM(Y1803:AC1803)</f>
        <v>0</v>
      </c>
    </row>
    <row r="1804" spans="2:30" ht="15" customHeight="1">
      <c r="E1804" s="748" t="s">
        <v>999</v>
      </c>
      <c r="H1804" s="748">
        <f>FD1763</f>
        <v>0</v>
      </c>
      <c r="I1804" s="748">
        <f>FE1763</f>
        <v>0</v>
      </c>
      <c r="J1804" s="748">
        <f>FF1763</f>
        <v>0</v>
      </c>
      <c r="K1804" s="748">
        <f>FG1763</f>
        <v>0</v>
      </c>
      <c r="L1804" s="748">
        <f>FH1763</f>
        <v>0</v>
      </c>
      <c r="M1804" s="748">
        <f>SUM(H1804:L1804)</f>
        <v>0</v>
      </c>
      <c r="Q1804" s="748">
        <f>ABS(M1804-AD1804)</f>
        <v>0</v>
      </c>
      <c r="V1804" s="748" t="s">
        <v>999</v>
      </c>
      <c r="Y1804" s="748">
        <f>FD1763</f>
        <v>0</v>
      </c>
      <c r="Z1804" s="748">
        <f>FE1763</f>
        <v>0</v>
      </c>
      <c r="AA1804" s="748">
        <f>FF1763</f>
        <v>0</v>
      </c>
      <c r="AB1804" s="748">
        <f>FG1763</f>
        <v>0</v>
      </c>
      <c r="AC1804" s="748">
        <f>FH1763</f>
        <v>0</v>
      </c>
      <c r="AD1804" s="748">
        <f>SUM(Y1804:AC1804)</f>
        <v>0</v>
      </c>
    </row>
    <row r="1805" spans="2:30" ht="4.9000000000000004" customHeight="1"/>
    <row r="1806" spans="2:30" ht="14.65" customHeight="1">
      <c r="B1806" s="748" t="s">
        <v>3370</v>
      </c>
      <c r="S1806" s="748" t="s">
        <v>1798</v>
      </c>
    </row>
    <row r="1807" spans="2:30" ht="15" customHeight="1">
      <c r="C1807" s="748" t="s">
        <v>3381</v>
      </c>
      <c r="G1807" s="748" t="s">
        <v>2009</v>
      </c>
      <c r="H1807" s="748">
        <f>BW1763</f>
        <v>0</v>
      </c>
      <c r="I1807" s="748">
        <f>BX1763</f>
        <v>3810</v>
      </c>
      <c r="J1807" s="748">
        <f>BY1763</f>
        <v>49588</v>
      </c>
      <c r="K1807" s="748">
        <f>BZ1763</f>
        <v>0</v>
      </c>
      <c r="L1807" s="748">
        <f>CA1763</f>
        <v>0</v>
      </c>
      <c r="M1807" s="748">
        <f t="shared" ref="M1807:M1813" si="314">SUM(H1807:L1807)</f>
        <v>53398</v>
      </c>
      <c r="Q1807" s="748">
        <f t="shared" ref="Q1807:Q1813" si="315">ABS(M1807-AD1807)</f>
        <v>0</v>
      </c>
      <c r="T1807" s="748" t="s">
        <v>3381</v>
      </c>
      <c r="X1807" s="748" t="s">
        <v>2009</v>
      </c>
      <c r="Y1807" s="748">
        <f>BW1763</f>
        <v>0</v>
      </c>
      <c r="Z1807" s="748">
        <f>BX1763</f>
        <v>3810</v>
      </c>
      <c r="AA1807" s="748">
        <f>BY1763</f>
        <v>49588</v>
      </c>
      <c r="AB1807" s="748">
        <f>BZ1763</f>
        <v>0</v>
      </c>
      <c r="AC1807" s="748">
        <f>CA1763</f>
        <v>0</v>
      </c>
      <c r="AD1807" s="748">
        <f t="shared" ref="AD1807:AD1813" si="316">SUM(Y1807:AC1807)</f>
        <v>53398</v>
      </c>
    </row>
    <row r="1808" spans="2:30" ht="15" customHeight="1">
      <c r="G1808" s="748" t="s">
        <v>280</v>
      </c>
      <c r="H1808" s="748">
        <f>CB1763</f>
        <v>0</v>
      </c>
      <c r="I1808" s="748">
        <f>CC1763</f>
        <v>2286</v>
      </c>
      <c r="J1808" s="748">
        <f>CD1763</f>
        <v>10780</v>
      </c>
      <c r="K1808" s="748">
        <f>CE1763</f>
        <v>0</v>
      </c>
      <c r="L1808" s="748">
        <f>CF1763</f>
        <v>0</v>
      </c>
      <c r="M1808" s="748">
        <f t="shared" si="314"/>
        <v>13066</v>
      </c>
      <c r="Q1808" s="748">
        <f t="shared" si="315"/>
        <v>0</v>
      </c>
      <c r="X1808" s="748" t="s">
        <v>280</v>
      </c>
      <c r="Y1808" s="748">
        <f>CB1763</f>
        <v>0</v>
      </c>
      <c r="Z1808" s="748">
        <f>CC1763</f>
        <v>2286</v>
      </c>
      <c r="AA1808" s="748">
        <f>CD1763</f>
        <v>10780</v>
      </c>
      <c r="AB1808" s="748">
        <f>CE1763</f>
        <v>0</v>
      </c>
      <c r="AC1808" s="748">
        <f>CF1763</f>
        <v>0</v>
      </c>
      <c r="AD1808" s="748">
        <f t="shared" si="316"/>
        <v>13066</v>
      </c>
    </row>
    <row r="1809" spans="1:30" ht="15" customHeight="1">
      <c r="G1809" s="748" t="s">
        <v>772</v>
      </c>
      <c r="H1809" s="748">
        <f>SUM(H1807:H1808)</f>
        <v>0</v>
      </c>
      <c r="I1809" s="748">
        <f>SUM(I1807:I1808)</f>
        <v>6096</v>
      </c>
      <c r="J1809" s="748">
        <f>SUM(J1807:J1808)</f>
        <v>60368</v>
      </c>
      <c r="K1809" s="748">
        <f>SUM(K1807:K1808)</f>
        <v>0</v>
      </c>
      <c r="L1809" s="748">
        <f>SUM(L1807:L1808)</f>
        <v>0</v>
      </c>
      <c r="M1809" s="748">
        <f t="shared" si="314"/>
        <v>66464</v>
      </c>
      <c r="Q1809" s="748">
        <f t="shared" si="315"/>
        <v>0</v>
      </c>
      <c r="X1809" s="748" t="s">
        <v>772</v>
      </c>
      <c r="Y1809" s="748">
        <f>SUM(Y1807:Y1808)</f>
        <v>0</v>
      </c>
      <c r="Z1809" s="748">
        <f>SUM(Z1807:Z1808)</f>
        <v>6096</v>
      </c>
      <c r="AA1809" s="748">
        <f>SUM(AA1807:AA1808)</f>
        <v>60368</v>
      </c>
      <c r="AB1809" s="748">
        <f>SUM(AB1807:AB1808)</f>
        <v>0</v>
      </c>
      <c r="AC1809" s="748">
        <f>SUM(AC1807:AC1808)</f>
        <v>0</v>
      </c>
      <c r="AD1809" s="748">
        <f t="shared" si="316"/>
        <v>66464</v>
      </c>
    </row>
    <row r="1810" spans="1:30" ht="15" customHeight="1">
      <c r="C1810" s="748" t="s">
        <v>529</v>
      </c>
      <c r="H1810" s="748">
        <f>CL1763</f>
        <v>0</v>
      </c>
      <c r="I1810" s="748">
        <f>CM1763</f>
        <v>0</v>
      </c>
      <c r="J1810" s="748">
        <f>CN1763</f>
        <v>0</v>
      </c>
      <c r="K1810" s="748">
        <f>CO1763</f>
        <v>0</v>
      </c>
      <c r="L1810" s="748">
        <f>CP1763</f>
        <v>0</v>
      </c>
      <c r="M1810" s="748">
        <f t="shared" si="314"/>
        <v>0</v>
      </c>
      <c r="Q1810" s="748">
        <f t="shared" si="315"/>
        <v>0</v>
      </c>
      <c r="T1810" s="748" t="s">
        <v>529</v>
      </c>
      <c r="Y1810" s="748">
        <f>CL1763</f>
        <v>0</v>
      </c>
      <c r="Z1810" s="748">
        <f>CM1763</f>
        <v>0</v>
      </c>
      <c r="AA1810" s="748">
        <f>CN1763</f>
        <v>0</v>
      </c>
      <c r="AB1810" s="748">
        <f>CO1763</f>
        <v>0</v>
      </c>
      <c r="AC1810" s="748">
        <f>CP1763</f>
        <v>0</v>
      </c>
      <c r="AD1810" s="748">
        <f t="shared" si="316"/>
        <v>0</v>
      </c>
    </row>
    <row r="1811" spans="1:30" ht="15" customHeight="1">
      <c r="C1811" s="748" t="s">
        <v>1800</v>
      </c>
      <c r="H1811" s="748">
        <f>SUM(H1809:H1810)</f>
        <v>0</v>
      </c>
      <c r="I1811" s="748">
        <f>SUM(I1809:I1810)</f>
        <v>6096</v>
      </c>
      <c r="J1811" s="748">
        <f>SUM(J1809:J1810)</f>
        <v>60368</v>
      </c>
      <c r="K1811" s="748">
        <f>SUM(K1809:K1810)</f>
        <v>0</v>
      </c>
      <c r="L1811" s="748">
        <f>SUM(L1809:L1810)</f>
        <v>0</v>
      </c>
      <c r="M1811" s="748">
        <f t="shared" si="314"/>
        <v>66464</v>
      </c>
      <c r="Q1811" s="748">
        <f t="shared" si="315"/>
        <v>0</v>
      </c>
      <c r="T1811" s="748" t="s">
        <v>1800</v>
      </c>
      <c r="Y1811" s="748">
        <f>SUM(Y1809:Y1810)</f>
        <v>0</v>
      </c>
      <c r="Z1811" s="748">
        <f>SUM(Z1809:Z1810)</f>
        <v>6096</v>
      </c>
      <c r="AA1811" s="748">
        <f>SUM(AA1809:AA1810)</f>
        <v>60368</v>
      </c>
      <c r="AB1811" s="748">
        <f>SUM(AB1809:AB1810)</f>
        <v>0</v>
      </c>
      <c r="AC1811" s="748">
        <f>SUM(AC1809:AC1810)</f>
        <v>0</v>
      </c>
      <c r="AD1811" s="748">
        <f t="shared" si="316"/>
        <v>66464</v>
      </c>
    </row>
    <row r="1812" spans="1:30" ht="15" customHeight="1">
      <c r="C1812" s="748" t="s">
        <v>3908</v>
      </c>
      <c r="H1812" s="748">
        <f>CV1763</f>
        <v>0</v>
      </c>
      <c r="I1812" s="748">
        <f>CW1763</f>
        <v>0</v>
      </c>
      <c r="J1812" s="748">
        <f>CX1763</f>
        <v>0</v>
      </c>
      <c r="K1812" s="748">
        <f>CY1763</f>
        <v>0</v>
      </c>
      <c r="L1812" s="748">
        <f>CZ1763</f>
        <v>0</v>
      </c>
      <c r="M1812" s="748">
        <f t="shared" si="314"/>
        <v>0</v>
      </c>
      <c r="Q1812" s="748">
        <f t="shared" si="315"/>
        <v>0</v>
      </c>
      <c r="T1812" s="748" t="s">
        <v>3908</v>
      </c>
      <c r="Y1812" s="748">
        <f>CV1763</f>
        <v>0</v>
      </c>
      <c r="Z1812" s="748">
        <f>CW1763</f>
        <v>0</v>
      </c>
      <c r="AA1812" s="748">
        <f>CX1763</f>
        <v>0</v>
      </c>
      <c r="AB1812" s="748">
        <f>CY1763</f>
        <v>0</v>
      </c>
      <c r="AC1812" s="748">
        <f>CZ1763</f>
        <v>0</v>
      </c>
      <c r="AD1812" s="748">
        <f t="shared" si="316"/>
        <v>0</v>
      </c>
    </row>
    <row r="1813" spans="1:30" ht="15" customHeight="1">
      <c r="C1813" s="748" t="s">
        <v>772</v>
      </c>
      <c r="H1813" s="748">
        <f>SUM(H1811:H1812)</f>
        <v>0</v>
      </c>
      <c r="I1813" s="748">
        <f>SUM(I1811:I1812)</f>
        <v>6096</v>
      </c>
      <c r="J1813" s="748">
        <f>SUM(J1811:J1812)</f>
        <v>60368</v>
      </c>
      <c r="K1813" s="748">
        <f>SUM(K1811:K1812)</f>
        <v>0</v>
      </c>
      <c r="L1813" s="748">
        <f>SUM(L1811:L1812)</f>
        <v>0</v>
      </c>
      <c r="M1813" s="748">
        <f t="shared" si="314"/>
        <v>66464</v>
      </c>
      <c r="Q1813" s="748">
        <f t="shared" si="315"/>
        <v>0</v>
      </c>
      <c r="T1813" s="748" t="s">
        <v>772</v>
      </c>
      <c r="Y1813" s="748">
        <f>SUM(Y1811:Y1812)</f>
        <v>0</v>
      </c>
      <c r="Z1813" s="748">
        <f>SUM(Z1811:Z1812)</f>
        <v>6096</v>
      </c>
      <c r="AA1813" s="748">
        <f>SUM(AA1811:AA1812)</f>
        <v>60368</v>
      </c>
      <c r="AB1813" s="748">
        <f>SUM(AB1811:AB1812)</f>
        <v>0</v>
      </c>
      <c r="AC1813" s="748">
        <f>SUM(AC1811:AC1812)</f>
        <v>0</v>
      </c>
      <c r="AD1813" s="748">
        <f t="shared" si="316"/>
        <v>66464</v>
      </c>
    </row>
    <row r="1814" spans="1:30" ht="4.9000000000000004" customHeight="1"/>
    <row r="1815" spans="1:30" ht="13.9" customHeight="1">
      <c r="A1815" s="748" t="s">
        <v>1243</v>
      </c>
      <c r="B1815" s="748" t="s">
        <v>4129</v>
      </c>
    </row>
    <row r="1816" spans="1:30" ht="9" customHeight="1"/>
    <row r="1817" spans="1:30" ht="12.4" customHeight="1">
      <c r="B1817" s="748" t="s">
        <v>1965</v>
      </c>
      <c r="G1817" s="748">
        <f>0.02*L1764</f>
        <v>5414.4000000000005</v>
      </c>
      <c r="I1817" s="748" t="s">
        <v>3864</v>
      </c>
    </row>
    <row r="1818" spans="1:30" ht="15" customHeight="1"/>
    <row r="1819" spans="1:30" ht="13.9" customHeight="1">
      <c r="B1819" s="748" t="s">
        <v>2208</v>
      </c>
    </row>
    <row r="1820" spans="1:30" ht="15" customHeight="1"/>
    <row r="1821" spans="1:30" ht="13.9" customHeight="1">
      <c r="B1821" s="748" t="s">
        <v>3522</v>
      </c>
      <c r="G1821" s="748">
        <v>1</v>
      </c>
      <c r="H1821" s="748">
        <v>2</v>
      </c>
      <c r="I1821" s="748">
        <v>3</v>
      </c>
      <c r="J1821" s="748">
        <v>4</v>
      </c>
      <c r="K1821" s="748">
        <v>5</v>
      </c>
      <c r="L1821" s="748">
        <v>6</v>
      </c>
      <c r="M1821" s="748">
        <v>7</v>
      </c>
      <c r="N1821" s="748">
        <v>8</v>
      </c>
      <c r="O1821" s="748">
        <v>9</v>
      </c>
      <c r="P1821" s="748">
        <v>10</v>
      </c>
    </row>
    <row r="1822" spans="1:30" ht="15" customHeight="1">
      <c r="B1822" s="748" t="s">
        <v>1966</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1242</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1724</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4" customHeight="1"/>
    <row r="1826" spans="2:16" ht="15.4" customHeight="1">
      <c r="B1826" s="748" t="s">
        <v>4130</v>
      </c>
    </row>
    <row r="1827" spans="2:16" ht="15" customHeight="1">
      <c r="B1827" s="748" t="s">
        <v>3818</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977</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1242</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4131</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4" customHeight="1"/>
    <row r="1832" spans="2:16" ht="13.9" customHeight="1">
      <c r="B1832" s="748" t="s">
        <v>3522</v>
      </c>
      <c r="G1832" s="748">
        <v>11</v>
      </c>
      <c r="H1832" s="748">
        <v>12</v>
      </c>
      <c r="I1832" s="748">
        <v>13</v>
      </c>
      <c r="J1832" s="748">
        <v>14</v>
      </c>
      <c r="K1832" s="748">
        <v>15</v>
      </c>
      <c r="L1832" s="748">
        <v>16</v>
      </c>
      <c r="M1832" s="748">
        <v>17</v>
      </c>
      <c r="N1832" s="748">
        <v>18</v>
      </c>
      <c r="O1832" s="748">
        <v>19</v>
      </c>
      <c r="P1832" s="748">
        <v>20</v>
      </c>
    </row>
    <row r="1833" spans="2:16" ht="15" customHeight="1">
      <c r="B1833" s="748" t="s">
        <v>1966</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1242</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1724</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4" customHeight="1"/>
    <row r="1837" spans="2:16" ht="15.4" customHeight="1">
      <c r="B1837" s="748" t="s">
        <v>4130</v>
      </c>
    </row>
    <row r="1838" spans="2:16" ht="15" customHeight="1">
      <c r="B1838" s="748" t="s">
        <v>3818</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977</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1242</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4131</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4" customHeight="1"/>
    <row r="1843" spans="1:16" ht="13.9" customHeight="1">
      <c r="B1843" s="748" t="s">
        <v>3522</v>
      </c>
      <c r="G1843" s="748">
        <v>21</v>
      </c>
      <c r="H1843" s="748">
        <v>22</v>
      </c>
      <c r="I1843" s="748">
        <v>23</v>
      </c>
      <c r="J1843" s="748">
        <v>24</v>
      </c>
      <c r="K1843" s="748">
        <v>25</v>
      </c>
      <c r="L1843" s="748">
        <v>26</v>
      </c>
      <c r="M1843" s="748">
        <v>27</v>
      </c>
      <c r="N1843" s="748">
        <v>28</v>
      </c>
      <c r="O1843" s="748">
        <v>29</v>
      </c>
      <c r="P1843" s="748">
        <v>30</v>
      </c>
    </row>
    <row r="1844" spans="1:16" ht="15" customHeight="1">
      <c r="B1844" s="748" t="s">
        <v>1966</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1242</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1724</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4" customHeight="1"/>
    <row r="1848" spans="1:16" ht="15.4" customHeight="1">
      <c r="B1848" s="748" t="s">
        <v>4130</v>
      </c>
    </row>
    <row r="1849" spans="1:16" ht="15" customHeight="1">
      <c r="B1849" s="748" t="s">
        <v>3818</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977</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1242</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4131</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4" customHeight="1"/>
    <row r="1854" spans="1:16" ht="11.25" customHeight="1">
      <c r="A1854" s="748" t="s">
        <v>2950</v>
      </c>
      <c r="B1854" s="748" t="s">
        <v>2116</v>
      </c>
    </row>
    <row r="1855" spans="1:16" ht="9" customHeight="1"/>
    <row r="1856" spans="1:16" ht="13.15" customHeight="1">
      <c r="B1856" s="748" t="s">
        <v>2002</v>
      </c>
      <c r="I1856" s="748" t="s">
        <v>1934</v>
      </c>
      <c r="N1856" s="748" t="s">
        <v>2053</v>
      </c>
    </row>
    <row r="1857" spans="2:16" ht="15.4" customHeight="1">
      <c r="B1857" s="748" t="s">
        <v>3342</v>
      </c>
      <c r="F1857" s="748">
        <f>'Part VI-Revenues &amp; Expenses'!F142</f>
        <v>26000</v>
      </c>
      <c r="I1857" s="748" t="s">
        <v>1935</v>
      </c>
      <c r="K1857" s="748">
        <f>'Part VI-Revenues &amp; Expenses'!K142</f>
        <v>0</v>
      </c>
      <c r="N1857" s="748" t="s">
        <v>1725</v>
      </c>
      <c r="P1857" s="748">
        <f>'Part VI-Revenues &amp; Expenses'!P142</f>
        <v>33000</v>
      </c>
    </row>
    <row r="1858" spans="2:16" ht="15.4" customHeight="1">
      <c r="B1858" s="748" t="s">
        <v>2044</v>
      </c>
      <c r="F1858" s="748">
        <f>'Part VI-Revenues &amp; Expenses'!F143</f>
        <v>18000</v>
      </c>
      <c r="I1858" s="748" t="s">
        <v>1936</v>
      </c>
      <c r="K1858" s="748">
        <f>'Part VI-Revenues &amp; Expenses'!K143</f>
        <v>0</v>
      </c>
      <c r="N1858" s="748" t="s">
        <v>383</v>
      </c>
      <c r="P1858" s="748">
        <f>'Part VI-Revenues &amp; Expenses'!P143</f>
        <v>13000</v>
      </c>
    </row>
    <row r="1859" spans="2:16" ht="15.4" customHeight="1">
      <c r="B1859" s="748" t="s">
        <v>2173</v>
      </c>
      <c r="F1859" s="748">
        <f>'Part VI-Revenues &amp; Expenses'!F144</f>
        <v>0</v>
      </c>
      <c r="J1859" s="748" t="s">
        <v>199</v>
      </c>
      <c r="K1859" s="748">
        <f>SUM(K1857:L1858)</f>
        <v>0</v>
      </c>
      <c r="N1859" s="748" t="str">
        <f>'Part VI-Revenues &amp; Expenses'!N144</f>
        <v>Other (describe here)</v>
      </c>
      <c r="P1859" s="748">
        <f>'Part VI-Revenues &amp; Expenses'!P144</f>
        <v>0</v>
      </c>
    </row>
    <row r="1860" spans="2:16" ht="15.4" customHeight="1">
      <c r="B1860" s="748" t="str">
        <f>'Part VI-Revenues &amp; Expenses'!B145</f>
        <v>Other (describe here)</v>
      </c>
      <c r="F1860" s="748">
        <f>'Part VI-Revenues &amp; Expenses'!F145</f>
        <v>0</v>
      </c>
      <c r="N1860" s="748" t="s">
        <v>199</v>
      </c>
      <c r="P1860" s="748">
        <f>SUM(P1857:P1859)</f>
        <v>46000</v>
      </c>
    </row>
    <row r="1861" spans="2:16" ht="15.4" customHeight="1">
      <c r="C1861" s="748" t="s">
        <v>199</v>
      </c>
      <c r="F1861" s="748">
        <f>SUM(F1857:G1860)</f>
        <v>44000</v>
      </c>
    </row>
    <row r="1862" spans="2:16" ht="9" customHeight="1"/>
    <row r="1863" spans="2:16" ht="13.15" customHeight="1">
      <c r="B1863" s="748" t="s">
        <v>2156</v>
      </c>
      <c r="I1863" s="748" t="s">
        <v>2157</v>
      </c>
      <c r="N1863" s="748" t="s">
        <v>1937</v>
      </c>
      <c r="P1863" s="748">
        <f>IF(OR('Part VII-Pro Forma'!$B$20 = "Choose Mgt Fee",'Part VII-Pro Forma'!$B$20 = "Choose One!"), 0,- 'Part VII-Pro Forma'!$B$20)</f>
        <v>26880</v>
      </c>
    </row>
    <row r="1864" spans="2:16" ht="15.4" customHeight="1">
      <c r="B1864" s="748" t="s">
        <v>2049</v>
      </c>
      <c r="F1864" s="748">
        <f>'Part VI-Revenues &amp; Expenses'!F149</f>
        <v>2500</v>
      </c>
      <c r="I1864" s="748" t="s">
        <v>2522</v>
      </c>
      <c r="K1864" s="748">
        <f>'Part VI-Revenues &amp; Expenses'!K149</f>
        <v>500</v>
      </c>
      <c r="N1864" s="748">
        <f>+P1863/(M1778*0.93)</f>
        <v>451.61290322580641</v>
      </c>
      <c r="O1864" s="748" t="s">
        <v>3959</v>
      </c>
    </row>
    <row r="1865" spans="2:16" ht="15.4" customHeight="1">
      <c r="B1865" s="748" t="s">
        <v>2050</v>
      </c>
      <c r="F1865" s="748">
        <f>'Part VI-Revenues &amp; Expenses'!F150</f>
        <v>2500</v>
      </c>
      <c r="I1865" s="748" t="s">
        <v>3195</v>
      </c>
      <c r="K1865" s="748">
        <f>'Part VI-Revenues &amp; Expenses'!K150</f>
        <v>7000</v>
      </c>
      <c r="N1865" s="748">
        <f>+P1863/(M1778*0.93)/12</f>
        <v>37.634408602150536</v>
      </c>
      <c r="O1865" s="748" t="s">
        <v>3960</v>
      </c>
    </row>
    <row r="1866" spans="2:16" ht="15.4" customHeight="1">
      <c r="B1866" s="748" t="s">
        <v>2051</v>
      </c>
      <c r="F1866" s="748">
        <f>'Part VI-Revenues &amp; Expenses'!F151</f>
        <v>500</v>
      </c>
      <c r="I1866" s="748" t="s">
        <v>2523</v>
      </c>
      <c r="K1866" s="748">
        <f>'Part VI-Revenues &amp; Expenses'!K151</f>
        <v>2000</v>
      </c>
    </row>
    <row r="1867" spans="2:16" ht="15.4" customHeight="1">
      <c r="B1867" s="748" t="s">
        <v>3582</v>
      </c>
      <c r="F1867" s="748">
        <f>'Part VI-Revenues &amp; Expenses'!F152</f>
        <v>0</v>
      </c>
      <c r="I1867" s="748" t="str">
        <f>'Part VI-Revenues &amp; Expenses'!I152</f>
        <v>Other (describe here)</v>
      </c>
      <c r="K1867" s="748">
        <f>'Part VI-Revenues &amp; Expenses'!K152</f>
        <v>0</v>
      </c>
      <c r="N1867" s="748" t="s">
        <v>3762</v>
      </c>
    </row>
    <row r="1868" spans="2:16" ht="15.4" customHeight="1">
      <c r="B1868" s="748" t="s">
        <v>2520</v>
      </c>
      <c r="F1868" s="748">
        <f>'Part VI-Revenues &amp; Expenses'!F153</f>
        <v>2000</v>
      </c>
      <c r="J1868" s="748" t="s">
        <v>199</v>
      </c>
      <c r="K1868" s="748">
        <f>SUM(K1864:K1867)</f>
        <v>9500</v>
      </c>
    </row>
    <row r="1869" spans="2:16" ht="15.4" customHeight="1">
      <c r="B1869" s="748" t="str">
        <f>'Part VI-Revenues &amp; Expenses'!B154</f>
        <v>Other (describe here)</v>
      </c>
      <c r="F1869" s="748">
        <f>'Part VI-Revenues &amp; Expenses'!F154</f>
        <v>0</v>
      </c>
    </row>
    <row r="1870" spans="2:16" ht="15.4" customHeight="1">
      <c r="C1870" s="748" t="s">
        <v>199</v>
      </c>
      <c r="F1870" s="748">
        <f>SUM(F1864:G1869)</f>
        <v>7500</v>
      </c>
    </row>
    <row r="1871" spans="2:16" ht="9" customHeight="1"/>
    <row r="1872" spans="2:16" ht="13.15" customHeight="1">
      <c r="B1872" s="748" t="s">
        <v>2158</v>
      </c>
      <c r="I1872" s="748" t="s">
        <v>2052</v>
      </c>
      <c r="J1872" s="748" t="s">
        <v>3506</v>
      </c>
      <c r="N1872" s="748" t="s">
        <v>3172</v>
      </c>
    </row>
    <row r="1873" spans="1:16" ht="15.4" customHeight="1">
      <c r="B1873" s="748" t="s">
        <v>2524</v>
      </c>
      <c r="F1873" s="748">
        <f>'Part VI-Revenues &amp; Expenses'!F158</f>
        <v>4000</v>
      </c>
      <c r="I1873" s="748" t="s">
        <v>2045</v>
      </c>
      <c r="J1873" s="748" t="e">
        <f>K1873/12/$M$63</f>
        <v>#DIV/0!</v>
      </c>
      <c r="K1873" s="748">
        <f>'Part VI-Revenues &amp; Expenses'!K158</f>
        <v>13000</v>
      </c>
      <c r="N1873" s="748" t="e">
        <f>+$P$158/$M$63</f>
        <v>#DIV/0!</v>
      </c>
      <c r="O1873" s="748" t="s">
        <v>2141</v>
      </c>
      <c r="P1873" s="748">
        <f>F1861+F1870+F1881+K1859+K1868+K1878+P1860+P1863</f>
        <v>193380</v>
      </c>
    </row>
    <row r="1874" spans="1:16" ht="15.4" customHeight="1">
      <c r="B1874" s="748" t="s">
        <v>2525</v>
      </c>
      <c r="F1874" s="748">
        <f>'Part VI-Revenues &amp; Expenses'!F159</f>
        <v>4000</v>
      </c>
      <c r="I1874" s="748" t="s">
        <v>2046</v>
      </c>
      <c r="J1874" s="748" t="e">
        <f>K1874/12/$M$63</f>
        <v>#DIV/0!</v>
      </c>
      <c r="K1874" s="748">
        <f>'Part VI-Revenues &amp; Expenses'!K159</f>
        <v>0</v>
      </c>
    </row>
    <row r="1875" spans="1:16" ht="15.4" customHeight="1">
      <c r="B1875" s="748" t="s">
        <v>2397</v>
      </c>
      <c r="F1875" s="748">
        <f>'Part VI-Revenues &amp; Expenses'!F160</f>
        <v>13000</v>
      </c>
      <c r="I1875" s="748" t="s">
        <v>3505</v>
      </c>
      <c r="J1875" s="748" t="e">
        <f>K1875/12/$M$63</f>
        <v>#DIV/0!</v>
      </c>
      <c r="K1875" s="748">
        <f>'Part VI-Revenues &amp; Expenses'!K160</f>
        <v>4000</v>
      </c>
    </row>
    <row r="1876" spans="1:16" ht="15.4" customHeight="1">
      <c r="B1876" s="748" t="s">
        <v>1634</v>
      </c>
      <c r="F1876" s="748">
        <f>'Part VI-Revenues &amp; Expenses'!F161</f>
        <v>4500</v>
      </c>
      <c r="I1876" s="748" t="s">
        <v>2048</v>
      </c>
      <c r="K1876" s="748">
        <f>'Part VI-Revenues &amp; Expenses'!K161</f>
        <v>7000</v>
      </c>
      <c r="N1876" s="748" t="s">
        <v>2042</v>
      </c>
      <c r="P1876" s="748">
        <f>P1877*M1778</f>
        <v>16000</v>
      </c>
    </row>
    <row r="1877" spans="1:16" ht="15.4" customHeight="1">
      <c r="B1877" s="748" t="s">
        <v>1768</v>
      </c>
      <c r="F1877" s="748">
        <f>'Part VI-Revenues &amp; Expenses'!F162</f>
        <v>3500</v>
      </c>
      <c r="I1877" s="748" t="str">
        <f>'Part VI-Revenues &amp; Expenses'!I162</f>
        <v>Other (describe here)</v>
      </c>
      <c r="K1877" s="748">
        <f>'Part VI-Revenues &amp; Expenses'!K162</f>
        <v>0</v>
      </c>
      <c r="N1877" s="748" t="s">
        <v>708</v>
      </c>
      <c r="P1877" s="748">
        <f>'Part VI-Revenues &amp; Expenses'!P162</f>
        <v>250</v>
      </c>
    </row>
    <row r="1878" spans="1:16" ht="15.4" customHeight="1">
      <c r="B1878" s="748" t="s">
        <v>1852</v>
      </c>
      <c r="F1878" s="748">
        <f>'Part VI-Revenues &amp; Expenses'!F163</f>
        <v>4000</v>
      </c>
      <c r="J1878" s="748" t="s">
        <v>199</v>
      </c>
      <c r="K1878" s="748">
        <f>SUM(K1873:K1877)</f>
        <v>24000</v>
      </c>
    </row>
    <row r="1879" spans="1:16" ht="15.4" customHeight="1">
      <c r="B1879" s="748" t="s">
        <v>1472</v>
      </c>
      <c r="F1879" s="748">
        <f>'Part VI-Revenues &amp; Expenses'!F164</f>
        <v>2500</v>
      </c>
    </row>
    <row r="1880" spans="1:16" ht="15.4" customHeight="1">
      <c r="B1880" s="748" t="str">
        <f>'Part VI-Revenues &amp; Expenses'!B165</f>
        <v>Other (describe here)</v>
      </c>
      <c r="F1880" s="748">
        <f>'Part VI-Revenues &amp; Expenses'!F165</f>
        <v>0</v>
      </c>
      <c r="N1880" s="748" t="s">
        <v>3173</v>
      </c>
    </row>
    <row r="1881" spans="1:16" ht="15.4" customHeight="1">
      <c r="C1881" s="748" t="s">
        <v>199</v>
      </c>
      <c r="F1881" s="748">
        <f>SUM(F1873:G1880)</f>
        <v>35500</v>
      </c>
      <c r="P1881" s="748">
        <f>P1873+P1876</f>
        <v>209380</v>
      </c>
    </row>
    <row r="1882" spans="1:16" ht="10.9" customHeight="1"/>
    <row r="1883" spans="1:16" ht="12" customHeight="1">
      <c r="A1883" s="748" t="s">
        <v>2952</v>
      </c>
      <c r="B1883" s="748" t="s">
        <v>953</v>
      </c>
      <c r="K1883" s="748" t="s">
        <v>973</v>
      </c>
      <c r="L1883" s="748" t="s">
        <v>3042</v>
      </c>
    </row>
    <row r="1884" spans="1:16" ht="51.4" customHeight="1">
      <c r="A1884" s="748" t="str">
        <f>'Part VI-Revenues &amp; Expenses'!A169</f>
        <v>As Tower Management Company is proposed owner/developer/manager, management fee of $35 per unit per month is consistent with that quoted to and/or charged to third party unrelated developers.</v>
      </c>
      <c r="K1884" s="748">
        <f>'Part VI-Revenues &amp; Expenses'!K169</f>
        <v>0</v>
      </c>
    </row>
    <row r="1885" spans="1:16" ht="51.4" customHeight="1">
      <c r="A1885" s="748" t="str">
        <f>'Part VI-Revenues &amp; Expenses'!A170</f>
        <v>Insurance calculation consistent with Tower Management Company's average insurance cost per unit of $200 per unit, which yields a value of $12,749 on 64 units, rounded up to $13,000.  Accounting expense based on Tower Management Company, Inc. comp data included in tab 8.  This data suggests accounting expense of $6,558, which has been rounded up to $7K, with documentation also included in tab 8.</v>
      </c>
      <c r="K1885" s="748">
        <f>'Part VI-Revenues &amp; Expenses'!K170</f>
        <v>0</v>
      </c>
    </row>
    <row r="1886" spans="1:16" ht="51.4" customHeight="1">
      <c r="A1886" s="748" t="str">
        <f>'Part VI-Revenues &amp; Expenses'!A171</f>
        <v>Rent limits used in part I above are based off of the lower tax credit rents and FMR's per the most recent data available. Gross rents used are well below max gross rent and should not be affected by any changes to program rents from 2010 to 2011.</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2011-028 Endeavor Pointe, ,  County</v>
      </c>
    </row>
    <row r="1891" spans="1:11">
      <c r="A1891" s="748" t="s">
        <v>334</v>
      </c>
      <c r="D1891" s="748" t="s">
        <v>225</v>
      </c>
      <c r="F1891" s="748" t="s">
        <v>4132</v>
      </c>
    </row>
    <row r="1893" spans="1:11">
      <c r="A1893" s="748" t="s">
        <v>3174</v>
      </c>
      <c r="B1893" s="748">
        <v>0.02</v>
      </c>
      <c r="D1893" s="748" t="s">
        <v>1358</v>
      </c>
      <c r="G1893" s="748">
        <f>'Part VII-Pro Forma'!G5</f>
        <v>0</v>
      </c>
      <c r="H1893" s="748" t="s">
        <v>3156</v>
      </c>
      <c r="K1893" s="748" t="str">
        <f>IF(($B$14+$B$15+$B$16+$B$17)=0,"",-B1918/($B$14+$B$15+$B$16+$B$17))</f>
        <v/>
      </c>
    </row>
    <row r="1894" spans="1:11">
      <c r="A1894" s="748" t="s">
        <v>3175</v>
      </c>
      <c r="B1894" s="748">
        <v>0.03</v>
      </c>
      <c r="D1894" s="748" t="s">
        <v>1359</v>
      </c>
      <c r="G1894" s="748">
        <f>'Part VII-Pro Forma'!G6</f>
        <v>0</v>
      </c>
      <c r="H1894" s="748" t="s">
        <v>3687</v>
      </c>
      <c r="K1894" s="748" t="str">
        <f>IF(($B$14+$B$15+$B$16+$B$17)=0,"",-B1920/($B$14+$B$15+$B$16+$B$17))</f>
        <v/>
      </c>
    </row>
    <row r="1895" spans="1:11">
      <c r="A1895" s="748" t="s">
        <v>3177</v>
      </c>
      <c r="B1895" s="748">
        <v>0.03</v>
      </c>
      <c r="D1895" s="748" t="s">
        <v>391</v>
      </c>
      <c r="H1895" s="748" t="s">
        <v>3688</v>
      </c>
      <c r="K1895" s="748" t="str">
        <f>IF(($B$14+$B$15+$B$16+$B$17)=0,"",-B1908/($B$14+$B$15+$B$16+$B$17))</f>
        <v/>
      </c>
    </row>
    <row r="1896" spans="1:11">
      <c r="A1896" s="748" t="s">
        <v>3176</v>
      </c>
      <c r="B1896" s="748">
        <f>'Part VII-Pro Forma'!B8</f>
        <v>7.0000000000000007E-2</v>
      </c>
      <c r="D1896" s="748" t="s">
        <v>3893</v>
      </c>
      <c r="G1896" s="748" t="str">
        <f>'Part VII-Pro Forma'!G8</f>
        <v>Yes</v>
      </c>
      <c r="H1896" s="748" t="s">
        <v>2207</v>
      </c>
      <c r="K1896" s="748">
        <f>'Part VII-Pro Forma'!K8</f>
        <v>26880</v>
      </c>
    </row>
    <row r="1897" spans="1:11">
      <c r="A1897" s="748" t="s">
        <v>1993</v>
      </c>
      <c r="B1897" s="748">
        <v>0.02</v>
      </c>
      <c r="D1897" s="748" t="s">
        <v>2604</v>
      </c>
      <c r="G1897" s="748">
        <f>'Part VII-Pro Forma'!G9</f>
        <v>0</v>
      </c>
      <c r="H1897" s="748" t="s">
        <v>3663</v>
      </c>
      <c r="K1897" s="748">
        <f>'Part VII-Pro Forma'!K9</f>
        <v>0</v>
      </c>
    </row>
    <row r="1899" spans="1:11">
      <c r="A1899" s="748" t="s">
        <v>149</v>
      </c>
    </row>
    <row r="1901" spans="1:11">
      <c r="A1901" s="748" t="s">
        <v>3865</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3760</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1965</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3655</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302</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303</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1124</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1756</v>
      </c>
      <c r="B1908" s="748">
        <f>IF(AND('Part VII-Pro Forma'!$G$8="Yes",'Part VII-Pro Forma'!$G$9="Yes"),"Choose One!",IF('Part VII-Pro Forma'!$G$8="Yes",ROUND((-$K$8*(1+'Part VII-Pro Forma'!$B$6)^('Part VII-Pro Forma'!B1897-1)),),IF('Part VII-Pro Forma'!$G$9="Yes",ROUND((-(SUM(B1902:B1905)*'Part VII-Pro Forma'!$K$9)),),"Choose mgt fee")))</f>
        <v>0</v>
      </c>
      <c r="C1908" s="748">
        <f>IF(AND('Part VII-Pro Forma'!$G$8="Yes",'Part VII-Pro Forma'!$G$9="Yes"),"Choose One!",IF('Part VII-Pro Forma'!$G$8="Yes",ROUND((-$K$8*(1+'Part VII-Pro Forma'!$B$6)^('Part VII-Pro Forma'!C1897-1)),),IF('Part VII-Pro Forma'!$G$9="Yes",ROUND((-(SUM(C1902:C1905)*'Part VII-Pro Forma'!$K$9)),),"Choose mgt fee")))</f>
        <v>0</v>
      </c>
      <c r="D1908" s="748">
        <f>IF(AND('Part VII-Pro Forma'!$G$8="Yes",'Part VII-Pro Forma'!$G$9="Yes"),"Choose One!",IF('Part VII-Pro Forma'!$G$8="Yes",ROUND((-$K$8*(1+'Part VII-Pro Forma'!$B$6)^('Part VII-Pro Forma'!D1897-1)),),IF('Part VII-Pro Forma'!$G$9="Yes",ROUND((-(SUM(D1902:D1905)*'Part VII-Pro Forma'!$K$9)),),"Choose mgt fee")))</f>
        <v>0</v>
      </c>
      <c r="E1908" s="748">
        <f>IF(AND('Part VII-Pro Forma'!$G$8="Yes",'Part VII-Pro Forma'!$G$9="Yes"),"Choose One!",IF('Part VII-Pro Forma'!$G$8="Yes",ROUND((-$K$8*(1+'Part VII-Pro Forma'!$B$6)^('Part VII-Pro Forma'!E1897-1)),),IF('Part VII-Pro Forma'!$G$9="Yes",ROUND((-(SUM(E1902:E1905)*'Part VII-Pro Forma'!$K$9)),),"Choose mgt fee")))</f>
        <v>0</v>
      </c>
      <c r="F1908" s="748">
        <f>IF(AND('Part VII-Pro Forma'!$G$8="Yes",'Part VII-Pro Forma'!$G$9="Yes"),"Choose One!",IF('Part VII-Pro Forma'!$G$8="Yes",ROUND((-$K$8*(1+'Part VII-Pro Forma'!$B$6)^('Part VII-Pro Forma'!F1897-1)),),IF('Part VII-Pro Forma'!$G$9="Yes",ROUND((-(SUM(F1902:F1905)*'Part VII-Pro Forma'!$K$9)),),"Choose mgt fee")))</f>
        <v>0</v>
      </c>
      <c r="G1908" s="748">
        <f>IF(AND('Part VII-Pro Forma'!$G$8="Yes",'Part VII-Pro Forma'!$G$9="Yes"),"Choose One!",IF('Part VII-Pro Forma'!$G$8="Yes",ROUND((-$K$8*(1+'Part VII-Pro Forma'!$B$6)^('Part VII-Pro Forma'!G1897-1)),),IF('Part VII-Pro Forma'!$G$9="Yes",ROUND((-(SUM(G1902:G1905)*'Part VII-Pro Forma'!$K$9)),),"Choose mgt fee")))</f>
        <v>0</v>
      </c>
      <c r="H1908" s="748">
        <f>IF(AND('Part VII-Pro Forma'!$G$8="Yes",'Part VII-Pro Forma'!$G$9="Yes"),"Choose One!",IF('Part VII-Pro Forma'!$G$8="Yes",ROUND((-$K$8*(1+'Part VII-Pro Forma'!$B$6)^('Part VII-Pro Forma'!H1897-1)),),IF('Part VII-Pro Forma'!$G$9="Yes",ROUND((-(SUM(H1902:H1905)*'Part VII-Pro Forma'!$K$9)),),"Choose mgt fee")))</f>
        <v>0</v>
      </c>
      <c r="I1908" s="748">
        <f>IF(AND('Part VII-Pro Forma'!$G$8="Yes",'Part VII-Pro Forma'!$G$9="Yes"),"Choose One!",IF('Part VII-Pro Forma'!$G$8="Yes",ROUND((-$K$8*(1+'Part VII-Pro Forma'!$B$6)^('Part VII-Pro Forma'!I1897-1)),),IF('Part VII-Pro Forma'!$G$9="Yes",ROUND((-(SUM(I1902:I1905)*'Part VII-Pro Forma'!$K$9)),),"Choose mgt fee")))</f>
        <v>0</v>
      </c>
      <c r="J1908" s="748">
        <f>IF(AND('Part VII-Pro Forma'!$G$8="Yes",'Part VII-Pro Forma'!$G$9="Yes"),"Choose One!",IF('Part VII-Pro Forma'!$G$8="Yes",ROUND((-$K$8*(1+'Part VII-Pro Forma'!$B$6)^('Part VII-Pro Forma'!J1897-1)),),IF('Part VII-Pro Forma'!$G$9="Yes",ROUND((-(SUM(J1902:J1905)*'Part VII-Pro Forma'!$K$9)),),"Choose mgt fee")))</f>
        <v>0</v>
      </c>
      <c r="K1908" s="748">
        <f>IF(AND('Part VII-Pro Forma'!$G$8="Yes",'Part VII-Pro Forma'!$G$9="Yes"),"Choose One!",IF('Part VII-Pro Forma'!$G$8="Yes",ROUND((-$K$8*(1+'Part VII-Pro Forma'!$B$6)^('Part VII-Pro Forma'!K1897-1)),),IF('Part VII-Pro Forma'!$G$9="Yes",ROUND((-(SUM(K1902:K1905)*'Part VII-Pro Forma'!$K$9)),),"Choose mgt fee")))</f>
        <v>0</v>
      </c>
    </row>
    <row r="1909" spans="1:11">
      <c r="A1909" s="748" t="s">
        <v>2122</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2123</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-39000</v>
      </c>
      <c r="C1913" s="748">
        <f>'Part VII-Pro Forma'!C25</f>
        <v>-38500</v>
      </c>
      <c r="D1913" s="748">
        <f>'Part VII-Pro Forma'!D25</f>
        <v>-37500</v>
      </c>
      <c r="E1913" s="748">
        <f>'Part VII-Pro Forma'!E25</f>
        <v>-36250</v>
      </c>
      <c r="F1913" s="748">
        <f>'Part VII-Pro Forma'!F25</f>
        <v>-35250</v>
      </c>
      <c r="G1913" s="748">
        <f>'Part VII-Pro Forma'!G25</f>
        <v>-34000</v>
      </c>
      <c r="H1913" s="748">
        <f>'Part VII-Pro Forma'!H25</f>
        <v>-32500</v>
      </c>
      <c r="I1913" s="748">
        <f>'Part VII-Pro Forma'!I25</f>
        <v>-31000</v>
      </c>
      <c r="J1913" s="748">
        <f>'Part VII-Pro Forma'!J25</f>
        <v>-29500</v>
      </c>
      <c r="K1913" s="748">
        <f>'Part VII-Pro Forma'!K25</f>
        <v>-28000</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1355</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862</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1336</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2033</v>
      </c>
      <c r="B1918" s="748">
        <f>'Part VII-Pro Forma'!B30</f>
        <v>0</v>
      </c>
      <c r="C1918" s="748">
        <f>'Part VII-Pro Forma'!C30</f>
        <v>0</v>
      </c>
      <c r="D1918" s="748">
        <f>'Part VII-Pro Forma'!D30</f>
        <v>0</v>
      </c>
      <c r="E1918" s="748">
        <f>'Part VII-Pro Forma'!E30</f>
        <v>0</v>
      </c>
      <c r="F1918" s="748">
        <f>'Part VII-Pro Forma'!F30</f>
        <v>0</v>
      </c>
      <c r="G1918" s="748">
        <f>'Part VII-Pro Forma'!G30</f>
        <v>0</v>
      </c>
      <c r="H1918" s="748">
        <f>'Part VII-Pro Forma'!H30</f>
        <v>0</v>
      </c>
      <c r="I1918" s="748">
        <f>'Part VII-Pro Forma'!I30</f>
        <v>0</v>
      </c>
      <c r="J1918" s="748">
        <f>'Part VII-Pro Forma'!J30</f>
        <v>0</v>
      </c>
      <c r="K1918" s="748">
        <f>'Part VII-Pro Forma'!K30</f>
        <v>0</v>
      </c>
    </row>
    <row r="1919" spans="1:11">
      <c r="A1919" s="748" t="s">
        <v>2124</v>
      </c>
      <c r="B1919" s="748">
        <f>'Part VII-Pro Forma'!B31</f>
        <v>-7750</v>
      </c>
      <c r="C1919" s="748">
        <f>'Part VII-Pro Forma'!C31</f>
        <v>-7000</v>
      </c>
      <c r="D1919" s="748">
        <f>'Part VII-Pro Forma'!D31</f>
        <v>-7000</v>
      </c>
      <c r="E1919" s="748">
        <f>'Part VII-Pro Forma'!E31</f>
        <v>-7000</v>
      </c>
      <c r="F1919" s="748">
        <f>'Part VII-Pro Forma'!F31</f>
        <v>-6500</v>
      </c>
      <c r="G1919" s="748">
        <f>'Part VII-Pro Forma'!G31</f>
        <v>-6250</v>
      </c>
      <c r="H1919" s="748">
        <f>'Part VII-Pro Forma'!H31</f>
        <v>-6100</v>
      </c>
      <c r="I1919" s="748">
        <f>'Part VII-Pro Forma'!I31</f>
        <v>-2886.5</v>
      </c>
      <c r="J1919" s="748">
        <f>'Part VII-Pro Forma'!J31</f>
        <v>0</v>
      </c>
      <c r="K1919" s="748">
        <f>'Part VII-Pro Forma'!K31</f>
        <v>0</v>
      </c>
    </row>
    <row r="1920" spans="1:11">
      <c r="A1920" s="748" t="s">
        <v>2034</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2035</v>
      </c>
      <c r="B1921" s="748">
        <f t="shared" ref="B1921:K1921" si="330">SUM(B1910:B1920)</f>
        <v>-46750</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1356</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1356</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1544</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1577000</v>
      </c>
      <c r="C1930" s="748">
        <f>'Part VII-Pro Forma'!C42</f>
        <v>1554500</v>
      </c>
      <c r="D1930" s="748">
        <f>'Part VII-Pro Forma'!D42</f>
        <v>1533000</v>
      </c>
      <c r="E1930" s="748">
        <f>'Part VII-Pro Forma'!E42</f>
        <v>1512750</v>
      </c>
      <c r="F1930" s="748">
        <f>'Part VII-Pro Forma'!F42</f>
        <v>1493500</v>
      </c>
      <c r="G1930" s="748">
        <f>'Part VII-Pro Forma'!G42</f>
        <v>1475500</v>
      </c>
      <c r="H1930" s="748">
        <f>'Part VII-Pro Forma'!H42</f>
        <v>1459000</v>
      </c>
      <c r="I1930" s="748">
        <f>'Part VII-Pro Forma'!I42</f>
        <v>1436000</v>
      </c>
      <c r="J1930" s="748">
        <f>'Part VII-Pro Forma'!J42</f>
        <v>1414500</v>
      </c>
      <c r="K1930" s="748">
        <f>'Part VII-Pro Forma'!K42</f>
        <v>1394500</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1357</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1357</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1880</v>
      </c>
      <c r="B1934" s="748">
        <f>'Part VII-Pro Forma'!B46</f>
        <v>42736.5</v>
      </c>
      <c r="C1934" s="748">
        <f>'Part VII-Pro Forma'!C46</f>
        <v>35736.5</v>
      </c>
      <c r="D1934" s="748">
        <f>'Part VII-Pro Forma'!D46</f>
        <v>28736.5</v>
      </c>
      <c r="E1934" s="748">
        <f>'Part VII-Pro Forma'!E46</f>
        <v>21736.5</v>
      </c>
      <c r="F1934" s="748">
        <f>'Part VII-Pro Forma'!F46</f>
        <v>15236.5</v>
      </c>
      <c r="G1934" s="748">
        <f>'Part VII-Pro Forma'!G46</f>
        <v>8986.5</v>
      </c>
      <c r="H1934" s="748">
        <f>'Part VII-Pro Forma'!H46</f>
        <v>2886.5</v>
      </c>
      <c r="I1934" s="748">
        <f>'Part VII-Pro Forma'!I46</f>
        <v>0</v>
      </c>
      <c r="J1934" s="748">
        <f>'Part VII-Pro Forma'!J46</f>
        <v>0</v>
      </c>
      <c r="K1934" s="748">
        <f>'Part VII-Pro Forma'!K46</f>
        <v>0</v>
      </c>
    </row>
    <row r="1936" spans="1:11">
      <c r="A1936" s="748" t="s">
        <v>3865</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3760</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1965</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3655</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302</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303</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1124</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1756</v>
      </c>
      <c r="B1943" s="748">
        <f>IF(AND('Part VII-Pro Forma'!$G$8="Yes",'Part VII-Pro Forma'!$G$9="Yes"),"Choose One!",IF('Part VII-Pro Forma'!$G$8="Yes",ROUND((-$K$8*(1+'Part VII-Pro Forma'!$B$6)^('Part VII-Pro Forma'!B1932-1)),),IF('Part VII-Pro Forma'!$G$9="Yes",ROUND((-(SUM(B1937:B1940)*'Part VII-Pro Forma'!$K$9)),),"Choose mgt fee")))</f>
        <v>0</v>
      </c>
      <c r="C1943" s="748">
        <f>IF(AND('Part VII-Pro Forma'!$G$8="Yes",'Part VII-Pro Forma'!$G$9="Yes"),"Choose One!",IF('Part VII-Pro Forma'!$G$8="Yes",ROUND((-$K$8*(1+'Part VII-Pro Forma'!$B$6)^('Part VII-Pro Forma'!C1932-1)),),IF('Part VII-Pro Forma'!$G$9="Yes",ROUND((-(SUM(C1937:C1940)*'Part VII-Pro Forma'!$K$9)),),"Choose mgt fee")))</f>
        <v>0</v>
      </c>
      <c r="D1943" s="748">
        <f>IF(AND('Part VII-Pro Forma'!$G$8="Yes",'Part VII-Pro Forma'!$G$9="Yes"),"Choose One!",IF('Part VII-Pro Forma'!$G$8="Yes",ROUND((-$K$8*(1+'Part VII-Pro Forma'!$B$6)^('Part VII-Pro Forma'!D1932-1)),),IF('Part VII-Pro Forma'!$G$9="Yes",ROUND((-(SUM(D1937:D1940)*'Part VII-Pro Forma'!$K$9)),),"Choose mgt fee")))</f>
        <v>0</v>
      </c>
      <c r="E1943" s="748">
        <f>IF(AND('Part VII-Pro Forma'!$G$8="Yes",'Part VII-Pro Forma'!$G$9="Yes"),"Choose One!",IF('Part VII-Pro Forma'!$G$8="Yes",ROUND((-$K$8*(1+'Part VII-Pro Forma'!$B$6)^('Part VII-Pro Forma'!E1932-1)),),IF('Part VII-Pro Forma'!$G$9="Yes",ROUND((-(SUM(E1937:E1940)*'Part VII-Pro Forma'!$K$9)),),"Choose mgt fee")))</f>
        <v>0</v>
      </c>
      <c r="F1943" s="748">
        <f>IF(AND('Part VII-Pro Forma'!$G$8="Yes",'Part VII-Pro Forma'!$G$9="Yes"),"Choose One!",IF('Part VII-Pro Forma'!$G$8="Yes",ROUND((-$K$8*(1+'Part VII-Pro Forma'!$B$6)^('Part VII-Pro Forma'!F1932-1)),),IF('Part VII-Pro Forma'!$G$9="Yes",ROUND((-(SUM(F1937:F1940)*'Part VII-Pro Forma'!$K$9)),),"Choose mgt fee")))</f>
        <v>0</v>
      </c>
      <c r="G1943" s="748">
        <f>IF(AND('Part VII-Pro Forma'!$G$8="Yes",'Part VII-Pro Forma'!$G$9="Yes"),"Choose One!",IF('Part VII-Pro Forma'!$G$8="Yes",ROUND((-$K$8*(1+'Part VII-Pro Forma'!$B$6)^('Part VII-Pro Forma'!G1932-1)),),IF('Part VII-Pro Forma'!$G$9="Yes",ROUND((-(SUM(G1937:G1940)*'Part VII-Pro Forma'!$K$9)),),"Choose mgt fee")))</f>
        <v>0</v>
      </c>
      <c r="H1943" s="748">
        <f>IF(AND('Part VII-Pro Forma'!$G$8="Yes",'Part VII-Pro Forma'!$G$9="Yes"),"Choose One!",IF('Part VII-Pro Forma'!$G$8="Yes",ROUND((-$K$8*(1+'Part VII-Pro Forma'!$B$6)^('Part VII-Pro Forma'!H1932-1)),),IF('Part VII-Pro Forma'!$G$9="Yes",ROUND((-(SUM(H1937:H1940)*'Part VII-Pro Forma'!$K$9)),),"Choose mgt fee")))</f>
        <v>0</v>
      </c>
      <c r="I1943" s="748">
        <f>IF(AND('Part VII-Pro Forma'!$G$8="Yes",'Part VII-Pro Forma'!$G$9="Yes"),"Choose One!",IF('Part VII-Pro Forma'!$G$8="Yes",ROUND((-$K$8*(1+'Part VII-Pro Forma'!$B$6)^('Part VII-Pro Forma'!I1932-1)),),IF('Part VII-Pro Forma'!$G$9="Yes",ROUND((-(SUM(I1937:I1940)*'Part VII-Pro Forma'!$K$9)),),"Choose mgt fee")))</f>
        <v>0</v>
      </c>
      <c r="J1943" s="748">
        <f>IF(AND('Part VII-Pro Forma'!$G$8="Yes",'Part VII-Pro Forma'!$G$9="Yes"),"Choose One!",IF('Part VII-Pro Forma'!$G$8="Yes",ROUND((-$K$8*(1+'Part VII-Pro Forma'!$B$6)^('Part VII-Pro Forma'!J1932-1)),),IF('Part VII-Pro Forma'!$G$9="Yes",ROUND((-(SUM(J1937:J1940)*'Part VII-Pro Forma'!$K$9)),),"Choose mgt fee")))</f>
        <v>0</v>
      </c>
      <c r="K1943" s="748">
        <f>IF(AND('Part VII-Pro Forma'!$G$8="Yes",'Part VII-Pro Forma'!$G$9="Yes"),"Choose One!",IF('Part VII-Pro Forma'!$G$8="Yes",ROUND((-$K$8*(1+'Part VII-Pro Forma'!$B$6)^('Part VII-Pro Forma'!K1932-1)),),IF('Part VII-Pro Forma'!$G$9="Yes",ROUND((-(SUM(K1937:K1940)*'Part VII-Pro Forma'!$K$9)),),"Choose mgt fee")))</f>
        <v>0</v>
      </c>
    </row>
    <row r="1944" spans="1:11">
      <c r="A1944" s="748" t="s">
        <v>2122</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2123</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-26250</v>
      </c>
      <c r="C1948" s="748">
        <f>'Part VII-Pro Forma'!C60</f>
        <v>-24500</v>
      </c>
      <c r="D1948" s="748">
        <f>'Part VII-Pro Forma'!D60</f>
        <v>-22500</v>
      </c>
      <c r="E1948" s="748">
        <f>'Part VII-Pro Forma'!E60</f>
        <v>-20500</v>
      </c>
      <c r="F1948" s="748">
        <f>'Part VII-Pro Forma'!F60</f>
        <v>-18250</v>
      </c>
      <c r="G1948" s="748">
        <f>'Part VII-Pro Forma'!G60</f>
        <v>-16000</v>
      </c>
      <c r="H1948" s="748">
        <f>'Part VII-Pro Forma'!H60</f>
        <v>-13700</v>
      </c>
      <c r="I1948" s="748">
        <f>'Part VII-Pro Forma'!I60</f>
        <v>-11200</v>
      </c>
      <c r="J1948" s="748">
        <f>'Part VII-Pro Forma'!J60</f>
        <v>-8500</v>
      </c>
      <c r="K1948" s="748">
        <f>'Part VII-Pro Forma'!K60</f>
        <v>-5800</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1336</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2033</v>
      </c>
      <c r="B1953" s="748">
        <f>'Part VII-Pro Forma'!B65</f>
        <v>0</v>
      </c>
      <c r="C1953" s="748">
        <f>'Part VII-Pro Forma'!C65</f>
        <v>0</v>
      </c>
      <c r="D1953" s="748">
        <f>'Part VII-Pro Forma'!D65</f>
        <v>0</v>
      </c>
      <c r="E1953" s="748">
        <f>'Part VII-Pro Forma'!E65</f>
        <v>0</v>
      </c>
      <c r="F1953" s="748">
        <f>'Part VII-Pro Forma'!F65</f>
        <v>0</v>
      </c>
      <c r="G1953" s="748">
        <f>'Part VII-Pro Forma'!G65</f>
        <v>0</v>
      </c>
      <c r="H1953" s="748">
        <f>'Part VII-Pro Forma'!H65</f>
        <v>0</v>
      </c>
      <c r="I1953" s="748">
        <f>'Part VII-Pro Forma'!I65</f>
        <v>0</v>
      </c>
      <c r="J1953" s="748">
        <f>'Part VII-Pro Forma'!J65</f>
        <v>0</v>
      </c>
      <c r="K1953" s="748">
        <f>'Part VII-Pro Forma'!K65</f>
        <v>0</v>
      </c>
    </row>
    <row r="1954" spans="1:11">
      <c r="A1954" s="748" t="s">
        <v>2124</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2034</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2035</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1544</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1376250</v>
      </c>
      <c r="C1965" s="748">
        <f>'Part VII-Pro Forma'!C77</f>
        <v>1359750</v>
      </c>
      <c r="D1965" s="748">
        <f>'Part VII-Pro Forma'!D77</f>
        <v>1345250</v>
      </c>
      <c r="E1965" s="748">
        <f>'Part VII-Pro Forma'!E77</f>
        <v>1332750</v>
      </c>
      <c r="F1965" s="748">
        <f>'Part VII-Pro Forma'!F77</f>
        <v>1322500</v>
      </c>
      <c r="G1965" s="748">
        <f>'Part VII-Pro Forma'!G77</f>
        <v>1310500</v>
      </c>
      <c r="H1965" s="748">
        <f>'Part VII-Pro Forma'!H77</f>
        <v>1300800</v>
      </c>
      <c r="I1965" s="748">
        <f>'Part VII-Pro Forma'!I77</f>
        <v>1293600</v>
      </c>
      <c r="J1965" s="748">
        <f>'Part VII-Pro Forma'!J77</f>
        <v>1289100</v>
      </c>
      <c r="K1965" s="748">
        <f>'Part VII-Pro Forma'!K77</f>
        <v>1287300</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1357</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1357</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1880</v>
      </c>
      <c r="B1969" s="748">
        <f>'Part VII-Pro Forma'!B81</f>
        <v>0</v>
      </c>
      <c r="C1969" s="748">
        <f>'Part VII-Pro Forma'!C81</f>
        <v>0</v>
      </c>
      <c r="D1969" s="748">
        <f>'Part VII-Pro Forma'!D81</f>
        <v>0</v>
      </c>
      <c r="E1969" s="748">
        <f>'Part VII-Pro Forma'!E81</f>
        <v>0</v>
      </c>
      <c r="F1969" s="748">
        <f>'Part VII-Pro Forma'!F81</f>
        <v>0</v>
      </c>
      <c r="G1969" s="748">
        <f>'Part VII-Pro Forma'!G81</f>
        <v>0</v>
      </c>
      <c r="H1969" s="748">
        <f>'Part VII-Pro Forma'!H81</f>
        <v>0</v>
      </c>
      <c r="I1969" s="748">
        <f>'Part VII-Pro Forma'!I81</f>
        <v>0</v>
      </c>
      <c r="J1969" s="748">
        <f>'Part VII-Pro Forma'!J81</f>
        <v>0</v>
      </c>
      <c r="K1969" s="748">
        <f>'Part VII-Pro Forma'!K81</f>
        <v>0</v>
      </c>
    </row>
    <row r="1971" spans="1:11">
      <c r="A1971" s="748" t="s">
        <v>3865</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3760</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1965</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3655</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302</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303</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1124</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1756</v>
      </c>
      <c r="B1978" s="748">
        <f>IF(AND('Part VII-Pro Forma'!$G$8="Yes",'Part VII-Pro Forma'!$G$9="Yes"),"Choose One!",IF('Part VII-Pro Forma'!$G$8="Yes",ROUND((-$K$8*(1+'Part VII-Pro Forma'!$B$6)^('Part VII-Pro Forma'!B1967-1)),),IF('Part VII-Pro Forma'!$G$9="Yes",ROUND((-(SUM(B1972:B1975)*'Part VII-Pro Forma'!$K$9)),),"Choose mgt fee")))</f>
        <v>0</v>
      </c>
      <c r="C1978" s="748">
        <f>IF(AND('Part VII-Pro Forma'!$G$8="Yes",'Part VII-Pro Forma'!$G$9="Yes"),"Choose One!",IF('Part VII-Pro Forma'!$G$8="Yes",ROUND((-$K$8*(1+'Part VII-Pro Forma'!$B$6)^('Part VII-Pro Forma'!C1967-1)),),IF('Part VII-Pro Forma'!$G$9="Yes",ROUND((-(SUM(C1972:C1975)*'Part VII-Pro Forma'!$K$9)),),"Choose mgt fee")))</f>
        <v>0</v>
      </c>
      <c r="D1978" s="748">
        <f>IF(AND('Part VII-Pro Forma'!$G$8="Yes",'Part VII-Pro Forma'!$G$9="Yes"),"Choose One!",IF('Part VII-Pro Forma'!$G$8="Yes",ROUND((-$K$8*(1+'Part VII-Pro Forma'!$B$6)^('Part VII-Pro Forma'!D1967-1)),),IF('Part VII-Pro Forma'!$G$9="Yes",ROUND((-(SUM(D1972:D1975)*'Part VII-Pro Forma'!$K$9)),),"Choose mgt fee")))</f>
        <v>0</v>
      </c>
      <c r="E1978" s="748">
        <f>IF(AND('Part VII-Pro Forma'!$G$8="Yes",'Part VII-Pro Forma'!$G$9="Yes"),"Choose One!",IF('Part VII-Pro Forma'!$G$8="Yes",ROUND((-$K$8*(1+'Part VII-Pro Forma'!$B$6)^('Part VII-Pro Forma'!E1967-1)),),IF('Part VII-Pro Forma'!$G$9="Yes",ROUND((-(SUM(E1972:E1975)*'Part VII-Pro Forma'!$K$9)),),"Choose mgt fee")))</f>
        <v>0</v>
      </c>
      <c r="F1978" s="748">
        <f>IF(AND('Part VII-Pro Forma'!$G$8="Yes",'Part VII-Pro Forma'!$G$9="Yes"),"Choose One!",IF('Part VII-Pro Forma'!$G$8="Yes",ROUND((-$K$8*(1+'Part VII-Pro Forma'!$B$6)^('Part VII-Pro Forma'!F1967-1)),),IF('Part VII-Pro Forma'!$G$9="Yes",ROUND((-(SUM(F1972:F1975)*'Part VII-Pro Forma'!$K$9)),),"Choose mgt fee")))</f>
        <v>0</v>
      </c>
      <c r="G1978" s="748">
        <f>IF(AND('Part VII-Pro Forma'!$G$8="Yes",'Part VII-Pro Forma'!$G$9="Yes"),"Choose One!",IF('Part VII-Pro Forma'!$G$8="Yes",ROUND((-$K$8*(1+'Part VII-Pro Forma'!$B$6)^('Part VII-Pro Forma'!G1967-1)),),IF('Part VII-Pro Forma'!$G$9="Yes",ROUND((-(SUM(G1972:G1975)*'Part VII-Pro Forma'!$K$9)),),"Choose mgt fee")))</f>
        <v>0</v>
      </c>
      <c r="H1978" s="748">
        <f>IF(AND('Part VII-Pro Forma'!$G$8="Yes",'Part VII-Pro Forma'!$G$9="Yes"),"Choose One!",IF('Part VII-Pro Forma'!$G$8="Yes",ROUND((-$K$8*(1+'Part VII-Pro Forma'!$B$6)^('Part VII-Pro Forma'!H1967-1)),),IF('Part VII-Pro Forma'!$G$9="Yes",ROUND((-(SUM(H1972:H1975)*'Part VII-Pro Forma'!$K$9)),),"Choose mgt fee")))</f>
        <v>0</v>
      </c>
      <c r="I1978" s="748">
        <f>IF(AND('Part VII-Pro Forma'!$G$8="Yes",'Part VII-Pro Forma'!$G$9="Yes"),"Choose One!",IF('Part VII-Pro Forma'!$G$8="Yes",ROUND((-$K$8*(1+'Part VII-Pro Forma'!$B$6)^('Part VII-Pro Forma'!I1967-1)),),IF('Part VII-Pro Forma'!$G$9="Yes",ROUND((-(SUM(I1972:I1975)*'Part VII-Pro Forma'!$K$9)),),"Choose mgt fee")))</f>
        <v>0</v>
      </c>
      <c r="J1978" s="748">
        <f>IF(AND('Part VII-Pro Forma'!$G$8="Yes",'Part VII-Pro Forma'!$G$9="Yes"),"Choose One!",IF('Part VII-Pro Forma'!$G$8="Yes",ROUND((-$K$8*(1+'Part VII-Pro Forma'!$B$6)^('Part VII-Pro Forma'!J1967-1)),),IF('Part VII-Pro Forma'!$G$9="Yes",ROUND((-(SUM(J1972:J1975)*'Part VII-Pro Forma'!$K$9)),),"Choose mgt fee")))</f>
        <v>0</v>
      </c>
      <c r="K1978" s="748">
        <f>IF(AND('Part VII-Pro Forma'!$G$8="Yes",'Part VII-Pro Forma'!$G$9="Yes"),"Choose One!",IF('Part VII-Pro Forma'!$G$8="Yes",ROUND((-$K$8*(1+'Part VII-Pro Forma'!$B$6)^('Part VII-Pro Forma'!K1967-1)),),IF('Part VII-Pro Forma'!$G$9="Yes",ROUND((-(SUM(K1972:K1975)*'Part VII-Pro Forma'!$K$9)),),"Choose mgt fee")))</f>
        <v>0</v>
      </c>
    </row>
    <row r="1979" spans="1:11">
      <c r="A1979" s="748" t="s">
        <v>2122</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2123</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0</v>
      </c>
      <c r="C1983" s="748">
        <f>'Part VII-Pro Forma'!C95</f>
        <v>0</v>
      </c>
      <c r="D1983" s="748">
        <f>'Part VII-Pro Forma'!D95</f>
        <v>0</v>
      </c>
      <c r="E1983" s="748">
        <f>'Part VII-Pro Forma'!E95</f>
        <v>0</v>
      </c>
      <c r="F1983" s="748">
        <f>'Part VII-Pro Forma'!F95</f>
        <v>0</v>
      </c>
      <c r="G1983" s="748">
        <f>'Part VII-Pro Forma'!G95</f>
        <v>0</v>
      </c>
      <c r="H1983" s="748">
        <f>'Part VII-Pro Forma'!H95</f>
        <v>0</v>
      </c>
      <c r="I1983" s="748">
        <f>'Part VII-Pro Forma'!I95</f>
        <v>0</v>
      </c>
      <c r="J1983" s="748">
        <f>'Part VII-Pro Forma'!J95</f>
        <v>0</v>
      </c>
      <c r="K1983" s="748">
        <f>'Part VII-Pro Forma'!K95</f>
        <v>0</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1336</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2033</v>
      </c>
      <c r="B1988" s="748">
        <f>'Part VII-Pro Forma'!B100</f>
        <v>0</v>
      </c>
      <c r="C1988" s="748">
        <f>'Part VII-Pro Forma'!C100</f>
        <v>0</v>
      </c>
      <c r="D1988" s="748">
        <f>'Part VII-Pro Forma'!D100</f>
        <v>0</v>
      </c>
      <c r="E1988" s="748">
        <f>'Part VII-Pro Forma'!E100</f>
        <v>0</v>
      </c>
      <c r="F1988" s="748">
        <f>'Part VII-Pro Forma'!F100</f>
        <v>0</v>
      </c>
      <c r="G1988" s="748">
        <f>'Part VII-Pro Forma'!G100</f>
        <v>0</v>
      </c>
      <c r="H1988" s="748">
        <f>'Part VII-Pro Forma'!H100</f>
        <v>0</v>
      </c>
      <c r="I1988" s="748">
        <f>'Part VII-Pro Forma'!I100</f>
        <v>0</v>
      </c>
      <c r="J1988" s="748">
        <f>'Part VII-Pro Forma'!J100</f>
        <v>0</v>
      </c>
      <c r="K1988" s="748">
        <f>'Part VII-Pro Forma'!K100</f>
        <v>0</v>
      </c>
    </row>
    <row r="1989" spans="1:11">
      <c r="A1989" s="748" t="s">
        <v>2124</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2034</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2035</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str">
        <f>IF(OR(B1983=0,AND(B1983=0,B1982=0,B1981=0)),"",-B1980/(B1981+B1982+B1983))</f>
        <v/>
      </c>
      <c r="C1994" s="748" t="str">
        <f t="shared" ref="C1994:K1994" si="367">IF(OR(C1983=0,AND(C1983=0,C1982=0,C1981=0)),"",-C1980/(C1981+C1982+C1983))</f>
        <v/>
      </c>
      <c r="D1994" s="748" t="str">
        <f t="shared" si="367"/>
        <v/>
      </c>
      <c r="E1994" s="748" t="str">
        <f t="shared" si="367"/>
        <v/>
      </c>
      <c r="F1994" s="748" t="str">
        <f t="shared" si="367"/>
        <v/>
      </c>
      <c r="G1994" s="748" t="str">
        <f t="shared" si="367"/>
        <v/>
      </c>
      <c r="H1994" s="748" t="str">
        <f t="shared" si="367"/>
        <v/>
      </c>
      <c r="I1994" s="748" t="str">
        <f t="shared" si="367"/>
        <v/>
      </c>
      <c r="J1994" s="748" t="str">
        <f t="shared" si="367"/>
        <v/>
      </c>
      <c r="K1994" s="748" t="str">
        <f t="shared" si="367"/>
        <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1544</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0</v>
      </c>
      <c r="C2000" s="748">
        <f>'Part VII-Pro Forma'!C112</f>
        <v>0</v>
      </c>
      <c r="D2000" s="748">
        <f>'Part VII-Pro Forma'!D112</f>
        <v>0</v>
      </c>
      <c r="E2000" s="748">
        <f>'Part VII-Pro Forma'!E112</f>
        <v>0</v>
      </c>
      <c r="F2000" s="748">
        <f>'Part VII-Pro Forma'!F112</f>
        <v>0</v>
      </c>
      <c r="G2000" s="748">
        <f>'Part VII-Pro Forma'!G112</f>
        <v>0</v>
      </c>
      <c r="H2000" s="748">
        <f>'Part VII-Pro Forma'!H112</f>
        <v>0</v>
      </c>
      <c r="I2000" s="748">
        <f>'Part VII-Pro Forma'!I112</f>
        <v>0</v>
      </c>
      <c r="J2000" s="748">
        <f>'Part VII-Pro Forma'!J112</f>
        <v>0</v>
      </c>
      <c r="K2000" s="748">
        <f>'Part VII-Pro Forma'!K112</f>
        <v>0</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1357</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1357</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1880</v>
      </c>
      <c r="B2004" s="748">
        <f>'Part VII-Pro Forma'!B116</f>
        <v>0</v>
      </c>
      <c r="C2004" s="748">
        <f>'Part VII-Pro Forma'!C116</f>
        <v>0</v>
      </c>
      <c r="D2004" s="748">
        <f>'Part VII-Pro Forma'!D116</f>
        <v>0</v>
      </c>
      <c r="E2004" s="748">
        <f>'Part VII-Pro Forma'!E116</f>
        <v>0</v>
      </c>
      <c r="F2004" s="748">
        <f>'Part VII-Pro Forma'!F116</f>
        <v>0</v>
      </c>
      <c r="G2004" s="748">
        <f>'Part VII-Pro Forma'!G116</f>
        <v>0</v>
      </c>
      <c r="H2004" s="748">
        <f>'Part VII-Pro Forma'!H116</f>
        <v>0</v>
      </c>
      <c r="I2004" s="748">
        <f>'Part VII-Pro Forma'!I116</f>
        <v>0</v>
      </c>
      <c r="J2004" s="748">
        <f>'Part VII-Pro Forma'!J116</f>
        <v>0</v>
      </c>
      <c r="K2004" s="748">
        <f>'Part VII-Pro Forma'!K116</f>
        <v>0</v>
      </c>
    </row>
    <row r="2006" spans="1:11">
      <c r="A2006" s="748" t="s">
        <v>3865</v>
      </c>
      <c r="B2006" s="748">
        <f>K1971+1</f>
        <v>31</v>
      </c>
      <c r="C2006" s="748">
        <f>B2006+1</f>
        <v>32</v>
      </c>
      <c r="D2006" s="748">
        <f>C2006+1</f>
        <v>33</v>
      </c>
      <c r="E2006" s="748">
        <f>D2006+1</f>
        <v>34</v>
      </c>
      <c r="F2006" s="748">
        <f>E2006+1</f>
        <v>35</v>
      </c>
    </row>
    <row r="2007" spans="1:11">
      <c r="A2007" s="748" t="s">
        <v>3760</v>
      </c>
      <c r="B2007" s="748" t="e">
        <f>$B$14*(1+$B$5)^(B2006-1)</f>
        <v>#VALUE!</v>
      </c>
      <c r="C2007" s="748" t="e">
        <f>$B$14*(1+$B$5)^(C2006-1)</f>
        <v>#VALUE!</v>
      </c>
      <c r="D2007" s="748" t="e">
        <f>$B$14*(1+$B$5)^(D2006-1)</f>
        <v>#VALUE!</v>
      </c>
      <c r="E2007" s="748" t="e">
        <f>$B$14*(1+$B$5)^(E2006-1)</f>
        <v>#VALUE!</v>
      </c>
      <c r="F2007" s="748" t="e">
        <f>$B$14*(1+$B$5)^(F2006-1)</f>
        <v>#VALUE!</v>
      </c>
    </row>
    <row r="2008" spans="1:11">
      <c r="A2008" s="748" t="s">
        <v>1965</v>
      </c>
      <c r="B2008" s="748" t="e">
        <f>$B$15*(1+$B$5)^(B2006-1)</f>
        <v>#VALUE!</v>
      </c>
      <c r="C2008" s="748" t="e">
        <f>$B$15*(1+$B$5)^(C2006-1)</f>
        <v>#VALUE!</v>
      </c>
      <c r="D2008" s="748" t="e">
        <f>$B$15*(1+$B$5)^(D2006-1)</f>
        <v>#VALUE!</v>
      </c>
      <c r="E2008" s="748" t="e">
        <f>$B$15*(1+$B$5)^(E2006-1)</f>
        <v>#VALUE!</v>
      </c>
      <c r="F2008" s="748" t="e">
        <f>$B$15*(1+$B$5)^(F2006-1)</f>
        <v>#VALUE!</v>
      </c>
    </row>
    <row r="2009" spans="1:11">
      <c r="A2009" s="748" t="s">
        <v>3655</v>
      </c>
      <c r="B2009" s="748" t="e">
        <f>-(B2007+B2008)*$B$8</f>
        <v>#VALUE!</v>
      </c>
      <c r="C2009" s="748" t="e">
        <f>-(C2007+C2008)*$B$8</f>
        <v>#VALUE!</v>
      </c>
      <c r="D2009" s="748" t="e">
        <f>-(D2007+D2008)*$B$8</f>
        <v>#VALUE!</v>
      </c>
      <c r="E2009" s="748" t="e">
        <f>-(E2007+E2008)*$B$8</f>
        <v>#VALUE!</v>
      </c>
      <c r="F2009" s="748" t="e">
        <f>-(F2007+F2008)*$B$8</f>
        <v>#VALUE!</v>
      </c>
    </row>
    <row r="2010" spans="1:11">
      <c r="A2010" s="748" t="s">
        <v>302</v>
      </c>
      <c r="B2010" s="748">
        <f>'Part VII-Pro Forma'!B122</f>
        <v>0</v>
      </c>
      <c r="C2010" s="748">
        <f>'Part VII-Pro Forma'!C122</f>
        <v>0</v>
      </c>
      <c r="D2010" s="748">
        <f>'Part VII-Pro Forma'!D122</f>
        <v>0</v>
      </c>
      <c r="E2010" s="748">
        <f>'Part VII-Pro Forma'!E122</f>
        <v>0</v>
      </c>
      <c r="F2010" s="748">
        <f>'Part VII-Pro Forma'!F122</f>
        <v>0</v>
      </c>
    </row>
    <row r="2011" spans="1:11">
      <c r="A2011" s="748" t="s">
        <v>303</v>
      </c>
      <c r="B2011" s="748">
        <f>'Part VII-Pro Forma'!B123</f>
        <v>0</v>
      </c>
      <c r="C2011" s="748">
        <f>'Part VII-Pro Forma'!C123</f>
        <v>0</v>
      </c>
      <c r="D2011" s="748">
        <f>'Part VII-Pro Forma'!D123</f>
        <v>0</v>
      </c>
      <c r="E2011" s="748">
        <f>'Part VII-Pro Forma'!E123</f>
        <v>0</v>
      </c>
      <c r="F2011" s="748">
        <f>'Part VII-Pro Forma'!F123</f>
        <v>0</v>
      </c>
    </row>
    <row r="2012" spans="1:11">
      <c r="A2012" s="748" t="s">
        <v>1124</v>
      </c>
      <c r="B2012" s="748">
        <f>$B$19*(1+$B$6)^(B2006-1)</f>
        <v>0</v>
      </c>
      <c r="C2012" s="748">
        <f>$B$19*(1+$B$6)^(C2006-1)</f>
        <v>0</v>
      </c>
      <c r="D2012" s="748">
        <f>$B$19*(1+$B$6)^(D2006-1)</f>
        <v>0</v>
      </c>
      <c r="E2012" s="748">
        <f>$B$19*(1+$B$6)^(E2006-1)</f>
        <v>0</v>
      </c>
      <c r="F2012" s="748">
        <f>$B$19*(1+$B$6)^(F2006-1)</f>
        <v>0</v>
      </c>
    </row>
    <row r="2013" spans="1:11">
      <c r="A2013" s="748" t="s">
        <v>1756</v>
      </c>
      <c r="B2013" s="748">
        <f>IF(AND('Part VII-Pro Forma'!$G$8="Yes",'Part VII-Pro Forma'!$G$9="Yes"),"Choose One!",IF('Part VII-Pro Forma'!$G$8="Yes",ROUND((-$K$8*(1+'Part VII-Pro Forma'!$B$6)^('Part VII-Pro Forma'!B2002-1)),),IF('Part VII-Pro Forma'!$G$9="Yes",ROUND((-(SUM(B2007:B2010)*'Part VII-Pro Forma'!$K$9)),),"Choose mgt fee")))</f>
        <v>0</v>
      </c>
      <c r="C2013" s="748">
        <f>IF(AND('Part VII-Pro Forma'!$G$8="Yes",'Part VII-Pro Forma'!$G$9="Yes"),"Choose One!",IF('Part VII-Pro Forma'!$G$8="Yes",ROUND((-$K$8*(1+'Part VII-Pro Forma'!$B$6)^('Part VII-Pro Forma'!C2002-1)),),IF('Part VII-Pro Forma'!$G$9="Yes",ROUND((-(SUM(C2007:C2010)*'Part VII-Pro Forma'!$K$9)),),"Choose mgt fee")))</f>
        <v>0</v>
      </c>
      <c r="D2013" s="748">
        <f>IF(AND('Part VII-Pro Forma'!$G$8="Yes",'Part VII-Pro Forma'!$G$9="Yes"),"Choose One!",IF('Part VII-Pro Forma'!$G$8="Yes",ROUND((-$K$8*(1+'Part VII-Pro Forma'!$B$6)^('Part VII-Pro Forma'!D2002-1)),),IF('Part VII-Pro Forma'!$G$9="Yes",ROUND((-(SUM(D2007:D2010)*'Part VII-Pro Forma'!$K$9)),),"Choose mgt fee")))</f>
        <v>0</v>
      </c>
      <c r="E2013" s="748">
        <f>IF(AND('Part VII-Pro Forma'!$G$8="Yes",'Part VII-Pro Forma'!$G$9="Yes"),"Choose One!",IF('Part VII-Pro Forma'!$G$8="Yes",ROUND((-$K$8*(1+'Part VII-Pro Forma'!$B$6)^('Part VII-Pro Forma'!E2002-1)),),IF('Part VII-Pro Forma'!$G$9="Yes",ROUND((-(SUM(E2007:E2010)*'Part VII-Pro Forma'!$K$9)),),"Choose mgt fee")))</f>
        <v>0</v>
      </c>
      <c r="F2013" s="748">
        <f>IF(AND('Part VII-Pro Forma'!$G$8="Yes",'Part VII-Pro Forma'!$G$9="Yes"),"Choose One!",IF('Part VII-Pro Forma'!$G$8="Yes",ROUND((-$K$8*(1+'Part VII-Pro Forma'!$B$6)^('Part VII-Pro Forma'!F2002-1)),),IF('Part VII-Pro Forma'!$G$9="Yes",ROUND((-(SUM(F2007:F2010)*'Part VII-Pro Forma'!$K$9)),),"Choose mgt fee")))</f>
        <v>0</v>
      </c>
    </row>
    <row r="2014" spans="1:11">
      <c r="A2014" s="748" t="s">
        <v>2122</v>
      </c>
      <c r="B2014" s="748">
        <f>$B$21*(1+$B$7)^(B2006-1)</f>
        <v>0</v>
      </c>
      <c r="C2014" s="748">
        <f>$B$21*(1+$B$7)^(C2006-1)</f>
        <v>0</v>
      </c>
      <c r="D2014" s="748">
        <f>$B$21*(1+$B$7)^(D2006-1)</f>
        <v>0</v>
      </c>
      <c r="E2014" s="748">
        <f>$B$21*(1+$B$7)^(E2006-1)</f>
        <v>0</v>
      </c>
      <c r="F2014" s="748">
        <f>$B$21*(1+$B$7)^(F2006-1)</f>
        <v>0</v>
      </c>
    </row>
    <row r="2015" spans="1:11">
      <c r="A2015" s="748" t="s">
        <v>2123</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1336</v>
      </c>
      <c r="B2022" s="748">
        <f>'Part VII-Pro Forma'!B134</f>
        <v>0</v>
      </c>
      <c r="C2022" s="748">
        <f>'Part VII-Pro Forma'!C134</f>
        <v>0</v>
      </c>
      <c r="D2022" s="748">
        <f>'Part VII-Pro Forma'!D134</f>
        <v>0</v>
      </c>
      <c r="E2022" s="748">
        <f>'Part VII-Pro Forma'!E134</f>
        <v>0</v>
      </c>
      <c r="F2022" s="748">
        <f>'Part VII-Pro Forma'!F134</f>
        <v>0</v>
      </c>
    </row>
    <row r="2023" spans="1:6">
      <c r="A2023" s="748" t="s">
        <v>2033</v>
      </c>
      <c r="B2023" s="748">
        <f>'Part VII-Pro Forma'!B135</f>
        <v>0</v>
      </c>
      <c r="C2023" s="748">
        <f>'Part VII-Pro Forma'!C135</f>
        <v>0</v>
      </c>
      <c r="D2023" s="748">
        <f>'Part VII-Pro Forma'!D135</f>
        <v>0</v>
      </c>
      <c r="E2023" s="748">
        <f>'Part VII-Pro Forma'!E135</f>
        <v>0</v>
      </c>
      <c r="F2023" s="748">
        <f>'Part VII-Pro Forma'!F135</f>
        <v>0</v>
      </c>
    </row>
    <row r="2024" spans="1:6">
      <c r="A2024" s="748" t="s">
        <v>2124</v>
      </c>
      <c r="B2024" s="748">
        <f>'Part VII-Pro Forma'!B136</f>
        <v>0</v>
      </c>
      <c r="C2024" s="748">
        <f>'Part VII-Pro Forma'!C136</f>
        <v>0</v>
      </c>
      <c r="D2024" s="748">
        <f>'Part VII-Pro Forma'!D136</f>
        <v>0</v>
      </c>
      <c r="E2024" s="748">
        <f>'Part VII-Pro Forma'!E136</f>
        <v>0</v>
      </c>
      <c r="F2024" s="748">
        <f>'Part VII-Pro Forma'!F136</f>
        <v>0</v>
      </c>
    </row>
    <row r="2025" spans="1:6">
      <c r="A2025" s="748" t="s">
        <v>2034</v>
      </c>
      <c r="B2025" s="748">
        <f>'Part VII-Pro Forma'!B137</f>
        <v>0</v>
      </c>
      <c r="C2025" s="748">
        <f>'Part VII-Pro Forma'!C137</f>
        <v>0</v>
      </c>
      <c r="D2025" s="748">
        <f>'Part VII-Pro Forma'!D137</f>
        <v>0</v>
      </c>
      <c r="E2025" s="748">
        <f>'Part VII-Pro Forma'!E137</f>
        <v>0</v>
      </c>
      <c r="F2025" s="748">
        <f>'Part VII-Pro Forma'!F137</f>
        <v>0</v>
      </c>
    </row>
    <row r="2026" spans="1:6">
      <c r="A2026" s="748" t="s">
        <v>2035</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1544</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0</v>
      </c>
      <c r="C2035" s="748">
        <f>'Part VII-Pro Forma'!C147</f>
        <v>0</v>
      </c>
      <c r="D2035" s="748">
        <f>'Part VII-Pro Forma'!D147</f>
        <v>0</v>
      </c>
      <c r="E2035" s="748">
        <f>'Part VII-Pro Forma'!E147</f>
        <v>0</v>
      </c>
      <c r="F2035" s="748">
        <f>'Part VII-Pro Forma'!F147</f>
        <v>0</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1357</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1357</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1880</v>
      </c>
      <c r="B2039" s="748">
        <f>'Part VII-Pro Forma'!B151</f>
        <v>0</v>
      </c>
      <c r="C2039" s="748">
        <f>'Part VII-Pro Forma'!C151</f>
        <v>0</v>
      </c>
      <c r="D2039" s="748">
        <f>'Part VII-Pro Forma'!D151</f>
        <v>0</v>
      </c>
      <c r="E2039" s="748">
        <f>'Part VII-Pro Forma'!E151</f>
        <v>0</v>
      </c>
      <c r="F2039" s="748">
        <f>'Part VII-Pro Forma'!F151</f>
        <v>0</v>
      </c>
    </row>
    <row r="2041" spans="1:7">
      <c r="A2041" s="748" t="s">
        <v>940</v>
      </c>
      <c r="G2041" s="748" t="s">
        <v>1673</v>
      </c>
    </row>
    <row r="2043" spans="1:7">
      <c r="A2043" s="748" t="str">
        <f>'Part VII-Pro Forma'!A155</f>
        <v>Asset management fee prepaid, per equity commitment letter in tab 5 of app binder, and uses of funds.</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2011-028 Endeavor Pointe,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1609</v>
      </c>
      <c r="Q2051" s="748" t="s">
        <v>3029</v>
      </c>
    </row>
    <row r="2054" spans="1:17">
      <c r="A2054" s="748" t="s">
        <v>1000</v>
      </c>
      <c r="P2054" s="748">
        <f>'Part VIII-Threshold Criteria'!P6</f>
        <v>0</v>
      </c>
    </row>
    <row r="2055" spans="1:17">
      <c r="A2055" s="748" t="s">
        <v>402</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235</v>
      </c>
      <c r="O2077" s="748" t="s">
        <v>3090</v>
      </c>
      <c r="P2077" s="748">
        <f>'Part VIII-Threshold Criteria'!P29</f>
        <v>0</v>
      </c>
    </row>
    <row r="2079" spans="1:17">
      <c r="B2079" s="748" t="s">
        <v>3000</v>
      </c>
      <c r="C2079" s="748" t="s">
        <v>1490</v>
      </c>
      <c r="O2079" s="748" t="s">
        <v>922</v>
      </c>
      <c r="P2079" s="748" t="str">
        <f>'Part VIII-Threshold Criteria'!P31</f>
        <v>No</v>
      </c>
      <c r="Q2079" s="748">
        <f>'Part VIII-Threshold Criteria'!Q31</f>
        <v>0</v>
      </c>
    </row>
    <row r="2080" spans="1:17">
      <c r="B2080" s="748" t="s">
        <v>3112</v>
      </c>
      <c r="C2080" s="748" t="s">
        <v>1491</v>
      </c>
      <c r="J2080" s="748" t="str">
        <f>'Part VIII-Threshold Criteria'!J32</f>
        <v>&lt;&lt; Select &gt;&gt;</v>
      </c>
    </row>
    <row r="2081" spans="1:17">
      <c r="B2081" s="748" t="s">
        <v>3088</v>
      </c>
    </row>
    <row r="2082" spans="1:17">
      <c r="A2082" s="748">
        <f>'Part VIII-Threshold Criteria'!A34</f>
        <v>0</v>
      </c>
    </row>
    <row r="2083" spans="1:17">
      <c r="A2083" s="748">
        <f>'Part VIII-Threshold Criteria'!A35</f>
        <v>0</v>
      </c>
    </row>
    <row r="2084" spans="1:17">
      <c r="A2084" s="748">
        <f>'Part VIII-Threshold Criteria'!A36</f>
        <v>0</v>
      </c>
    </row>
    <row r="2085" spans="1:17">
      <c r="B2085" s="748" t="s">
        <v>3089</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1939</v>
      </c>
      <c r="O2093" s="748" t="s">
        <v>3090</v>
      </c>
      <c r="P2093" s="748">
        <f>'Part VIII-Threshold Criteria'!P45</f>
        <v>0</v>
      </c>
    </row>
    <row r="2095" spans="1:17">
      <c r="C2095" s="748" t="s">
        <v>92</v>
      </c>
      <c r="J2095" s="748" t="str">
        <f>'Part VIII-Threshold Criteria'!J47</f>
        <v>Senior (HFOP)</v>
      </c>
      <c r="P2095" s="748" t="str">
        <f>'Part VIII-Threshold Criteria'!P47</f>
        <v>Yes</v>
      </c>
      <c r="Q2095" s="748">
        <f>'Part VIII-Threshold Criteria'!Q47</f>
        <v>0</v>
      </c>
    </row>
    <row r="2096" spans="1:17">
      <c r="B2096" s="748" t="s">
        <v>3088</v>
      </c>
      <c r="K2096" s="748" t="s">
        <v>3089</v>
      </c>
    </row>
    <row r="2097" spans="1:17">
      <c r="A2097" s="748">
        <f>'Part VIII-Threshold Criteria'!A49</f>
        <v>0</v>
      </c>
      <c r="K2097" s="748">
        <f>'Part VIII-Threshold Criteria'!K49</f>
        <v>0</v>
      </c>
    </row>
    <row r="2099" spans="1:17">
      <c r="A2099" s="748">
        <v>3</v>
      </c>
      <c r="B2099" s="748" t="s">
        <v>832</v>
      </c>
      <c r="O2099" s="748" t="s">
        <v>3090</v>
      </c>
      <c r="P2099" s="748">
        <f>'Part VIII-Threshold Criteria'!P51</f>
        <v>0</v>
      </c>
    </row>
    <row r="2101" spans="1:17">
      <c r="B2101" s="748" t="s">
        <v>3000</v>
      </c>
      <c r="C2101" s="748" t="s">
        <v>4133</v>
      </c>
      <c r="P2101" s="748" t="str">
        <f>'Part VIII-Threshold Criteria'!P53</f>
        <v>Agree</v>
      </c>
      <c r="Q2101" s="748">
        <f>'Part VIII-Threshold Criteria'!Q53</f>
        <v>0</v>
      </c>
    </row>
    <row r="2102" spans="1:17">
      <c r="B2102" s="748" t="s">
        <v>3112</v>
      </c>
      <c r="C2102" s="748" t="s">
        <v>2500</v>
      </c>
    </row>
    <row r="2103" spans="1:17">
      <c r="C2103" s="748" t="s">
        <v>2903</v>
      </c>
      <c r="D2103" s="748" t="s">
        <v>1134</v>
      </c>
      <c r="O2103" s="748" t="s">
        <v>2903</v>
      </c>
      <c r="P2103" s="748" t="str">
        <f>'Part VIII-Threshold Criteria'!P55</f>
        <v>Yes</v>
      </c>
      <c r="Q2103" s="748">
        <f>'Part VIII-Threshold Criteria'!Q55</f>
        <v>0</v>
      </c>
    </row>
    <row r="2104" spans="1:17">
      <c r="C2104" s="748" t="s">
        <v>2904</v>
      </c>
      <c r="D2104" s="748" t="s">
        <v>2970</v>
      </c>
      <c r="O2104" s="748" t="s">
        <v>2904</v>
      </c>
      <c r="P2104" s="748" t="str">
        <f>'Part VIII-Threshold Criteria'!P56</f>
        <v>Yes</v>
      </c>
      <c r="Q2104" s="748">
        <f>'Part VIII-Threshold Criteria'!Q56</f>
        <v>0</v>
      </c>
    </row>
    <row r="2105" spans="1:17">
      <c r="C2105" s="748" t="s">
        <v>2905</v>
      </c>
      <c r="D2105" s="748" t="s">
        <v>658</v>
      </c>
      <c r="K2105" s="748" t="s">
        <v>2905</v>
      </c>
      <c r="L2105" s="748">
        <f>'Part VIII-Threshold Criteria'!L57</f>
        <v>0</v>
      </c>
      <c r="Q2105" s="748">
        <f>'Part VIII-Threshold Criteria'!Q57</f>
        <v>0</v>
      </c>
    </row>
    <row r="2106" spans="1:17">
      <c r="B2106" s="748" t="s">
        <v>3088</v>
      </c>
    </row>
    <row r="2107" spans="1:17">
      <c r="A2107" s="748">
        <f>'Part VIII-Threshold Criteria'!A59</f>
        <v>0</v>
      </c>
    </row>
    <row r="2108" spans="1:17">
      <c r="A2108" s="748">
        <f>'Part VIII-Threshold Criteria'!A60</f>
        <v>0</v>
      </c>
    </row>
    <row r="2109" spans="1:17">
      <c r="B2109" s="748" t="s">
        <v>3089</v>
      </c>
    </row>
    <row r="2110" spans="1:17">
      <c r="A2110" s="748">
        <f>'Part VIII-Threshold Criteria'!A62</f>
        <v>0</v>
      </c>
    </row>
    <row r="2111" spans="1:17">
      <c r="A2111" s="748">
        <f>'Part VIII-Threshold Criteria'!A63</f>
        <v>0</v>
      </c>
    </row>
    <row r="2113" spans="1:17">
      <c r="A2113" s="748">
        <v>4</v>
      </c>
      <c r="B2113" s="748" t="s">
        <v>3814</v>
      </c>
      <c r="O2113" s="748" t="s">
        <v>3090</v>
      </c>
      <c r="P2113" s="748">
        <f>'Part VIII-Threshold Criteria'!P65</f>
        <v>0</v>
      </c>
    </row>
    <row r="2115" spans="1:17">
      <c r="B2115" s="748" t="s">
        <v>3000</v>
      </c>
      <c r="C2115" s="748" t="s">
        <v>3656</v>
      </c>
      <c r="L2115" s="748" t="s">
        <v>3000</v>
      </c>
      <c r="M2115" s="748" t="str">
        <f>'Part VIII-Threshold Criteria'!M67</f>
        <v>Koontz and Salinger</v>
      </c>
      <c r="Q2115" s="748">
        <f>'Part VIII-Threshold Criteria'!Q67</f>
        <v>0</v>
      </c>
    </row>
    <row r="2116" spans="1:17">
      <c r="B2116" s="748" t="s">
        <v>3112</v>
      </c>
      <c r="C2116" s="748" t="s">
        <v>3226</v>
      </c>
      <c r="L2116" s="748" t="s">
        <v>3112</v>
      </c>
      <c r="M2116" s="748" t="str">
        <f>'Part VIII-Threshold Criteria'!M68</f>
        <v>9 months</v>
      </c>
      <c r="Q2116" s="748">
        <f>'Part VIII-Threshold Criteria'!Q68</f>
        <v>0</v>
      </c>
    </row>
    <row r="2117" spans="1:17">
      <c r="B2117" s="748" t="s">
        <v>1517</v>
      </c>
      <c r="C2117" s="748" t="s">
        <v>3657</v>
      </c>
      <c r="L2117" s="748" t="s">
        <v>1517</v>
      </c>
      <c r="M2117" s="748" t="str">
        <f>'Part VIII-Threshold Criteria'!M69</f>
        <v>3 months</v>
      </c>
      <c r="Q2117" s="748">
        <f>'Part VIII-Threshold Criteria'!Q69</f>
        <v>0</v>
      </c>
    </row>
    <row r="2118" spans="1:17">
      <c r="B2118" s="748" t="s">
        <v>3316</v>
      </c>
      <c r="C2118" s="748" t="s">
        <v>3761</v>
      </c>
      <c r="L2118" s="748" t="s">
        <v>3316</v>
      </c>
      <c r="M2118" s="748">
        <f>'Part VIII-Threshold Criteria'!M70</f>
        <v>0.156</v>
      </c>
      <c r="Q2118" s="748">
        <f>'Part VIII-Threshold Criteria'!Q70</f>
        <v>0</v>
      </c>
    </row>
    <row r="2119" spans="1:17">
      <c r="B2119" s="748" t="s">
        <v>2901</v>
      </c>
      <c r="C2119" s="748" t="s">
        <v>3592</v>
      </c>
      <c r="O2119" s="748" t="s">
        <v>2901</v>
      </c>
      <c r="P2119" s="748" t="str">
        <f>'Part VIII-Threshold Criteria'!P71</f>
        <v>No</v>
      </c>
      <c r="Q2119" s="748">
        <f>'Part VIII-Threshold Criteria'!Q71</f>
        <v>0</v>
      </c>
    </row>
    <row r="2120" spans="1:17">
      <c r="D2120" s="748" t="s">
        <v>3608</v>
      </c>
      <c r="E2120" s="748" t="s">
        <v>1031</v>
      </c>
      <c r="H2120" s="748" t="s">
        <v>3608</v>
      </c>
      <c r="I2120" s="748" t="s">
        <v>1031</v>
      </c>
      <c r="L2120" s="748" t="s">
        <v>3608</v>
      </c>
      <c r="M2120" s="748" t="s">
        <v>1031</v>
      </c>
    </row>
    <row r="2121" spans="1:17">
      <c r="C2121" s="748">
        <v>1</v>
      </c>
      <c r="D2121" s="748">
        <f>'Part VIII-Threshold Criteria'!D73</f>
        <v>0</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2902</v>
      </c>
      <c r="C2124" s="748" t="s">
        <v>151</v>
      </c>
      <c r="O2124" s="748" t="s">
        <v>2902</v>
      </c>
      <c r="P2124" s="748" t="str">
        <f>'Part VIII-Threshold Criteria'!P76</f>
        <v>Yes</v>
      </c>
      <c r="Q2124" s="748">
        <f>'Part VIII-Threshold Criteria'!Q76</f>
        <v>0</v>
      </c>
    </row>
    <row r="2125" spans="1:17">
      <c r="B2125" s="748" t="s">
        <v>3088</v>
      </c>
    </row>
    <row r="2126" spans="1:17">
      <c r="A2126" s="748" t="str">
        <f>'Part VIII-Threshold Criteria'!A78</f>
        <v>We're not aware of any LIHTC communities funded by DCA in 2008-2010 competitive rounds</v>
      </c>
    </row>
    <row r="2127" spans="1:17">
      <c r="A2127" s="748">
        <f>'Part VIII-Threshold Criteria'!A79</f>
        <v>0</v>
      </c>
    </row>
    <row r="2128" spans="1:17">
      <c r="B2128" s="748" t="s">
        <v>3089</v>
      </c>
    </row>
    <row r="2129" spans="1:17">
      <c r="A2129" s="748">
        <f>'Part VIII-Threshold Criteria'!A81</f>
        <v>0</v>
      </c>
    </row>
    <row r="2130" spans="1:17">
      <c r="A2130" s="748">
        <f>'Part VIII-Threshold Criteria'!A82</f>
        <v>0</v>
      </c>
    </row>
    <row r="2131" spans="1:17">
      <c r="A2131" s="748">
        <v>5</v>
      </c>
      <c r="B2131" s="748" t="s">
        <v>336</v>
      </c>
      <c r="O2131" s="748" t="s">
        <v>3090</v>
      </c>
      <c r="P2131" s="748">
        <f>'Part VIII-Threshold Criteria'!P83</f>
        <v>0</v>
      </c>
    </row>
    <row r="2133" spans="1:17">
      <c r="B2133" s="748" t="s">
        <v>3000</v>
      </c>
      <c r="C2133" s="748" t="s">
        <v>898</v>
      </c>
      <c r="O2133" s="748" t="s">
        <v>3000</v>
      </c>
      <c r="P2133" s="748" t="str">
        <f>'Part VIII-Threshold Criteria'!P85</f>
        <v>No</v>
      </c>
      <c r="Q2133" s="748">
        <f>'Part VIII-Threshold Criteria'!Q85</f>
        <v>0</v>
      </c>
    </row>
    <row r="2134" spans="1:17">
      <c r="B2134" s="748" t="s">
        <v>3112</v>
      </c>
      <c r="C2134" s="748" t="s">
        <v>1890</v>
      </c>
      <c r="O2134" s="748" t="s">
        <v>3112</v>
      </c>
      <c r="P2134" s="748" t="str">
        <f>'Part VIII-Threshold Criteria'!P86</f>
        <v>No</v>
      </c>
      <c r="Q2134" s="748">
        <f>'Part VIII-Threshold Criteria'!Q86</f>
        <v>0</v>
      </c>
    </row>
    <row r="2135" spans="1:17">
      <c r="D2135" s="748" t="s">
        <v>1086</v>
      </c>
      <c r="K2135" s="748" t="s">
        <v>1087</v>
      </c>
      <c r="M2135" s="748">
        <f>'Part VIII-Threshold Criteria'!M87</f>
        <v>0</v>
      </c>
      <c r="Q2135" s="748">
        <f>'Part VIII-Threshold Criteria'!Q87</f>
        <v>0</v>
      </c>
    </row>
    <row r="2136" spans="1:17">
      <c r="C2136" s="748" t="s">
        <v>2903</v>
      </c>
      <c r="D2136" s="748" t="s">
        <v>707</v>
      </c>
      <c r="O2136" s="748" t="s">
        <v>2903</v>
      </c>
      <c r="P2136" s="748">
        <f>'Part VIII-Threshold Criteria'!P88</f>
        <v>0</v>
      </c>
      <c r="Q2136" s="748">
        <f>'Part VIII-Threshold Criteria'!Q88</f>
        <v>0</v>
      </c>
    </row>
    <row r="2137" spans="1:17">
      <c r="C2137" s="748" t="s">
        <v>2904</v>
      </c>
      <c r="D2137" s="748" t="s">
        <v>417</v>
      </c>
      <c r="O2137" s="748" t="s">
        <v>2904</v>
      </c>
      <c r="P2137" s="748">
        <f>'Part VIII-Threshold Criteria'!P89</f>
        <v>0</v>
      </c>
      <c r="Q2137" s="748">
        <f>'Part VIII-Threshold Criteria'!Q89</f>
        <v>0</v>
      </c>
    </row>
    <row r="2138" spans="1:17">
      <c r="C2138" s="748" t="s">
        <v>2905</v>
      </c>
      <c r="D2138" s="748" t="s">
        <v>421</v>
      </c>
      <c r="O2138" s="748" t="s">
        <v>2905</v>
      </c>
      <c r="P2138" s="748">
        <f>'Part VIII-Threshold Criteria'!P90</f>
        <v>0</v>
      </c>
      <c r="Q2138" s="748">
        <f>'Part VIII-Threshold Criteria'!Q90</f>
        <v>0</v>
      </c>
    </row>
    <row r="2139" spans="1:17">
      <c r="B2139" s="748" t="s">
        <v>1517</v>
      </c>
      <c r="C2139" s="748" t="s">
        <v>273</v>
      </c>
      <c r="O2139" s="748" t="s">
        <v>1517</v>
      </c>
      <c r="P2139" s="748">
        <f>'Part VIII-Threshold Criteria'!P91</f>
        <v>0</v>
      </c>
      <c r="Q2139" s="748">
        <f>'Part VIII-Threshold Criteria'!Q91</f>
        <v>0</v>
      </c>
    </row>
    <row r="2140" spans="1:17">
      <c r="B2140" s="748" t="s">
        <v>3316</v>
      </c>
      <c r="C2140" s="748" t="s">
        <v>2304</v>
      </c>
    </row>
    <row r="2141" spans="1:17">
      <c r="C2141" s="748" t="s">
        <v>2903</v>
      </c>
      <c r="D2141" s="748" t="s">
        <v>2305</v>
      </c>
      <c r="O2141" s="748" t="s">
        <v>2903</v>
      </c>
      <c r="P2141" s="748" t="str">
        <f>'Part VIII-Threshold Criteria'!P93</f>
        <v>Yes</v>
      </c>
      <c r="Q2141" s="748">
        <f>'Part VIII-Threshold Criteria'!Q93</f>
        <v>0</v>
      </c>
    </row>
    <row r="2142" spans="1:17">
      <c r="C2142" s="748" t="s">
        <v>2904</v>
      </c>
      <c r="D2142" s="748" t="s">
        <v>2306</v>
      </c>
      <c r="O2142" s="748" t="s">
        <v>2904</v>
      </c>
      <c r="P2142" s="748" t="str">
        <f>'Part VIII-Threshold Criteria'!P94</f>
        <v>No</v>
      </c>
      <c r="Q2142" s="748">
        <f>'Part VIII-Threshold Criteria'!Q94</f>
        <v>0</v>
      </c>
    </row>
    <row r="2143" spans="1:17">
      <c r="C2143" s="748" t="s">
        <v>2905</v>
      </c>
      <c r="D2143" s="748" t="s">
        <v>2307</v>
      </c>
      <c r="O2143" s="748" t="s">
        <v>2905</v>
      </c>
      <c r="P2143" s="748" t="str">
        <f>'Part VIII-Threshold Criteria'!P95</f>
        <v>No</v>
      </c>
      <c r="Q2143" s="748">
        <f>'Part VIII-Threshold Criteria'!Q95</f>
        <v>0</v>
      </c>
    </row>
    <row r="2144" spans="1:17">
      <c r="B2144" s="748" t="s">
        <v>3088</v>
      </c>
    </row>
    <row r="2145" spans="1:17">
      <c r="A2145" s="748" t="str">
        <f>'Part VIII-Threshold Criteria'!A97</f>
        <v>Property was rezoned to R-2 multifamily designation to accept the Endeavor Pointe proposal.  A letter confirming the zoning is included in tab 14: Zoning</v>
      </c>
    </row>
    <row r="2146" spans="1:17">
      <c r="A2146" s="748">
        <f>'Part VIII-Threshold Criteria'!A98</f>
        <v>0</v>
      </c>
    </row>
    <row r="2147" spans="1:17">
      <c r="B2147" s="748" t="s">
        <v>3089</v>
      </c>
    </row>
    <row r="2148" spans="1:17">
      <c r="A2148" s="748">
        <f>'Part VIII-Threshold Criteria'!A100</f>
        <v>0</v>
      </c>
    </row>
    <row r="2149" spans="1:17">
      <c r="A2149" s="748">
        <f>'Part VIII-Threshold Criteria'!A101</f>
        <v>0</v>
      </c>
    </row>
    <row r="2151" spans="1:17">
      <c r="A2151" s="748">
        <v>6</v>
      </c>
      <c r="B2151" s="748" t="s">
        <v>706</v>
      </c>
      <c r="O2151" s="748" t="s">
        <v>3090</v>
      </c>
      <c r="P2151" s="748">
        <f>'Part VIII-Threshold Criteria'!P103</f>
        <v>0</v>
      </c>
    </row>
    <row r="2153" spans="1:17">
      <c r="B2153" s="748" t="s">
        <v>3000</v>
      </c>
      <c r="C2153" s="748" t="s">
        <v>248</v>
      </c>
      <c r="L2153" s="748" t="s">
        <v>3000</v>
      </c>
      <c r="M2153" s="748" t="str">
        <f>'Part VIII-Threshold Criteria'!M105</f>
        <v>Geotechnical and Environmental Consultants</v>
      </c>
      <c r="Q2153" s="748">
        <f>'Part VIII-Threshold Criteria'!Q105</f>
        <v>0</v>
      </c>
    </row>
    <row r="2154" spans="1:17">
      <c r="B2154" s="748" t="s">
        <v>3112</v>
      </c>
      <c r="C2154" s="748" t="s">
        <v>2564</v>
      </c>
      <c r="O2154" s="748" t="s">
        <v>3112</v>
      </c>
      <c r="P2154" s="748" t="str">
        <f>'Part VIII-Threshold Criteria'!P106</f>
        <v>No</v>
      </c>
      <c r="Q2154" s="748">
        <f>'Part VIII-Threshold Criteria'!Q106</f>
        <v>0</v>
      </c>
    </row>
    <row r="2155" spans="1:17">
      <c r="B2155" s="748" t="s">
        <v>1517</v>
      </c>
      <c r="C2155" s="748" t="s">
        <v>251</v>
      </c>
      <c r="O2155" s="748" t="s">
        <v>1517</v>
      </c>
      <c r="P2155" s="748" t="str">
        <f>'Part VIII-Threshold Criteria'!P107</f>
        <v>Yes</v>
      </c>
      <c r="Q2155" s="748">
        <f>'Part VIII-Threshold Criteria'!Q107</f>
        <v>0</v>
      </c>
    </row>
    <row r="2156" spans="1:17">
      <c r="C2156" s="748" t="s">
        <v>2967</v>
      </c>
      <c r="P2156" s="748" t="str">
        <f>'Part VIII-Threshold Criteria'!P108</f>
        <v>&lt;65</v>
      </c>
      <c r="Q2156" s="748">
        <f>'Part VIII-Threshold Criteria'!Q108</f>
        <v>0</v>
      </c>
    </row>
    <row r="2157" spans="1:17">
      <c r="C2157" s="748" t="s">
        <v>2342</v>
      </c>
    </row>
    <row r="2158" spans="1:17">
      <c r="C2158" s="748" t="str">
        <f>'Part VIII-Threshold Criteria'!C110</f>
        <v>Railway noise 57.9-60.5 dnl, Roadway noise 57.9-60.5 dnl, aircraft noise&lt;55 dnl.  NAG indicates all noise levels acceptable and meet all DCA+HOME/HUD requirements&amp;guidelines</v>
      </c>
    </row>
    <row r="2159" spans="1:17">
      <c r="B2159" s="748" t="s">
        <v>3316</v>
      </c>
      <c r="C2159" s="748" t="s">
        <v>1949</v>
      </c>
      <c r="O2159" s="748" t="s">
        <v>3316</v>
      </c>
    </row>
    <row r="2160" spans="1:17">
      <c r="C2160" s="748" t="s">
        <v>2903</v>
      </c>
      <c r="D2160" s="748" t="s">
        <v>249</v>
      </c>
      <c r="O2160" s="748" t="s">
        <v>2903</v>
      </c>
      <c r="P2160" s="748" t="str">
        <f>'Part VIII-Threshold Criteria'!P112</f>
        <v>No</v>
      </c>
      <c r="Q2160" s="748">
        <f>'Part VIII-Threshold Criteria'!Q112</f>
        <v>0</v>
      </c>
    </row>
    <row r="2161" spans="2:17">
      <c r="C2161" s="748" t="s">
        <v>2904</v>
      </c>
      <c r="D2161" s="748" t="s">
        <v>1950</v>
      </c>
      <c r="O2161" s="748" t="s">
        <v>2904</v>
      </c>
      <c r="P2161" s="748" t="str">
        <f>'Part VIII-Threshold Criteria'!P113</f>
        <v>No</v>
      </c>
      <c r="Q2161" s="748">
        <f>'Part VIII-Threshold Criteria'!Q113</f>
        <v>0</v>
      </c>
    </row>
    <row r="2162" spans="2:17">
      <c r="D2162" s="748" t="s">
        <v>3154</v>
      </c>
      <c r="P2162" s="748">
        <f>'Part VIII-Threshold Criteria'!P114</f>
        <v>0</v>
      </c>
      <c r="Q2162" s="748">
        <f>'Part VIII-Threshold Criteria'!Q114</f>
        <v>0</v>
      </c>
    </row>
    <row r="2163" spans="2:17">
      <c r="D2163" s="748" t="s">
        <v>3677</v>
      </c>
      <c r="P2163" s="748">
        <f>'Part VIII-Threshold Criteria'!P115</f>
        <v>0</v>
      </c>
      <c r="Q2163" s="748">
        <f>'Part VIII-Threshold Criteria'!Q115</f>
        <v>0</v>
      </c>
    </row>
    <row r="2164" spans="2:17">
      <c r="D2164" s="748" t="s">
        <v>3297</v>
      </c>
      <c r="P2164" s="748">
        <f>'Part VIII-Threshold Criteria'!P116</f>
        <v>0</v>
      </c>
      <c r="Q2164" s="748">
        <f>'Part VIII-Threshold Criteria'!Q116</f>
        <v>0</v>
      </c>
    </row>
    <row r="2165" spans="2:17">
      <c r="C2165" s="748" t="s">
        <v>2905</v>
      </c>
      <c r="D2165" s="748" t="s">
        <v>1951</v>
      </c>
      <c r="O2165" s="748" t="s">
        <v>2905</v>
      </c>
      <c r="P2165" s="748" t="str">
        <f>'Part VIII-Threshold Criteria'!P117</f>
        <v>No</v>
      </c>
      <c r="Q2165" s="748">
        <f>'Part VIII-Threshold Criteria'!Q117</f>
        <v>0</v>
      </c>
    </row>
    <row r="2166" spans="2:17">
      <c r="D2166" s="748" t="s">
        <v>1643</v>
      </c>
      <c r="P2166" s="748">
        <f>'Part VIII-Threshold Criteria'!P118</f>
        <v>0</v>
      </c>
      <c r="Q2166" s="748">
        <f>'Part VIII-Threshold Criteria'!Q118</f>
        <v>0</v>
      </c>
    </row>
    <row r="2167" spans="2:17">
      <c r="D2167" s="748" t="s">
        <v>3298</v>
      </c>
      <c r="P2167" s="748">
        <f>'Part VIII-Threshold Criteria'!P119</f>
        <v>0</v>
      </c>
      <c r="Q2167" s="748">
        <f>'Part VIII-Threshold Criteria'!Q119</f>
        <v>0</v>
      </c>
    </row>
    <row r="2168" spans="2:17">
      <c r="D2168" s="748" t="s">
        <v>3297</v>
      </c>
      <c r="P2168" s="748">
        <f>'Part VIII-Threshold Criteria'!P120</f>
        <v>0</v>
      </c>
      <c r="Q2168" s="748">
        <f>'Part VIII-Threshold Criteria'!Q120</f>
        <v>0</v>
      </c>
    </row>
    <row r="2169" spans="2:17">
      <c r="C2169" s="748" t="s">
        <v>3672</v>
      </c>
      <c r="D2169" s="748" t="s">
        <v>895</v>
      </c>
      <c r="O2169" s="748" t="s">
        <v>3672</v>
      </c>
      <c r="P2169" s="748">
        <f>'Part VIII-Threshold Criteria'!P121</f>
        <v>0</v>
      </c>
      <c r="Q2169" s="748">
        <f>'Part VIII-Threshold Criteria'!Q121</f>
        <v>0</v>
      </c>
    </row>
    <row r="2170" spans="2:17">
      <c r="B2170" s="748" t="s">
        <v>2901</v>
      </c>
      <c r="C2170" s="748" t="s">
        <v>3784</v>
      </c>
      <c r="O2170" s="748" t="s">
        <v>2901</v>
      </c>
      <c r="P2170" s="748">
        <f>'Part VIII-Threshold Criteria'!P122</f>
        <v>0</v>
      </c>
      <c r="Q2170" s="748">
        <f>'Part VIII-Threshold Criteria'!Q122</f>
        <v>0</v>
      </c>
    </row>
    <row r="2171" spans="2:17">
      <c r="C2171" s="748" t="s">
        <v>2903</v>
      </c>
      <c r="D2171" s="748" t="s">
        <v>3785</v>
      </c>
      <c r="F2171" s="748" t="str">
        <f>'Part VIII-Threshold Criteria'!F123</f>
        <v>No</v>
      </c>
      <c r="G2171" s="748">
        <f>'Part VIII-Threshold Criteria'!G123</f>
        <v>0</v>
      </c>
      <c r="H2171" s="748" t="s">
        <v>2905</v>
      </c>
      <c r="I2171" s="748" t="s">
        <v>2447</v>
      </c>
      <c r="J2171" s="748" t="str">
        <f>'Part VIII-Threshold Criteria'!J123</f>
        <v>No</v>
      </c>
      <c r="K2171" s="748">
        <f>'Part VIII-Threshold Criteria'!K123</f>
        <v>0</v>
      </c>
      <c r="L2171" s="748" t="s">
        <v>2445</v>
      </c>
      <c r="M2171" s="748" t="s">
        <v>3740</v>
      </c>
      <c r="N2171" s="748" t="str">
        <f>'Part VIII-Threshold Criteria'!N123</f>
        <v>No</v>
      </c>
      <c r="O2171" s="748">
        <f>'Part VIII-Threshold Criteria'!O123</f>
        <v>0</v>
      </c>
    </row>
    <row r="2172" spans="2:17">
      <c r="C2172" s="748" t="s">
        <v>2904</v>
      </c>
      <c r="D2172" s="748" t="s">
        <v>3880</v>
      </c>
      <c r="F2172" s="748" t="str">
        <f>'Part VIII-Threshold Criteria'!F124</f>
        <v>No</v>
      </c>
      <c r="G2172" s="748">
        <f>'Part VIII-Threshold Criteria'!G124</f>
        <v>0</v>
      </c>
      <c r="H2172" s="748" t="s">
        <v>3672</v>
      </c>
      <c r="I2172" s="748" t="s">
        <v>2448</v>
      </c>
      <c r="J2172" s="748" t="str">
        <f>'Part VIII-Threshold Criteria'!J124</f>
        <v>No</v>
      </c>
      <c r="K2172" s="748">
        <f>'Part VIII-Threshold Criteria'!K124</f>
        <v>0</v>
      </c>
      <c r="L2172" s="748" t="s">
        <v>2446</v>
      </c>
      <c r="M2172" s="748" t="s">
        <v>2449</v>
      </c>
      <c r="N2172" s="748" t="str">
        <f>'Part VIII-Threshold Criteria'!N124</f>
        <v>No</v>
      </c>
      <c r="O2172" s="748">
        <f>'Part VIII-Threshold Criteria'!O124</f>
        <v>0</v>
      </c>
    </row>
    <row r="2173" spans="2:17">
      <c r="C2173" s="748" t="s">
        <v>91</v>
      </c>
      <c r="D2173" s="748" t="s">
        <v>180</v>
      </c>
      <c r="J2173" s="748">
        <f>'Part VIII-Threshold Criteria'!J125</f>
        <v>0</v>
      </c>
    </row>
    <row r="2174" spans="2:17">
      <c r="B2174" s="748" t="s">
        <v>2902</v>
      </c>
      <c r="C2174" s="748" t="s">
        <v>1976</v>
      </c>
      <c r="O2174" s="748" t="s">
        <v>2902</v>
      </c>
      <c r="P2174" s="748" t="str">
        <f>'Part VIII-Threshold Criteria'!P126</f>
        <v>Yes</v>
      </c>
      <c r="Q2174" s="748">
        <f>'Part VIII-Threshold Criteria'!Q126</f>
        <v>0</v>
      </c>
    </row>
    <row r="2175" spans="2:17">
      <c r="C2175" s="748" t="s">
        <v>2903</v>
      </c>
      <c r="D2175" s="748" t="s">
        <v>1492</v>
      </c>
      <c r="O2175" s="748" t="s">
        <v>2903</v>
      </c>
      <c r="P2175" s="748" t="str">
        <f>'Part VIII-Threshold Criteria'!P127</f>
        <v>No</v>
      </c>
      <c r="Q2175" s="748">
        <f>'Part VIII-Threshold Criteria'!Q127</f>
        <v>0</v>
      </c>
    </row>
    <row r="2176" spans="2:17">
      <c r="C2176" s="748" t="s">
        <v>2904</v>
      </c>
      <c r="D2176" s="748" t="s">
        <v>894</v>
      </c>
      <c r="O2176" s="748" t="s">
        <v>2904</v>
      </c>
      <c r="P2176" s="748" t="str">
        <f>'Part VIII-Threshold Criteria'!P128</f>
        <v>Yes</v>
      </c>
      <c r="Q2176" s="748">
        <f>'Part VIII-Threshold Criteria'!Q128</f>
        <v>0</v>
      </c>
    </row>
    <row r="2177" spans="1:17">
      <c r="C2177" s="748" t="s">
        <v>2905</v>
      </c>
      <c r="D2177" s="748" t="s">
        <v>1018</v>
      </c>
      <c r="O2177" s="748" t="s">
        <v>2905</v>
      </c>
      <c r="P2177" s="748" t="str">
        <f>'Part VIII-Threshold Criteria'!P129</f>
        <v>Yes</v>
      </c>
      <c r="Q2177" s="748">
        <f>'Part VIII-Threshold Criteria'!Q129</f>
        <v>0</v>
      </c>
    </row>
    <row r="2178" spans="1:17">
      <c r="B2178" s="748" t="s">
        <v>3251</v>
      </c>
      <c r="C2178" s="748" t="s">
        <v>2919</v>
      </c>
      <c r="O2178" s="748" t="s">
        <v>3251</v>
      </c>
      <c r="P2178" s="748" t="str">
        <f>'Part VIII-Threshold Criteria'!P130</f>
        <v>N/A</v>
      </c>
      <c r="Q2178" s="748">
        <f>'Part VIII-Threshold Criteria'!Q130</f>
        <v>0</v>
      </c>
    </row>
    <row r="2180" spans="1:17">
      <c r="B2180" s="748" t="s">
        <v>3088</v>
      </c>
    </row>
    <row r="2181" spans="1:17">
      <c r="A2181" s="748" t="str">
        <f>'Part VIII-Threshold Criteria'!A133</f>
        <v>Per Environmental, site has no floodplain or wetland.  We have shown a floodplain on the site plan, as we understand from Walker County that new floodplain data is being compiled indicating a floodplain, as depicted</v>
      </c>
    </row>
    <row r="2182" spans="1:17">
      <c r="A2182" s="748" t="str">
        <f>'Part VIII-Threshold Criteria'!A134</f>
        <v>in the site plan, on the western side of the site.  All applicable floodplain/floodzone buffers will be met or exceeded as depicted in site plan.</v>
      </c>
    </row>
    <row r="2183" spans="1:17">
      <c r="A2183" s="748">
        <f>'Part VIII-Threshold Criteria'!A135</f>
        <v>0</v>
      </c>
    </row>
    <row r="2184" spans="1:17">
      <c r="B2184" s="748" t="s">
        <v>3089</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1743</v>
      </c>
      <c r="O2189" s="748" t="s">
        <v>3090</v>
      </c>
      <c r="P2189" s="748">
        <f>'Part VIII-Threshold Criteria'!P141</f>
        <v>0</v>
      </c>
    </row>
    <row r="2190" spans="1:17">
      <c r="B2190" s="748" t="s">
        <v>3000</v>
      </c>
      <c r="C2190" s="748" t="s">
        <v>3228</v>
      </c>
      <c r="O2190" s="748" t="s">
        <v>3000</v>
      </c>
      <c r="P2190" s="748" t="str">
        <f>'Part VIII-Threshold Criteria'!P142</f>
        <v>Yes</v>
      </c>
      <c r="Q2190" s="748">
        <f>'Part VIII-Threshold Criteria'!Q142</f>
        <v>0</v>
      </c>
    </row>
    <row r="2191" spans="1:17">
      <c r="B2191" s="748" t="s">
        <v>3112</v>
      </c>
      <c r="C2191" s="748" t="s">
        <v>250</v>
      </c>
      <c r="M2191" s="748" t="s">
        <v>3112</v>
      </c>
      <c r="N2191" s="748" t="str">
        <f>'Part VIII-Threshold Criteria'!N143</f>
        <v>Contract/Option</v>
      </c>
      <c r="P2191" s="748">
        <f>'Part VIII-Threshold Criteria'!P143</f>
        <v>0</v>
      </c>
    </row>
    <row r="2192" spans="1:17">
      <c r="B2192" s="748" t="s">
        <v>1517</v>
      </c>
      <c r="C2192" s="748" t="s">
        <v>1019</v>
      </c>
      <c r="J2192" s="748" t="s">
        <v>1517</v>
      </c>
      <c r="K2192" s="748" t="str">
        <f>'Part VIII-Threshold Criteria'!K144</f>
        <v>Endeavor Pointe L.P.</v>
      </c>
      <c r="P2192" s="748" t="str">
        <f>'Part VIII-Threshold Criteria'!P144</f>
        <v>Yes</v>
      </c>
      <c r="Q2192" s="748">
        <f>'Part VIII-Threshold Criteria'!Q144</f>
        <v>0</v>
      </c>
    </row>
    <row r="2193" spans="1:17">
      <c r="B2193" s="748" t="s">
        <v>3088</v>
      </c>
    </row>
    <row r="2194" spans="1:17">
      <c r="A2194" s="748" t="str">
        <f>'Part VIII-Threshold Criteria'!A146</f>
        <v>Site control thru 12/31/11, per tab 12</v>
      </c>
    </row>
    <row r="2195" spans="1:17">
      <c r="A2195" s="748">
        <f>'Part VIII-Threshold Criteria'!A147</f>
        <v>0</v>
      </c>
    </row>
    <row r="2196" spans="1:17">
      <c r="B2196" s="748" t="s">
        <v>3089</v>
      </c>
    </row>
    <row r="2197" spans="1:17">
      <c r="A2197" s="748">
        <f>'Part VIII-Threshold Criteria'!A149</f>
        <v>0</v>
      </c>
    </row>
    <row r="2198" spans="1:17">
      <c r="A2198" s="748">
        <f>'Part VIII-Threshold Criteria'!A150</f>
        <v>0</v>
      </c>
    </row>
    <row r="2200" spans="1:17">
      <c r="A2200" s="748">
        <v>8</v>
      </c>
      <c r="B2200" s="748" t="s">
        <v>833</v>
      </c>
      <c r="O2200" s="748" t="s">
        <v>3090</v>
      </c>
      <c r="P2200" s="748">
        <f>'Part VIII-Threshold Criteria'!P152</f>
        <v>0</v>
      </c>
    </row>
    <row r="2201" spans="1:17">
      <c r="B2201" s="748" t="s">
        <v>3000</v>
      </c>
      <c r="C2201" s="748" t="s">
        <v>348</v>
      </c>
      <c r="O2201" s="748" t="s">
        <v>3000</v>
      </c>
      <c r="P2201" s="748" t="str">
        <f>'Part VIII-Threshold Criteria'!P153</f>
        <v>Yes</v>
      </c>
      <c r="Q2201" s="748">
        <f>'Part VIII-Threshold Criteria'!Q153</f>
        <v>0</v>
      </c>
    </row>
    <row r="2202" spans="1:17">
      <c r="B2202" s="748" t="s">
        <v>3112</v>
      </c>
      <c r="C2202" s="748" t="s">
        <v>3810</v>
      </c>
      <c r="O2202" s="748" t="s">
        <v>3112</v>
      </c>
      <c r="P2202" s="748">
        <f>'Part VIII-Threshold Criteria'!P154</f>
        <v>0</v>
      </c>
      <c r="Q2202" s="748">
        <f>'Part VIII-Threshold Criteria'!Q154</f>
        <v>0</v>
      </c>
    </row>
    <row r="2203" spans="1:17">
      <c r="B2203" s="748" t="s">
        <v>3088</v>
      </c>
    </row>
    <row r="2204" spans="1:17">
      <c r="A2204" s="748" t="str">
        <f>'Part VIII-Threshold Criteria'!A156</f>
        <v>Site is accessible from Kay Conley Road, which is a Walker County road per documentation listed in tab 13</v>
      </c>
    </row>
    <row r="2205" spans="1:17">
      <c r="A2205" s="748">
        <f>'Part VIII-Threshold Criteria'!A157</f>
        <v>0</v>
      </c>
    </row>
    <row r="2206" spans="1:17">
      <c r="B2206" s="748" t="s">
        <v>3089</v>
      </c>
    </row>
    <row r="2207" spans="1:17">
      <c r="A2207" s="748">
        <f>'Part VIII-Threshold Criteria'!A159</f>
        <v>0</v>
      </c>
    </row>
    <row r="2208" spans="1:17">
      <c r="A2208" s="748">
        <f>'Part VIII-Threshold Criteria'!A160</f>
        <v>0</v>
      </c>
    </row>
    <row r="2210" spans="1:17">
      <c r="A2210" s="748">
        <v>9</v>
      </c>
      <c r="B2210" s="748" t="s">
        <v>581</v>
      </c>
      <c r="O2210" s="748" t="s">
        <v>3090</v>
      </c>
      <c r="P2210" s="748">
        <f>'Part VIII-Threshold Criteria'!P162</f>
        <v>0</v>
      </c>
    </row>
    <row r="2211" spans="1:17">
      <c r="B2211" s="748" t="s">
        <v>3000</v>
      </c>
      <c r="C2211" s="748" t="s">
        <v>852</v>
      </c>
      <c r="O2211" s="748" t="s">
        <v>3000</v>
      </c>
      <c r="P2211" s="748" t="str">
        <f>'Part VIII-Threshold Criteria'!P163</f>
        <v>Yes</v>
      </c>
      <c r="Q2211" s="748">
        <f>'Part VIII-Threshold Criteria'!Q163</f>
        <v>0</v>
      </c>
    </row>
    <row r="2212" spans="1:17">
      <c r="B2212" s="748" t="s">
        <v>3112</v>
      </c>
      <c r="C2212" s="748" t="s">
        <v>774</v>
      </c>
      <c r="O2212" s="748" t="s">
        <v>3112</v>
      </c>
      <c r="P2212" s="748" t="str">
        <f>'Part VIII-Threshold Criteria'!P164</f>
        <v>Yes</v>
      </c>
      <c r="Q2212" s="748">
        <f>'Part VIII-Threshold Criteria'!Q164</f>
        <v>0</v>
      </c>
    </row>
    <row r="2213" spans="1:17">
      <c r="B2213" s="748" t="s">
        <v>1517</v>
      </c>
      <c r="C2213" s="748" t="s">
        <v>947</v>
      </c>
      <c r="O2213" s="748" t="s">
        <v>1517</v>
      </c>
      <c r="P2213" s="748" t="str">
        <f>'Part VIII-Threshold Criteria'!P165</f>
        <v>Yes</v>
      </c>
      <c r="Q2213" s="748">
        <f>'Part VIII-Threshold Criteria'!Q165</f>
        <v>0</v>
      </c>
    </row>
    <row r="2214" spans="1:17">
      <c r="B2214" s="748" t="s">
        <v>3316</v>
      </c>
      <c r="C2214" s="748" t="s">
        <v>948</v>
      </c>
      <c r="O2214" s="748" t="s">
        <v>3316</v>
      </c>
      <c r="P2214" s="748" t="str">
        <f>'Part VIII-Threshold Criteria'!P166</f>
        <v>Yes</v>
      </c>
      <c r="Q2214" s="748">
        <f>'Part VIII-Threshold Criteria'!Q166</f>
        <v>0</v>
      </c>
    </row>
    <row r="2215" spans="1:17">
      <c r="B2215" s="748" t="s">
        <v>2901</v>
      </c>
      <c r="C2215" s="748" t="s">
        <v>3715</v>
      </c>
      <c r="O2215" s="748" t="s">
        <v>2901</v>
      </c>
      <c r="P2215" s="748" t="str">
        <f>'Part VIII-Threshold Criteria'!P167</f>
        <v>Yes</v>
      </c>
      <c r="Q2215" s="748">
        <f>'Part VIII-Threshold Criteria'!Q167</f>
        <v>0</v>
      </c>
    </row>
    <row r="2216" spans="1:17">
      <c r="B2216" s="748" t="s">
        <v>3088</v>
      </c>
    </row>
    <row r="2217" spans="1:17">
      <c r="A2217" s="748">
        <f>'Part VIII-Threshold Criteria'!A169</f>
        <v>0</v>
      </c>
    </row>
    <row r="2218" spans="1:17">
      <c r="A2218" s="748">
        <f>'Part VIII-Threshold Criteria'!A170</f>
        <v>0</v>
      </c>
    </row>
    <row r="2219" spans="1:17">
      <c r="B2219" s="748" t="s">
        <v>3089</v>
      </c>
    </row>
    <row r="2220" spans="1:17">
      <c r="A2220" s="748">
        <f>'Part VIII-Threshold Criteria'!A172</f>
        <v>0</v>
      </c>
    </row>
    <row r="2221" spans="1:17">
      <c r="A2221" s="748">
        <f>'Part VIII-Threshold Criteria'!A173</f>
        <v>0</v>
      </c>
    </row>
    <row r="2223" spans="1:17">
      <c r="A2223" s="748">
        <v>10</v>
      </c>
      <c r="B2223" s="748" t="s">
        <v>479</v>
      </c>
      <c r="O2223" s="748" t="s">
        <v>3090</v>
      </c>
      <c r="P2223" s="748">
        <f>'Part VIII-Threshold Criteria'!P175</f>
        <v>0</v>
      </c>
    </row>
    <row r="2224" spans="1:17">
      <c r="B2224" s="748" t="s">
        <v>3000</v>
      </c>
      <c r="C2224" s="748" t="s">
        <v>160</v>
      </c>
      <c r="H2224" s="748" t="s">
        <v>2903</v>
      </c>
      <c r="I2224" s="748" t="s">
        <v>252</v>
      </c>
      <c r="J2224" s="748" t="str">
        <f>'Part VIII-Threshold Criteria'!J176</f>
        <v>N/A</v>
      </c>
      <c r="O2224" s="748" t="s">
        <v>2903</v>
      </c>
      <c r="P2224" s="748" t="str">
        <f>'Part VIII-Threshold Criteria'!P176</f>
        <v>No</v>
      </c>
      <c r="Q2224" s="748">
        <f>'Part VIII-Threshold Criteria'!Q176</f>
        <v>0</v>
      </c>
    </row>
    <row r="2225" spans="1:17">
      <c r="H2225" s="748" t="s">
        <v>2904</v>
      </c>
      <c r="I2225" s="748" t="s">
        <v>2515</v>
      </c>
      <c r="J2225" s="748" t="str">
        <f>'Part VIII-Threshold Criteria'!J177</f>
        <v>North Georgia EMC</v>
      </c>
      <c r="O2225" s="748" t="s">
        <v>2904</v>
      </c>
      <c r="P2225" s="748" t="str">
        <f>'Part VIII-Threshold Criteria'!P177</f>
        <v>Yes</v>
      </c>
      <c r="Q2225" s="748">
        <f>'Part VIII-Threshold Criteria'!Q177</f>
        <v>0</v>
      </c>
    </row>
    <row r="2226" spans="1:17">
      <c r="B2226" s="748" t="s">
        <v>3088</v>
      </c>
    </row>
    <row r="2227" spans="1:17">
      <c r="A2227" s="748" t="str">
        <f>'Part VIII-Threshold Criteria'!A179</f>
        <v xml:space="preserve">This proposal will not use gas.  </v>
      </c>
    </row>
    <row r="2228" spans="1:17">
      <c r="B2228" s="748" t="s">
        <v>3089</v>
      </c>
    </row>
    <row r="2229" spans="1:17">
      <c r="A2229" s="748">
        <f>'Part VIII-Threshold Criteria'!A181</f>
        <v>0</v>
      </c>
    </row>
    <row r="2231" spans="1:17">
      <c r="A2231" s="748">
        <v>11</v>
      </c>
      <c r="B2231" s="748" t="s">
        <v>3813</v>
      </c>
      <c r="O2231" s="748" t="s">
        <v>3090</v>
      </c>
      <c r="P2231" s="748">
        <f>'Part VIII-Threshold Criteria'!P183</f>
        <v>0</v>
      </c>
    </row>
    <row r="2233" spans="1:17">
      <c r="B2233" s="748" t="s">
        <v>3000</v>
      </c>
      <c r="C2233" s="748" t="s">
        <v>2903</v>
      </c>
      <c r="D2233" s="748" t="s">
        <v>1038</v>
      </c>
      <c r="O2233" s="748" t="s">
        <v>2501</v>
      </c>
      <c r="P2233" s="748" t="str">
        <f>'Part VIII-Threshold Criteria'!P185</f>
        <v>No</v>
      </c>
      <c r="Q2233" s="748">
        <f>'Part VIII-Threshold Criteria'!Q185</f>
        <v>0</v>
      </c>
    </row>
    <row r="2234" spans="1:17">
      <c r="C2234" s="748" t="s">
        <v>2904</v>
      </c>
      <c r="D2234" s="748" t="s">
        <v>2350</v>
      </c>
      <c r="O2234" s="748" t="s">
        <v>2904</v>
      </c>
      <c r="P2234" s="748">
        <f>'Part VIII-Threshold Criteria'!P186</f>
        <v>0</v>
      </c>
      <c r="Q2234" s="748">
        <f>'Part VIII-Threshold Criteria'!Q186</f>
        <v>0</v>
      </c>
    </row>
    <row r="2235" spans="1:17">
      <c r="B2235" s="748" t="s">
        <v>3112</v>
      </c>
      <c r="C2235" s="748" t="s">
        <v>3063</v>
      </c>
      <c r="H2235" s="748" t="s">
        <v>2903</v>
      </c>
      <c r="I2235" s="748" t="s">
        <v>1138</v>
      </c>
      <c r="J2235" s="748" t="str">
        <f>'Part VIII-Threshold Criteria'!J187</f>
        <v>City of LaFayette</v>
      </c>
      <c r="O2235" s="748" t="s">
        <v>2209</v>
      </c>
      <c r="P2235" s="748" t="str">
        <f>'Part VIII-Threshold Criteria'!P187</f>
        <v>Yes</v>
      </c>
      <c r="Q2235" s="748">
        <f>'Part VIII-Threshold Criteria'!Q187</f>
        <v>0</v>
      </c>
    </row>
    <row r="2236" spans="1:17">
      <c r="H2236" s="748" t="s">
        <v>2904</v>
      </c>
      <c r="I2236" s="748" t="s">
        <v>278</v>
      </c>
      <c r="J2236" s="748" t="str">
        <f>'Part VIII-Threshold Criteria'!J188</f>
        <v>Walker County Water and Sewerage Authority</v>
      </c>
      <c r="O2236" s="748" t="s">
        <v>2904</v>
      </c>
      <c r="P2236" s="748" t="str">
        <f>'Part VIII-Threshold Criteria'!P188</f>
        <v>Yes</v>
      </c>
      <c r="Q2236" s="748">
        <f>'Part VIII-Threshold Criteria'!Q188</f>
        <v>0</v>
      </c>
    </row>
    <row r="2237" spans="1:17">
      <c r="B2237" s="748" t="s">
        <v>3088</v>
      </c>
    </row>
    <row r="2238" spans="1:17">
      <c r="A2238" s="748">
        <f>'Part VIII-Threshold Criteria'!A190</f>
        <v>0</v>
      </c>
    </row>
    <row r="2239" spans="1:17">
      <c r="B2239" s="748" t="s">
        <v>3089</v>
      </c>
    </row>
    <row r="2240" spans="1:17">
      <c r="A2240" s="748">
        <f>'Part VIII-Threshold Criteria'!A192</f>
        <v>0</v>
      </c>
    </row>
    <row r="2242" spans="1:17">
      <c r="A2242" s="748">
        <v>12</v>
      </c>
      <c r="B2242" s="748" t="s">
        <v>370</v>
      </c>
      <c r="O2242" s="748" t="s">
        <v>3090</v>
      </c>
      <c r="P2242" s="748">
        <f>'Part VIII-Threshold Criteria'!P194</f>
        <v>0</v>
      </c>
    </row>
    <row r="2243" spans="1:17">
      <c r="B2243" s="748" t="s">
        <v>371</v>
      </c>
    </row>
    <row r="2244" spans="1:17">
      <c r="B2244" s="748" t="s">
        <v>3000</v>
      </c>
      <c r="C2244" s="748" t="s">
        <v>375</v>
      </c>
      <c r="O2244" s="748" t="s">
        <v>3000</v>
      </c>
      <c r="P2244" s="748" t="str">
        <f>'Part VIII-Threshold Criteria'!P196</f>
        <v>Yes</v>
      </c>
      <c r="Q2244" s="748">
        <f>'Part VIII-Threshold Criteria'!Q196</f>
        <v>0</v>
      </c>
    </row>
    <row r="2245" spans="1:17">
      <c r="B2245" s="748" t="s">
        <v>3112</v>
      </c>
      <c r="C2245" s="748" t="s">
        <v>372</v>
      </c>
      <c r="O2245" s="748" t="s">
        <v>3112</v>
      </c>
      <c r="P2245" s="748" t="str">
        <f>'Part VIII-Threshold Criteria'!P197</f>
        <v>Yes</v>
      </c>
      <c r="Q2245" s="748">
        <f>'Part VIII-Threshold Criteria'!Q197</f>
        <v>0</v>
      </c>
    </row>
    <row r="2246" spans="1:17">
      <c r="B2246" s="748" t="s">
        <v>1517</v>
      </c>
      <c r="C2246" s="748" t="s">
        <v>373</v>
      </c>
      <c r="O2246" s="748" t="s">
        <v>1517</v>
      </c>
      <c r="P2246" s="748" t="str">
        <f>'Part VIII-Threshold Criteria'!P198</f>
        <v>Yes</v>
      </c>
      <c r="Q2246" s="748">
        <f>'Part VIII-Threshold Criteria'!Q198</f>
        <v>0</v>
      </c>
    </row>
    <row r="2247" spans="1:17">
      <c r="B2247" s="748" t="s">
        <v>3316</v>
      </c>
      <c r="C2247" s="748" t="s">
        <v>374</v>
      </c>
      <c r="O2247" s="748" t="s">
        <v>3316</v>
      </c>
      <c r="P2247" s="748" t="str">
        <f>'Part VIII-Threshold Criteria'!P199</f>
        <v>No</v>
      </c>
      <c r="Q2247" s="748">
        <f>'Part VIII-Threshold Criteria'!Q199</f>
        <v>0</v>
      </c>
    </row>
    <row r="2248" spans="1:17">
      <c r="B2248" s="748" t="s">
        <v>3088</v>
      </c>
    </row>
    <row r="2249" spans="1:17">
      <c r="A2249" s="748" t="str">
        <f>'Part VIII-Threshold Criteria'!A201</f>
        <v>Walker County sole commissioner, Bebe Heiskell, provided a resolution of support for Endeavor Pointe.  In addition, she indicated the strong need for elderly housing in Walker County in an interview with a local newspaper.</v>
      </c>
    </row>
    <row r="2250" spans="1:17">
      <c r="A2250" s="748" t="str">
        <f>'Part VIII-Threshold Criteria'!A202</f>
        <v xml:space="preserve">  Please see resolution of support, along with minutes from zoning meetings as well as resolution of support meeting, as well as newspaper article on proposed development in tab 16</v>
      </c>
    </row>
    <row r="2252" spans="1:17">
      <c r="B2252" s="748" t="s">
        <v>3089</v>
      </c>
    </row>
    <row r="2253" spans="1:17">
      <c r="A2253" s="748">
        <f>'Part VIII-Threshold Criteria'!A205</f>
        <v>0</v>
      </c>
    </row>
    <row r="2254" spans="1:17">
      <c r="A2254" s="748">
        <f>'Part VIII-Threshold Criteria'!A206</f>
        <v>0</v>
      </c>
    </row>
    <row r="2256" spans="1:17">
      <c r="A2256" s="748">
        <v>13</v>
      </c>
      <c r="B2256" s="748" t="s">
        <v>709</v>
      </c>
      <c r="O2256" s="748" t="s">
        <v>3090</v>
      </c>
      <c r="P2256" s="748">
        <f>'Part VIII-Threshold Criteria'!P208</f>
        <v>0</v>
      </c>
    </row>
    <row r="2257" spans="2:17">
      <c r="B2257" s="748" t="s">
        <v>1843</v>
      </c>
      <c r="P2257" s="748" t="str">
        <f>'Part VIII-Threshold Criteria'!P209</f>
        <v>No</v>
      </c>
      <c r="Q2257" s="748">
        <f>'Part VIII-Threshold Criteria'!Q209</f>
        <v>0</v>
      </c>
    </row>
    <row r="2258" spans="2:17">
      <c r="B2258" s="748" t="s">
        <v>3000</v>
      </c>
      <c r="C2258" s="748" t="s">
        <v>2214</v>
      </c>
    </row>
    <row r="2259" spans="2:17">
      <c r="C2259" s="748" t="s">
        <v>2903</v>
      </c>
      <c r="D2259" s="748" t="s">
        <v>3242</v>
      </c>
      <c r="L2259" s="748" t="s">
        <v>2501</v>
      </c>
      <c r="M2259" s="748" t="str">
        <f>'Part VIII-Threshold Criteria'!M211</f>
        <v>Building</v>
      </c>
      <c r="P2259" s="748" t="str">
        <f>'Part VIII-Threshold Criteria'!P211</f>
        <v>Agree</v>
      </c>
      <c r="Q2259" s="748">
        <f>'Part VIII-Threshold Criteria'!Q211</f>
        <v>0</v>
      </c>
    </row>
    <row r="2260" spans="2:17">
      <c r="C2260" s="748" t="s">
        <v>2904</v>
      </c>
      <c r="D2260" s="748" t="s">
        <v>381</v>
      </c>
      <c r="L2260" s="748" t="s">
        <v>2502</v>
      </c>
      <c r="M2260" s="748" t="str">
        <f>'Part VIII-Threshold Criteria'!M212</f>
        <v>Covered Porch</v>
      </c>
      <c r="P2260" s="748" t="str">
        <f>'Part VIII-Threshold Criteria'!P212</f>
        <v>Agree</v>
      </c>
      <c r="Q2260" s="748">
        <f>'Part VIII-Threshold Criteria'!Q212</f>
        <v>0</v>
      </c>
    </row>
    <row r="2261" spans="2:17">
      <c r="C2261" s="748" t="s">
        <v>2905</v>
      </c>
      <c r="D2261" s="748" t="s">
        <v>991</v>
      </c>
      <c r="L2261" s="748" t="s">
        <v>2503</v>
      </c>
      <c r="M2261" s="748" t="str">
        <f>'Part VIII-Threshold Criteria'!M213</f>
        <v>On-site laundry</v>
      </c>
      <c r="P2261" s="748" t="str">
        <f>'Part VIII-Threshold Criteria'!P213</f>
        <v>Agree</v>
      </c>
      <c r="Q2261" s="748">
        <f>'Part VIII-Threshold Criteria'!Q213</f>
        <v>0</v>
      </c>
    </row>
    <row r="2263" spans="2:17">
      <c r="B2263" s="748" t="s">
        <v>3112</v>
      </c>
      <c r="C2263" s="748" t="s">
        <v>3987</v>
      </c>
      <c r="O2263" s="748" t="s">
        <v>3112</v>
      </c>
      <c r="P2263" s="748" t="str">
        <f>'Part VIII-Threshold Criteria'!P215</f>
        <v>Agree</v>
      </c>
      <c r="Q2263" s="748">
        <f>'Part VIII-Threshold Criteria'!Q215</f>
        <v>0</v>
      </c>
    </row>
    <row r="2264" spans="2:17">
      <c r="C2264" s="748" t="s">
        <v>4134</v>
      </c>
      <c r="P2264" s="748" t="s">
        <v>154</v>
      </c>
    </row>
    <row r="2265" spans="2:17">
      <c r="D2265" s="748" t="s">
        <v>153</v>
      </c>
      <c r="I2265" s="748" t="s">
        <v>1710</v>
      </c>
      <c r="J2265" s="748" t="s">
        <v>1711</v>
      </c>
      <c r="L2265" s="748" t="s">
        <v>153</v>
      </c>
      <c r="P2265" s="748" t="s">
        <v>1710</v>
      </c>
      <c r="Q2265" s="748" t="s">
        <v>1711</v>
      </c>
    </row>
    <row r="2266" spans="2:17">
      <c r="C2266" s="748" t="s">
        <v>2903</v>
      </c>
      <c r="D2266" s="748" t="str">
        <f>'Part VIII-Threshold Criteria'!D218</f>
        <v>Equipped Computer Resource Room</v>
      </c>
      <c r="I2266" s="748">
        <f>'Part VIII-Threshold Criteria'!I218</f>
        <v>0</v>
      </c>
      <c r="J2266" s="748">
        <f>'Part VIII-Threshold Criteria'!J218</f>
        <v>0</v>
      </c>
      <c r="K2266" s="748" t="s">
        <v>2905</v>
      </c>
      <c r="L2266" s="748">
        <f>'Part VIII-Threshold Criteria'!L218</f>
        <v>0</v>
      </c>
      <c r="P2266" s="748">
        <f>'Part VIII-Threshold Criteria'!P218</f>
        <v>0</v>
      </c>
      <c r="Q2266" s="748">
        <f>'Part VIII-Threshold Criteria'!Q218</f>
        <v>0</v>
      </c>
    </row>
    <row r="2267" spans="2:17">
      <c r="C2267" s="748" t="s">
        <v>2904</v>
      </c>
      <c r="D2267" s="748" t="str">
        <f>'Part VIII-Threshold Criteria'!D219</f>
        <v>Equipped Walking Path with Sitting Areas</v>
      </c>
      <c r="I2267" s="748">
        <f>'Part VIII-Threshold Criteria'!I219</f>
        <v>0</v>
      </c>
      <c r="J2267" s="748">
        <f>'Part VIII-Threshold Criteria'!J219</f>
        <v>0</v>
      </c>
      <c r="K2267" s="748" t="s">
        <v>3672</v>
      </c>
      <c r="L2267" s="748">
        <f>'Part VIII-Threshold Criteria'!L219</f>
        <v>0</v>
      </c>
      <c r="P2267" s="748">
        <f>'Part VIII-Threshold Criteria'!P219</f>
        <v>0</v>
      </c>
      <c r="Q2267" s="748">
        <f>'Part VIII-Threshold Criteria'!Q219</f>
        <v>0</v>
      </c>
    </row>
    <row r="2269" spans="2:17">
      <c r="B2269" s="748" t="s">
        <v>1517</v>
      </c>
      <c r="C2269" s="748" t="s">
        <v>2215</v>
      </c>
      <c r="O2269" s="748" t="s">
        <v>1517</v>
      </c>
      <c r="P2269" s="748" t="str">
        <f>'Part VIII-Threshold Criteria'!P221</f>
        <v>Agree</v>
      </c>
      <c r="Q2269" s="748">
        <f>'Part VIII-Threshold Criteria'!Q221</f>
        <v>0</v>
      </c>
    </row>
    <row r="2270" spans="2:17">
      <c r="C2270" s="748" t="s">
        <v>2903</v>
      </c>
      <c r="D2270" s="748" t="s">
        <v>253</v>
      </c>
      <c r="O2270" s="748" t="s">
        <v>2903</v>
      </c>
      <c r="P2270" s="748" t="str">
        <f>'Part VIII-Threshold Criteria'!P222</f>
        <v>Yes</v>
      </c>
      <c r="Q2270" s="748">
        <f>'Part VIII-Threshold Criteria'!Q222</f>
        <v>0</v>
      </c>
    </row>
    <row r="2271" spans="2:17">
      <c r="C2271" s="748" t="s">
        <v>2904</v>
      </c>
      <c r="D2271" s="748" t="s">
        <v>2761</v>
      </c>
      <c r="O2271" s="748" t="s">
        <v>2904</v>
      </c>
      <c r="P2271" s="748" t="str">
        <f>'Part VIII-Threshold Criteria'!P223</f>
        <v>Yes</v>
      </c>
      <c r="Q2271" s="748">
        <f>'Part VIII-Threshold Criteria'!Q223</f>
        <v>0</v>
      </c>
    </row>
    <row r="2272" spans="2:17">
      <c r="C2272" s="748" t="s">
        <v>2905</v>
      </c>
      <c r="D2272" s="748" t="s">
        <v>2198</v>
      </c>
      <c r="O2272" s="748" t="s">
        <v>2905</v>
      </c>
      <c r="P2272" s="748" t="str">
        <f>'Part VIII-Threshold Criteria'!P224</f>
        <v>Yes</v>
      </c>
      <c r="Q2272" s="748">
        <f>'Part VIII-Threshold Criteria'!Q224</f>
        <v>0</v>
      </c>
    </row>
    <row r="2273" spans="1:17">
      <c r="C2273" s="748" t="s">
        <v>3672</v>
      </c>
      <c r="D2273" s="748" t="s">
        <v>254</v>
      </c>
      <c r="O2273" s="748" t="s">
        <v>3672</v>
      </c>
      <c r="P2273" s="748" t="str">
        <f>'Part VIII-Threshold Criteria'!P225</f>
        <v>Yes</v>
      </c>
      <c r="Q2273" s="748">
        <f>'Part VIII-Threshold Criteria'!Q225</f>
        <v>0</v>
      </c>
    </row>
    <row r="2274" spans="1:17">
      <c r="C2274" s="748" t="s">
        <v>2445</v>
      </c>
      <c r="D2274" s="748" t="s">
        <v>1712</v>
      </c>
      <c r="O2274" s="748" t="s">
        <v>1713</v>
      </c>
      <c r="P2274" s="748" t="str">
        <f>'Part VIII-Threshold Criteria'!P226</f>
        <v>Yes</v>
      </c>
      <c r="Q2274" s="748">
        <f>'Part VIII-Threshold Criteria'!Q226</f>
        <v>0</v>
      </c>
    </row>
    <row r="2275" spans="1:17">
      <c r="D2275" s="748" t="s">
        <v>2508</v>
      </c>
      <c r="O2275" s="748" t="s">
        <v>1714</v>
      </c>
      <c r="P2275" s="748" t="str">
        <f>'Part VIII-Threshold Criteria'!P227</f>
        <v>No</v>
      </c>
      <c r="Q2275" s="748">
        <f>'Part VIII-Threshold Criteria'!Q227</f>
        <v>0</v>
      </c>
    </row>
    <row r="2277" spans="1:17">
      <c r="B2277" s="748" t="s">
        <v>3316</v>
      </c>
      <c r="C2277" s="748" t="s">
        <v>2504</v>
      </c>
      <c r="O2277" s="748" t="s">
        <v>3316</v>
      </c>
      <c r="P2277" s="748" t="str">
        <f>'Part VIII-Threshold Criteria'!P229</f>
        <v>Agree</v>
      </c>
      <c r="Q2277" s="748">
        <f>'Part VIII-Threshold Criteria'!Q229</f>
        <v>0</v>
      </c>
    </row>
    <row r="2278" spans="1:17">
      <c r="C2278" s="748" t="s">
        <v>2903</v>
      </c>
      <c r="D2278" s="748" t="s">
        <v>1932</v>
      </c>
      <c r="O2278" s="748" t="s">
        <v>2903</v>
      </c>
      <c r="P2278" s="748" t="str">
        <f>'Part VIII-Threshold Criteria'!P230</f>
        <v>Yes</v>
      </c>
      <c r="Q2278" s="748">
        <f>'Part VIII-Threshold Criteria'!Q230</f>
        <v>0</v>
      </c>
    </row>
    <row r="2279" spans="1:17">
      <c r="C2279" s="748" t="s">
        <v>2904</v>
      </c>
      <c r="D2279" s="748" t="s">
        <v>382</v>
      </c>
      <c r="O2279" s="748" t="s">
        <v>2904</v>
      </c>
      <c r="P2279" s="748" t="str">
        <f>'Part VIII-Threshold Criteria'!P231</f>
        <v>No</v>
      </c>
      <c r="Q2279" s="748">
        <f>'Part VIII-Threshold Criteria'!Q231</f>
        <v>0</v>
      </c>
    </row>
    <row r="2280" spans="1:17">
      <c r="C2280" s="748" t="s">
        <v>2905</v>
      </c>
      <c r="D2280" s="748" t="s">
        <v>2595</v>
      </c>
      <c r="O2280" s="748" t="s">
        <v>3680</v>
      </c>
      <c r="P2280" s="748" t="str">
        <f>'Part VIII-Threshold Criteria'!P232</f>
        <v>Yes</v>
      </c>
      <c r="Q2280" s="748">
        <f>'Part VIII-Threshold Criteria'!Q232</f>
        <v>0</v>
      </c>
    </row>
    <row r="2281" spans="1:17">
      <c r="D2281" s="748" t="s">
        <v>1977</v>
      </c>
      <c r="O2281" s="748" t="s">
        <v>3681</v>
      </c>
      <c r="P2281" s="748" t="str">
        <f>'Part VIII-Threshold Criteria'!P233</f>
        <v>No</v>
      </c>
      <c r="Q2281" s="748">
        <f>'Part VIII-Threshold Criteria'!Q233</f>
        <v>0</v>
      </c>
    </row>
    <row r="2282" spans="1:17">
      <c r="B2282" s="748" t="s">
        <v>3088</v>
      </c>
    </row>
    <row r="2283" spans="1:17">
      <c r="A2283" s="748" t="str">
        <f>'Part VIII-Threshold Criteria'!A235</f>
        <v>Building is two stories, so D. 2 above was answered "no"</v>
      </c>
    </row>
    <row r="2284" spans="1:17">
      <c r="A2284" s="748">
        <f>'Part VIII-Threshold Criteria'!A236</f>
        <v>0</v>
      </c>
    </row>
    <row r="2285" spans="1:17">
      <c r="B2285" s="748" t="s">
        <v>3089</v>
      </c>
    </row>
    <row r="2286" spans="1:17">
      <c r="A2286" s="748">
        <f>'Part VIII-Threshold Criteria'!A238</f>
        <v>0</v>
      </c>
    </row>
    <row r="2287" spans="1:17">
      <c r="A2287" s="748">
        <f>'Part VIII-Threshold Criteria'!A239</f>
        <v>0</v>
      </c>
    </row>
    <row r="2289" spans="1:17">
      <c r="A2289" s="748">
        <v>14</v>
      </c>
      <c r="B2289" s="748" t="s">
        <v>3229</v>
      </c>
      <c r="O2289" s="748" t="s">
        <v>3090</v>
      </c>
      <c r="P2289" s="748">
        <f>'Part VIII-Threshold Criteria'!P241</f>
        <v>0</v>
      </c>
    </row>
    <row r="2291" spans="1:17">
      <c r="B2291" s="748" t="s">
        <v>3000</v>
      </c>
      <c r="C2291" s="748" t="s">
        <v>2100</v>
      </c>
      <c r="L2291" s="748" t="s">
        <v>3000</v>
      </c>
      <c r="M2291" s="748" t="str">
        <f>'Part VIII-Threshold Criteria'!M243</f>
        <v>&lt;&lt;Select&gt;&gt;</v>
      </c>
      <c r="P2291" s="748" t="str">
        <f>'Part VIII-Threshold Criteria'!P243</f>
        <v>&lt;&lt;Select&gt;&gt;</v>
      </c>
    </row>
    <row r="2292" spans="1:17">
      <c r="B2292" s="748" t="s">
        <v>3112</v>
      </c>
      <c r="C2292" s="748" t="s">
        <v>2041</v>
      </c>
      <c r="L2292" s="748" t="s">
        <v>3112</v>
      </c>
      <c r="M2292" s="748">
        <f>'Part VIII-Threshold Criteria'!M244</f>
        <v>0</v>
      </c>
      <c r="P2292" s="748">
        <f>'Part VIII-Threshold Criteria'!P244</f>
        <v>0</v>
      </c>
    </row>
    <row r="2293" spans="1:17">
      <c r="B2293" s="748" t="s">
        <v>1517</v>
      </c>
      <c r="C2293" s="748" t="s">
        <v>3248</v>
      </c>
      <c r="L2293" s="748" t="s">
        <v>1517</v>
      </c>
      <c r="M2293" s="748">
        <f>'Part VIII-Threshold Criteria'!M245</f>
        <v>0</v>
      </c>
      <c r="P2293" s="748">
        <f>'Part VIII-Threshold Criteria'!P245</f>
        <v>0</v>
      </c>
    </row>
    <row r="2294" spans="1:17">
      <c r="B2294" s="748" t="s">
        <v>3316</v>
      </c>
      <c r="C2294" s="748" t="s">
        <v>3850</v>
      </c>
      <c r="O2294" s="748" t="s">
        <v>3316</v>
      </c>
      <c r="P2294" s="748">
        <f>'Part VIII-Threshold Criteria'!P246</f>
        <v>0</v>
      </c>
      <c r="Q2294" s="748">
        <f>'Part VIII-Threshold Criteria'!Q246</f>
        <v>0</v>
      </c>
    </row>
    <row r="2295" spans="1:17">
      <c r="B2295" s="748" t="s">
        <v>2901</v>
      </c>
      <c r="C2295" s="748" t="s">
        <v>4135</v>
      </c>
      <c r="O2295" s="748" t="s">
        <v>2901</v>
      </c>
      <c r="P2295" s="748">
        <f>'Part VIII-Threshold Criteria'!P247</f>
        <v>0</v>
      </c>
      <c r="Q2295" s="748">
        <f>'Part VIII-Threshold Criteria'!Q247</f>
        <v>0</v>
      </c>
    </row>
    <row r="2296" spans="1:17">
      <c r="B2296" s="748" t="s">
        <v>3088</v>
      </c>
    </row>
    <row r="2297" spans="1:17">
      <c r="A2297" s="748" t="str">
        <f>'Part VIII-Threshold Criteria'!A249</f>
        <v>Rehab is not applicable to this proposal as Endeavor Pointe is a proposal for new construction</v>
      </c>
    </row>
    <row r="2298" spans="1:17">
      <c r="A2298" s="748">
        <f>'Part VIII-Threshold Criteria'!A250</f>
        <v>0</v>
      </c>
    </row>
    <row r="2299" spans="1:17">
      <c r="B2299" s="748" t="s">
        <v>3089</v>
      </c>
    </row>
    <row r="2300" spans="1:17">
      <c r="A2300" s="748">
        <f>'Part VIII-Threshold Criteria'!A252</f>
        <v>0</v>
      </c>
    </row>
    <row r="2301" spans="1:17">
      <c r="A2301" s="748">
        <f>'Part VIII-Threshold Criteria'!A253</f>
        <v>0</v>
      </c>
    </row>
    <row r="2303" spans="1:17">
      <c r="A2303" s="748">
        <v>15</v>
      </c>
      <c r="B2303" s="748" t="s">
        <v>2946</v>
      </c>
      <c r="O2303" s="748" t="s">
        <v>3090</v>
      </c>
      <c r="P2303" s="748">
        <f>'Part VIII-Threshold Criteria'!P255</f>
        <v>0</v>
      </c>
    </row>
    <row r="2305" spans="1:17">
      <c r="B2305" s="748" t="s">
        <v>3000</v>
      </c>
      <c r="C2305" s="748" t="s">
        <v>3260</v>
      </c>
      <c r="O2305" s="748" t="s">
        <v>3000</v>
      </c>
      <c r="P2305" s="748" t="str">
        <f>'Part VIII-Threshold Criteria'!P257</f>
        <v>Yes</v>
      </c>
      <c r="Q2305" s="748">
        <f>'Part VIII-Threshold Criteria'!Q257</f>
        <v>0</v>
      </c>
    </row>
    <row r="2306" spans="1:17">
      <c r="B2306" s="748" t="s">
        <v>3112</v>
      </c>
      <c r="C2306" s="748" t="s">
        <v>2144</v>
      </c>
      <c r="O2306" s="748" t="s">
        <v>3112</v>
      </c>
      <c r="P2306" s="748" t="str">
        <f>'Part VIII-Threshold Criteria'!P258</f>
        <v>Yes</v>
      </c>
      <c r="Q2306" s="748">
        <f>'Part VIII-Threshold Criteria'!Q258</f>
        <v>0</v>
      </c>
    </row>
    <row r="2307" spans="1:17">
      <c r="B2307" s="748" t="s">
        <v>3088</v>
      </c>
    </row>
    <row r="2308" spans="1:17">
      <c r="A2308" s="748">
        <f>'Part VIII-Threshold Criteria'!A260</f>
        <v>0</v>
      </c>
    </row>
    <row r="2309" spans="1:17">
      <c r="A2309" s="748">
        <f>'Part VIII-Threshold Criteria'!A261</f>
        <v>0</v>
      </c>
    </row>
    <row r="2310" spans="1:17">
      <c r="B2310" s="748" t="s">
        <v>3089</v>
      </c>
    </row>
    <row r="2311" spans="1:17">
      <c r="A2311" s="748">
        <f>'Part VIII-Threshold Criteria'!A263</f>
        <v>0</v>
      </c>
    </row>
    <row r="2312" spans="1:17">
      <c r="A2312" s="748">
        <f>'Part VIII-Threshold Criteria'!A264</f>
        <v>0</v>
      </c>
    </row>
    <row r="2314" spans="1:17">
      <c r="A2314" s="748">
        <v>16</v>
      </c>
      <c r="B2314" s="748" t="s">
        <v>1113</v>
      </c>
      <c r="O2314" s="748" t="s">
        <v>3090</v>
      </c>
      <c r="P2314" s="748">
        <f>'Part VIII-Threshold Criteria'!P266</f>
        <v>0</v>
      </c>
    </row>
    <row r="2316" spans="1:17" ht="24" customHeight="1">
      <c r="B2316" s="748" t="s">
        <v>3000</v>
      </c>
      <c r="C2316" s="748" t="s">
        <v>1489</v>
      </c>
      <c r="O2316" s="748" t="s">
        <v>3000</v>
      </c>
      <c r="P2316" s="748" t="str">
        <f>'Part VIII-Threshold Criteria'!P268</f>
        <v>Agree</v>
      </c>
      <c r="Q2316" s="748">
        <f>'Part VIII-Threshold Criteria'!Q268</f>
        <v>0</v>
      </c>
    </row>
    <row r="2317" spans="1:17" ht="24" customHeight="1">
      <c r="B2317" s="748" t="s">
        <v>3112</v>
      </c>
      <c r="C2317" s="748" t="s">
        <v>1545</v>
      </c>
      <c r="O2317" s="748" t="s">
        <v>3112</v>
      </c>
      <c r="P2317" s="748" t="str">
        <f>'Part VIII-Threshold Criteria'!P269</f>
        <v>Agree</v>
      </c>
      <c r="Q2317" s="748">
        <f>'Part VIII-Threshold Criteria'!Q269</f>
        <v>0</v>
      </c>
    </row>
    <row r="2318" spans="1:17" ht="33" customHeight="1">
      <c r="B2318" s="748" t="s">
        <v>1517</v>
      </c>
      <c r="C2318" s="748" t="s">
        <v>1222</v>
      </c>
      <c r="O2318" s="748" t="s">
        <v>3112</v>
      </c>
      <c r="P2318" s="748">
        <f>'Part VIII-Threshold Criteria'!P270</f>
        <v>0</v>
      </c>
      <c r="Q2318" s="748">
        <f>'Part VIII-Threshold Criteria'!Q270</f>
        <v>0</v>
      </c>
    </row>
    <row r="2319" spans="1:17">
      <c r="B2319" s="748" t="s">
        <v>3088</v>
      </c>
    </row>
    <row r="2320" spans="1:17">
      <c r="A2320" s="748" t="str">
        <f>'Part VIII-Threshold Criteria'!A272</f>
        <v>Item C not applicable. This proposal will go through Earthcraft building certification and will also incorporate a solar array to provide approximately 50% of community level (common areas) electricity.</v>
      </c>
    </row>
    <row r="2321" spans="1:17">
      <c r="A2321" s="748">
        <f>'Part VIII-Threshold Criteria'!A273</f>
        <v>0</v>
      </c>
    </row>
    <row r="2322" spans="1:17">
      <c r="B2322" s="748" t="s">
        <v>3089</v>
      </c>
    </row>
    <row r="2323" spans="1:17">
      <c r="A2323" s="748">
        <f>'Part VIII-Threshold Criteria'!A275</f>
        <v>0</v>
      </c>
    </row>
    <row r="2324" spans="1:17">
      <c r="A2324" s="748">
        <f>'Part VIII-Threshold Criteria'!A276</f>
        <v>0</v>
      </c>
    </row>
    <row r="2326" spans="1:17">
      <c r="A2326" s="748">
        <v>17</v>
      </c>
      <c r="B2326" s="748" t="s">
        <v>939</v>
      </c>
      <c r="O2326" s="748" t="s">
        <v>3090</v>
      </c>
      <c r="P2326" s="748">
        <f>'Part VIII-Threshold Criteria'!P278</f>
        <v>0</v>
      </c>
    </row>
    <row r="2327" spans="1:17">
      <c r="B2327" s="748" t="s">
        <v>3000</v>
      </c>
      <c r="C2327" s="748" t="s">
        <v>3001</v>
      </c>
      <c r="O2327" s="748" t="s">
        <v>3000</v>
      </c>
      <c r="P2327" s="748" t="str">
        <f>'Part VIII-Threshold Criteria'!P279</f>
        <v>Yes</v>
      </c>
      <c r="Q2327" s="748">
        <f>'Part VIII-Threshold Criteria'!Q279</f>
        <v>0</v>
      </c>
    </row>
    <row r="2328" spans="1:17">
      <c r="B2328" s="748" t="s">
        <v>3112</v>
      </c>
      <c r="C2328" s="748" t="s">
        <v>3227</v>
      </c>
      <c r="O2328" s="748" t="s">
        <v>3112</v>
      </c>
      <c r="P2328" s="748" t="str">
        <f>'Part VIII-Threshold Criteria'!P280</f>
        <v>Yes</v>
      </c>
      <c r="Q2328" s="748">
        <f>'Part VIII-Threshold Criteria'!Q280</f>
        <v>0</v>
      </c>
    </row>
    <row r="2329" spans="1:17">
      <c r="B2329" s="748" t="s">
        <v>1517</v>
      </c>
      <c r="C2329" s="748" t="s">
        <v>3027</v>
      </c>
      <c r="O2329" s="748" t="s">
        <v>1517</v>
      </c>
      <c r="P2329" s="748" t="str">
        <f>'Part VIII-Threshold Criteria'!P281</f>
        <v>Yes</v>
      </c>
      <c r="Q2329" s="748">
        <f>'Part VIII-Threshold Criteria'!Q281</f>
        <v>0</v>
      </c>
    </row>
    <row r="2330" spans="1:17">
      <c r="B2330" s="748" t="s">
        <v>3316</v>
      </c>
      <c r="C2330" s="748" t="s">
        <v>3028</v>
      </c>
      <c r="O2330" s="748" t="s">
        <v>3316</v>
      </c>
      <c r="P2330" s="748" t="str">
        <f>'Part VIII-Threshold Criteria'!P282</f>
        <v>Yes</v>
      </c>
      <c r="Q2330" s="748">
        <f>'Part VIII-Threshold Criteria'!Q282</f>
        <v>0</v>
      </c>
    </row>
    <row r="2331" spans="1:17">
      <c r="B2331" s="748" t="s">
        <v>2901</v>
      </c>
      <c r="C2331" s="748" t="s">
        <v>1352</v>
      </c>
      <c r="O2331" s="748" t="s">
        <v>2901</v>
      </c>
      <c r="P2331" s="748" t="str">
        <f>'Part VIII-Threshold Criteria'!P283</f>
        <v>Yes</v>
      </c>
      <c r="Q2331" s="748">
        <f>'Part VIII-Threshold Criteria'!Q283</f>
        <v>0</v>
      </c>
    </row>
    <row r="2332" spans="1:17">
      <c r="B2332" s="748" t="s">
        <v>3088</v>
      </c>
    </row>
    <row r="2333" spans="1:17">
      <c r="A2333" s="748">
        <f>'Part VIII-Threshold Criteria'!A285</f>
        <v>0</v>
      </c>
    </row>
    <row r="2334" spans="1:17">
      <c r="A2334" s="748">
        <f>'Part VIII-Threshold Criteria'!A286</f>
        <v>0</v>
      </c>
    </row>
    <row r="2335" spans="1:17">
      <c r="B2335" s="748" t="s">
        <v>3089</v>
      </c>
    </row>
    <row r="2336" spans="1:17">
      <c r="A2336" s="748">
        <f>'Part VIII-Threshold Criteria'!A288</f>
        <v>0</v>
      </c>
    </row>
    <row r="2337" spans="1:17">
      <c r="A2337" s="748">
        <f>'Part VIII-Threshold Criteria'!A289</f>
        <v>0</v>
      </c>
    </row>
    <row r="2338" spans="1:17">
      <c r="A2338" s="748">
        <v>18</v>
      </c>
      <c r="B2338" s="748" t="s">
        <v>3427</v>
      </c>
      <c r="O2338" s="748" t="s">
        <v>3090</v>
      </c>
      <c r="P2338" s="748">
        <f>'Part VIII-Threshold Criteria'!P290</f>
        <v>0</v>
      </c>
    </row>
    <row r="2339" spans="1:17">
      <c r="B2339" s="748" t="s">
        <v>3649</v>
      </c>
      <c r="P2339" s="748" t="str">
        <f>'Part VIII-Threshold Criteria'!P291</f>
        <v>No</v>
      </c>
      <c r="Q2339" s="748">
        <f>'Part VIII-Threshold Criteria'!Q291</f>
        <v>0</v>
      </c>
    </row>
    <row r="2340" spans="1:17">
      <c r="B2340" s="748" t="s">
        <v>3428</v>
      </c>
      <c r="P2340" s="748" t="str">
        <f>'Part VIII-Threshold Criteria'!P292</f>
        <v>Yes</v>
      </c>
      <c r="Q2340" s="748">
        <f>'Part VIII-Threshold Criteria'!Q292</f>
        <v>0</v>
      </c>
    </row>
    <row r="2341" spans="1:17">
      <c r="B2341" s="748" t="s">
        <v>3000</v>
      </c>
      <c r="C2341" s="748" t="s">
        <v>3726</v>
      </c>
    </row>
    <row r="2342" spans="1:17">
      <c r="C2342" s="748" t="s">
        <v>1105</v>
      </c>
      <c r="O2342" s="748" t="s">
        <v>3000</v>
      </c>
      <c r="P2342" s="748">
        <f>'Part VIII-Threshold Criteria'!P294</f>
        <v>0</v>
      </c>
      <c r="Q2342" s="748">
        <f>'Part VIII-Threshold Criteria'!Q294</f>
        <v>0</v>
      </c>
    </row>
    <row r="2344" spans="1:17">
      <c r="B2344" s="748" t="s">
        <v>3112</v>
      </c>
      <c r="C2344" s="748" t="s">
        <v>693</v>
      </c>
      <c r="O2344" s="748" t="s">
        <v>3112</v>
      </c>
      <c r="P2344" s="748" t="str">
        <f>'Part VIII-Threshold Criteria'!P296</f>
        <v>Yes</v>
      </c>
      <c r="Q2344" s="748">
        <f>'Part VIII-Threshold Criteria'!Q296</f>
        <v>0</v>
      </c>
    </row>
    <row r="2345" spans="1:17">
      <c r="C2345" s="748" t="s">
        <v>2903</v>
      </c>
      <c r="D2345" s="748" t="s">
        <v>1963</v>
      </c>
      <c r="G2345" s="748" t="str">
        <f>'Part VIII-Threshold Criteria'!G297</f>
        <v>Exterior wall faces will have an excess of 40% brick or stone on each total wall surface</v>
      </c>
      <c r="O2345" s="748" t="s">
        <v>2903</v>
      </c>
      <c r="P2345" s="748" t="str">
        <f>'Part VIII-Threshold Criteria'!P297</f>
        <v>Yes</v>
      </c>
      <c r="Q2345" s="748">
        <f>'Part VIII-Threshold Criteria'!Q297</f>
        <v>0</v>
      </c>
    </row>
    <row r="2346" spans="1:17" ht="13.15" customHeight="1">
      <c r="C2346" s="748" t="s">
        <v>2904</v>
      </c>
      <c r="D2346" s="748" t="s">
        <v>4136</v>
      </c>
      <c r="G2346" s="748" t="str">
        <f>'Part VIII-Threshold Criteria'!G298</f>
        <v>Addition of decorative elements</v>
      </c>
      <c r="O2346" s="748" t="s">
        <v>2904</v>
      </c>
      <c r="P2346" s="748" t="str">
        <f>'Part VIII-Threshold Criteria'!P298</f>
        <v>Yes</v>
      </c>
      <c r="Q2346" s="748">
        <f>'Part VIII-Threshold Criteria'!Q298</f>
        <v>0</v>
      </c>
    </row>
    <row r="2347" spans="1:17" ht="13.15" customHeight="1">
      <c r="G2347" s="748" t="str">
        <f>'Part VIII-Threshold Criteria'!G299</f>
        <v>Addition of or the redesign of existing covered entries</v>
      </c>
      <c r="P2347" s="748" t="str">
        <f>'Part VIII-Threshold Criteria'!P299</f>
        <v>Yes</v>
      </c>
      <c r="Q2347" s="748">
        <f>'Part VIII-Threshold Criteria'!Q299</f>
        <v>0</v>
      </c>
    </row>
    <row r="2348" spans="1:17" ht="13.15" customHeight="1">
      <c r="C2348" s="748" t="s">
        <v>2905</v>
      </c>
      <c r="D2348" s="748" t="s">
        <v>2113</v>
      </c>
      <c r="G2348" s="748" t="str">
        <f>'Part VIII-Threshold Criteria'!G300</f>
        <v>Upgraded roofing shingles, or roofing materials</v>
      </c>
      <c r="O2348" s="748" t="s">
        <v>2905</v>
      </c>
      <c r="P2348" s="748" t="str">
        <f>'Part VIII-Threshold Criteria'!P300</f>
        <v>Yes</v>
      </c>
      <c r="Q2348" s="748">
        <f>'Part VIII-Threshold Criteria'!Q300</f>
        <v>0</v>
      </c>
    </row>
    <row r="2349" spans="1:17" ht="13.15" customHeight="1">
      <c r="C2349" s="748" t="s">
        <v>3672</v>
      </c>
      <c r="D2349" s="748" t="s">
        <v>4137</v>
      </c>
      <c r="G2349" s="748" t="str">
        <f>'Part VIII-Threshold Criteria'!G301</f>
        <v>Site entry w/ permanent, illuminated entry sign and decorative fence</v>
      </c>
      <c r="O2349" s="748" t="s">
        <v>3672</v>
      </c>
      <c r="P2349" s="748" t="str">
        <f>'Part VIII-Threshold Criteria'!P301</f>
        <v>Yes</v>
      </c>
      <c r="Q2349" s="748">
        <f>'Part VIII-Threshold Criteria'!Q301</f>
        <v>0</v>
      </c>
    </row>
    <row r="2350" spans="1:17" ht="13.15" customHeight="1">
      <c r="G2350" s="748" t="str">
        <f>'Part VIII-Threshold Criteria'!G302</f>
        <v>Preservation of existing trees and vegetation</v>
      </c>
      <c r="P2350" s="748" t="str">
        <f>'Part VIII-Threshold Criteria'!P302</f>
        <v>Yes</v>
      </c>
      <c r="Q2350" s="748">
        <f>'Part VIII-Threshold Criteria'!Q302</f>
        <v>0</v>
      </c>
    </row>
    <row r="2352" spans="1:17">
      <c r="B2352" s="748" t="s">
        <v>3088</v>
      </c>
    </row>
    <row r="2353" spans="1:17">
      <c r="A2353" s="748" t="str">
        <f>'Part VIII-Threshold Criteria'!A305</f>
        <v>Waiver not applicable.  Part A not applicable as this is a proposal for new construction.</v>
      </c>
    </row>
    <row r="2354" spans="1:17">
      <c r="A2354" s="748">
        <f>'Part VIII-Threshold Criteria'!A306</f>
        <v>0</v>
      </c>
    </row>
    <row r="2355" spans="1:17">
      <c r="B2355" s="748" t="s">
        <v>3089</v>
      </c>
    </row>
    <row r="2356" spans="1:17">
      <c r="A2356" s="748">
        <f>'Part VIII-Threshold Criteria'!A308</f>
        <v>0</v>
      </c>
    </row>
    <row r="2357" spans="1:17">
      <c r="A2357" s="748">
        <f>'Part VIII-Threshold Criteria'!A309</f>
        <v>0</v>
      </c>
    </row>
    <row r="2359" spans="1:17">
      <c r="A2359" s="748">
        <v>19</v>
      </c>
      <c r="B2359" s="748" t="s">
        <v>3106</v>
      </c>
      <c r="O2359" s="748" t="s">
        <v>3090</v>
      </c>
      <c r="P2359" s="748">
        <f>'Part VIII-Threshold Criteria'!P311</f>
        <v>0</v>
      </c>
    </row>
    <row r="2361" spans="1:17">
      <c r="B2361" s="748" t="s">
        <v>3528</v>
      </c>
      <c r="P2361" s="748" t="str">
        <f>'Part VIII-Threshold Criteria'!P313</f>
        <v>Yes</v>
      </c>
      <c r="Q2361" s="748">
        <f>'Part VIII-Threshold Criteria'!Q313</f>
        <v>0</v>
      </c>
    </row>
    <row r="2362" spans="1:17">
      <c r="B2362" s="748" t="s">
        <v>3604</v>
      </c>
      <c r="P2362" s="748" t="str">
        <f>'Part VIII-Threshold Criteria'!P314</f>
        <v>No</v>
      </c>
      <c r="Q2362" s="748">
        <f>'Part VIII-Threshold Criteria'!Q314</f>
        <v>0</v>
      </c>
    </row>
    <row r="2363" spans="1:17">
      <c r="B2363" s="748" t="s">
        <v>923</v>
      </c>
      <c r="L2363" s="748" t="str">
        <f>'Part VIII-Threshold Criteria'!L315</f>
        <v>Qualified without Conditions</v>
      </c>
      <c r="P2363" s="748" t="str">
        <f>'Part VIII-Threshold Criteria'!P315</f>
        <v>Yes</v>
      </c>
      <c r="Q2363" s="748">
        <f>'Part VIII-Threshold Criteria'!Q315</f>
        <v>0</v>
      </c>
    </row>
    <row r="2364" spans="1:17">
      <c r="B2364" s="748" t="s">
        <v>3605</v>
      </c>
      <c r="L2364" s="748">
        <f>'Part VIII-Threshold Criteria'!L316</f>
        <v>0</v>
      </c>
    </row>
    <row r="2366" spans="1:17">
      <c r="B2366" s="748" t="s">
        <v>3088</v>
      </c>
    </row>
    <row r="2367" spans="1:17">
      <c r="A2367" s="748" t="str">
        <f>'Part VIII-Threshold Criteria'!A319</f>
        <v>We answered no to second question above -- we were tentatively proposing Raymond James to be the equity provider.  We noted TBD in our pre application submission.  Alliant Capital is now the proposaed equity provider</v>
      </c>
    </row>
    <row r="2368" spans="1:17">
      <c r="A2368" s="748" t="str">
        <f>'Part VIII-Threshold Criteria'!A320</f>
        <v xml:space="preserve">per the preliminary equity commitment included in tab 5.  We do not view this as a material change and hereby certify that no other changes to the project participants has occurred between our pre app submission and </v>
      </c>
    </row>
    <row r="2369" spans="1:17">
      <c r="A2369" s="748" t="str">
        <f>'Part VIII-Threshold Criteria'!A321</f>
        <v>this submission of final app.</v>
      </c>
    </row>
    <row r="2370" spans="1:17">
      <c r="B2370" s="748" t="s">
        <v>3089</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611</v>
      </c>
      <c r="O2375" s="748" t="s">
        <v>3090</v>
      </c>
      <c r="P2375" s="748">
        <f>'Part VIII-Threshold Criteria'!P327</f>
        <v>0</v>
      </c>
    </row>
    <row r="2377" spans="1:17">
      <c r="B2377" s="748" t="s">
        <v>3000</v>
      </c>
      <c r="C2377" s="748" t="s">
        <v>2528</v>
      </c>
      <c r="O2377" s="748" t="s">
        <v>3000</v>
      </c>
      <c r="P2377" s="748" t="str">
        <f>'Part VIII-Threshold Criteria'!P329</f>
        <v>Yes</v>
      </c>
      <c r="Q2377" s="748">
        <f>'Part VIII-Threshold Criteria'!Q329</f>
        <v>0</v>
      </c>
    </row>
    <row r="2378" spans="1:17">
      <c r="B2378" s="748" t="s">
        <v>3112</v>
      </c>
      <c r="C2378" s="748" t="s">
        <v>484</v>
      </c>
      <c r="O2378" s="748" t="s">
        <v>3112</v>
      </c>
      <c r="P2378" s="748">
        <f>'Part VIII-Threshold Criteria'!P330</f>
        <v>0</v>
      </c>
      <c r="Q2378" s="748">
        <f>'Part VIII-Threshold Criteria'!Q330</f>
        <v>0</v>
      </c>
    </row>
    <row r="2379" spans="1:17">
      <c r="B2379" s="748" t="s">
        <v>1517</v>
      </c>
      <c r="C2379" s="748" t="s">
        <v>2222</v>
      </c>
      <c r="O2379" s="748" t="s">
        <v>1517</v>
      </c>
      <c r="P2379" s="748" t="str">
        <f>'Part VIII-Threshold Criteria'!P331</f>
        <v>Yes</v>
      </c>
      <c r="Q2379" s="748">
        <f>'Part VIII-Threshold Criteria'!Q331</f>
        <v>0</v>
      </c>
    </row>
    <row r="2380" spans="1:17">
      <c r="B2380" s="748" t="s">
        <v>3316</v>
      </c>
      <c r="C2380" s="748" t="s">
        <v>1071</v>
      </c>
      <c r="O2380" s="748" t="s">
        <v>3316</v>
      </c>
      <c r="P2380" s="748">
        <f>'Part VIII-Threshold Criteria'!P332</f>
        <v>0</v>
      </c>
      <c r="Q2380" s="748">
        <f>'Part VIII-Threshold Criteria'!Q332</f>
        <v>0</v>
      </c>
    </row>
    <row r="2381" spans="1:17">
      <c r="B2381" s="748" t="s">
        <v>3088</v>
      </c>
    </row>
    <row r="2382" spans="1:17">
      <c r="A2382" s="748" t="str">
        <f>'Part VIII-Threshold Criteria'!A334</f>
        <v xml:space="preserve">Part B&amp;D not applicable per pre application submissions and Georgia-only development experience. We have furnished a copy of pre application workbook submission in tab 3 and determination of qualified without conditions.  </v>
      </c>
    </row>
    <row r="2383" spans="1:17">
      <c r="A2383" s="748" t="str">
        <f>'Part VIII-Threshold Criteria'!A335</f>
        <v>Tab 38 includes documentation of Tower Management Company's pass certification. Tower Management is an experienced entity partnering with Nicholas Sherman, an inexperienced principal with no compliance history</v>
      </c>
    </row>
    <row r="2385" spans="1:17">
      <c r="B2385" s="748" t="s">
        <v>3089</v>
      </c>
    </row>
    <row r="2386" spans="1:17">
      <c r="A2386" s="748">
        <f>'Part VIII-Threshold Criteria'!A338</f>
        <v>0</v>
      </c>
    </row>
    <row r="2387" spans="1:17">
      <c r="A2387" s="748">
        <f>'Part VIII-Threshold Criteria'!A339</f>
        <v>0</v>
      </c>
    </row>
    <row r="2389" spans="1:17">
      <c r="A2389" s="748">
        <v>21</v>
      </c>
      <c r="B2389" s="748" t="s">
        <v>1567</v>
      </c>
      <c r="O2389" s="748" t="s">
        <v>3090</v>
      </c>
      <c r="P2389" s="748">
        <f>'Part VIII-Threshold Criteria'!P341</f>
        <v>0</v>
      </c>
    </row>
    <row r="2390" spans="1:17">
      <c r="B2390" s="748" t="s">
        <v>3000</v>
      </c>
      <c r="C2390" s="748" t="s">
        <v>1938</v>
      </c>
      <c r="J2390" s="748" t="s">
        <v>3000</v>
      </c>
      <c r="K2390" s="748">
        <f>'Part VIII-Threshold Criteria'!K342</f>
        <v>0</v>
      </c>
      <c r="P2390" s="748">
        <f>'Part VIII-Threshold Criteria'!P342</f>
        <v>0</v>
      </c>
      <c r="Q2390" s="748">
        <f>'Part VIII-Threshold Criteria'!Q342</f>
        <v>0</v>
      </c>
    </row>
    <row r="2391" spans="1:17">
      <c r="B2391" s="748" t="s">
        <v>3112</v>
      </c>
      <c r="C2391" s="748" t="s">
        <v>3074</v>
      </c>
      <c r="O2391" s="748" t="s">
        <v>3112</v>
      </c>
      <c r="P2391" s="748">
        <f>'Part VIII-Threshold Criteria'!P343</f>
        <v>0</v>
      </c>
      <c r="Q2391" s="748">
        <f>'Part VIII-Threshold Criteria'!Q343</f>
        <v>0</v>
      </c>
    </row>
    <row r="2392" spans="1:17">
      <c r="B2392" s="748" t="s">
        <v>1517</v>
      </c>
      <c r="C2392" s="748" t="s">
        <v>1568</v>
      </c>
      <c r="O2392" s="748" t="s">
        <v>1517</v>
      </c>
      <c r="P2392" s="748">
        <f>'Part VIII-Threshold Criteria'!P344</f>
        <v>0</v>
      </c>
      <c r="Q2392" s="748">
        <f>'Part VIII-Threshold Criteria'!Q344</f>
        <v>0</v>
      </c>
    </row>
    <row r="2393" spans="1:17">
      <c r="B2393" s="748" t="s">
        <v>3316</v>
      </c>
      <c r="C2393" s="748" t="s">
        <v>483</v>
      </c>
      <c r="O2393" s="748" t="s">
        <v>3316</v>
      </c>
      <c r="P2393" s="748">
        <f>'Part VIII-Threshold Criteria'!P345</f>
        <v>0</v>
      </c>
      <c r="Q2393" s="748">
        <f>'Part VIII-Threshold Criteria'!Q345</f>
        <v>0</v>
      </c>
    </row>
    <row r="2394" spans="1:17">
      <c r="B2394" s="748" t="s">
        <v>2901</v>
      </c>
      <c r="C2394" s="748" t="s">
        <v>435</v>
      </c>
      <c r="O2394" s="748" t="s">
        <v>2901</v>
      </c>
      <c r="P2394" s="748">
        <f>'Part VIII-Threshold Criteria'!P346</f>
        <v>0</v>
      </c>
      <c r="Q2394" s="748">
        <f>'Part VIII-Threshold Criteria'!Q346</f>
        <v>0</v>
      </c>
    </row>
    <row r="2395" spans="1:17">
      <c r="B2395" s="748" t="s">
        <v>2902</v>
      </c>
      <c r="C2395" s="748" t="s">
        <v>1997</v>
      </c>
      <c r="O2395" s="748" t="s">
        <v>2902</v>
      </c>
      <c r="P2395" s="748">
        <f>'Part VIII-Threshold Criteria'!P347</f>
        <v>0</v>
      </c>
      <c r="Q2395" s="748">
        <f>'Part VIII-Threshold Criteria'!Q347</f>
        <v>0</v>
      </c>
    </row>
    <row r="2396" spans="1:17">
      <c r="B2396" s="748" t="s">
        <v>3088</v>
      </c>
    </row>
    <row r="2397" spans="1:17">
      <c r="A2397" s="748" t="str">
        <f>'Part VIII-Threshold Criteria'!A349</f>
        <v>Not applicable to this proposal</v>
      </c>
    </row>
    <row r="2398" spans="1:17">
      <c r="B2398" s="748" t="s">
        <v>3089</v>
      </c>
    </row>
    <row r="2399" spans="1:17">
      <c r="A2399" s="748">
        <f>'Part VIII-Threshold Criteria'!A351</f>
        <v>0</v>
      </c>
    </row>
    <row r="2401" spans="1:17">
      <c r="A2401" s="748">
        <v>22</v>
      </c>
      <c r="B2401" s="748" t="s">
        <v>3866</v>
      </c>
      <c r="O2401" s="748" t="s">
        <v>3090</v>
      </c>
      <c r="P2401" s="748">
        <f>'Part VIII-Threshold Criteria'!P353</f>
        <v>0</v>
      </c>
    </row>
    <row r="2402" spans="1:17">
      <c r="B2402" s="748" t="s">
        <v>3000</v>
      </c>
      <c r="C2402" s="748" t="s">
        <v>1676</v>
      </c>
      <c r="J2402" s="748" t="s">
        <v>3000</v>
      </c>
      <c r="K2402" s="748">
        <f>'Part VIII-Threshold Criteria'!K354</f>
        <v>0</v>
      </c>
      <c r="P2402" s="748">
        <f>'Part VIII-Threshold Criteria'!P354</f>
        <v>0</v>
      </c>
      <c r="Q2402" s="748">
        <f>'Part VIII-Threshold Criteria'!Q354</f>
        <v>0</v>
      </c>
    </row>
    <row r="2403" spans="1:17">
      <c r="B2403" s="748" t="s">
        <v>3112</v>
      </c>
      <c r="C2403" s="748" t="s">
        <v>2907</v>
      </c>
      <c r="O2403" s="748" t="s">
        <v>3112</v>
      </c>
      <c r="P2403" s="748">
        <f>'Part VIII-Threshold Criteria'!P355</f>
        <v>0</v>
      </c>
      <c r="Q2403" s="748">
        <f>'Part VIII-Threshold Criteria'!Q355</f>
        <v>0</v>
      </c>
    </row>
    <row r="2404" spans="1:17">
      <c r="B2404" s="748" t="s">
        <v>1517</v>
      </c>
      <c r="C2404" s="748" t="s">
        <v>2303</v>
      </c>
      <c r="O2404" s="748" t="s">
        <v>1517</v>
      </c>
      <c r="P2404" s="748">
        <f>'Part VIII-Threshold Criteria'!P356</f>
        <v>0</v>
      </c>
      <c r="Q2404" s="748">
        <f>'Part VIII-Threshold Criteria'!Q356</f>
        <v>0</v>
      </c>
    </row>
    <row r="2405" spans="1:17">
      <c r="B2405" s="748" t="s">
        <v>3316</v>
      </c>
      <c r="C2405" s="748" t="s">
        <v>3203</v>
      </c>
      <c r="O2405" s="748" t="s">
        <v>3316</v>
      </c>
      <c r="P2405" s="748">
        <f>'Part VIII-Threshold Criteria'!P357</f>
        <v>0</v>
      </c>
      <c r="Q2405" s="748">
        <f>'Part VIII-Threshold Criteria'!Q357</f>
        <v>0</v>
      </c>
    </row>
    <row r="2406" spans="1:17">
      <c r="B2406" s="748" t="s">
        <v>2901</v>
      </c>
      <c r="C2406" s="748" t="s">
        <v>629</v>
      </c>
      <c r="O2406" s="748" t="s">
        <v>2901</v>
      </c>
      <c r="P2406" s="748">
        <f>'Part VIII-Threshold Criteria'!P358</f>
        <v>0</v>
      </c>
      <c r="Q2406" s="748">
        <f>'Part VIII-Threshold Criteria'!Q358</f>
        <v>0</v>
      </c>
    </row>
    <row r="2407" spans="1:17">
      <c r="B2407" s="748" t="s">
        <v>2902</v>
      </c>
      <c r="C2407" s="748" t="s">
        <v>384</v>
      </c>
      <c r="O2407" s="748" t="s">
        <v>2902</v>
      </c>
      <c r="P2407" s="748">
        <f>'Part VIII-Threshold Criteria'!P359</f>
        <v>0</v>
      </c>
      <c r="Q2407" s="748">
        <f>'Part VIII-Threshold Criteria'!Q359</f>
        <v>0</v>
      </c>
    </row>
    <row r="2408" spans="1:17">
      <c r="B2408" s="748" t="s">
        <v>3251</v>
      </c>
      <c r="C2408" s="748" t="s">
        <v>1088</v>
      </c>
      <c r="O2408" s="748" t="s">
        <v>3251</v>
      </c>
      <c r="P2408" s="748">
        <f>'Part VIII-Threshold Criteria'!P360</f>
        <v>0</v>
      </c>
      <c r="Q2408" s="748">
        <f>'Part VIII-Threshold Criteria'!Q360</f>
        <v>0</v>
      </c>
    </row>
    <row r="2409" spans="1:17">
      <c r="B2409" s="748" t="s">
        <v>3088</v>
      </c>
    </row>
    <row r="2410" spans="1:17">
      <c r="A2410" s="748" t="str">
        <f>'Part VIII-Threshold Criteria'!A362</f>
        <v>Not applicable to this proposal</v>
      </c>
    </row>
    <row r="2411" spans="1:17">
      <c r="B2411" s="748" t="s">
        <v>3089</v>
      </c>
    </row>
    <row r="2412" spans="1:17">
      <c r="A2412" s="748">
        <f>'Part VIII-Threshold Criteria'!A364</f>
        <v>0</v>
      </c>
    </row>
    <row r="2414" spans="1:17">
      <c r="A2414" s="748">
        <v>23</v>
      </c>
      <c r="B2414" s="748" t="s">
        <v>1106</v>
      </c>
      <c r="O2414" s="748" t="s">
        <v>3090</v>
      </c>
      <c r="P2414" s="748">
        <f>'Part VIII-Threshold Criteria'!P366</f>
        <v>0</v>
      </c>
    </row>
    <row r="2415" spans="1:17">
      <c r="B2415" s="748" t="s">
        <v>3000</v>
      </c>
      <c r="C2415" s="748" t="s">
        <v>4138</v>
      </c>
      <c r="M2415" s="748" t="s">
        <v>3000</v>
      </c>
      <c r="N2415" s="748" t="str">
        <f>'Part VIII-Threshold Criteria'!N367</f>
        <v>Non-minority</v>
      </c>
      <c r="P2415" s="748" t="str">
        <f>'Part VIII-Threshold Criteria'!P367</f>
        <v>&lt;&lt;Select&gt;&gt;</v>
      </c>
    </row>
    <row r="2416" spans="1:17">
      <c r="B2416" s="748" t="s">
        <v>3112</v>
      </c>
      <c r="C2416" s="748" t="s">
        <v>152</v>
      </c>
      <c r="G2416" s="748" t="s">
        <v>3112</v>
      </c>
      <c r="H2416" s="748" t="str">
        <f>'Part VIII-Threshold Criteria'!H368</f>
        <v>205.02,208,206.02,304.01,303</v>
      </c>
      <c r="P2416" s="748" t="str">
        <f>'Part VIII-Threshold Criteria'!P368</f>
        <v>Yes</v>
      </c>
      <c r="Q2416" s="748">
        <f>'Part VIII-Threshold Criteria'!Q368</f>
        <v>0</v>
      </c>
    </row>
    <row r="2417" spans="1:17">
      <c r="B2417" s="748" t="s">
        <v>1517</v>
      </c>
      <c r="C2417" s="748" t="s">
        <v>1989</v>
      </c>
      <c r="O2417" s="748" t="s">
        <v>1517</v>
      </c>
      <c r="P2417" s="748" t="str">
        <f>'Part VIII-Threshold Criteria'!P369</f>
        <v>Yes</v>
      </c>
      <c r="Q2417" s="748">
        <f>'Part VIII-Threshold Criteria'!Q369</f>
        <v>0</v>
      </c>
    </row>
    <row r="2418" spans="1:17">
      <c r="B2418" s="748" t="s">
        <v>3088</v>
      </c>
    </row>
    <row r="2419" spans="1:17">
      <c r="A2419" s="748" t="str">
        <f>'Part VIII-Threshold Criteria'!A371</f>
        <v>Minority concentration of 6.83% makes this census tract characterized as non-minority.  All applicable documentation listed in in tab 20: Additional HOME/HUD requirements.</v>
      </c>
    </row>
    <row r="2420" spans="1:17">
      <c r="A2420" s="748">
        <f>'Part VIII-Threshold Criteria'!A372</f>
        <v>0</v>
      </c>
    </row>
    <row r="2422" spans="1:17">
      <c r="B2422" s="748" t="s">
        <v>3089</v>
      </c>
    </row>
    <row r="2423" spans="1:17">
      <c r="A2423" s="748">
        <f>'Part VIII-Threshold Criteria'!A375</f>
        <v>0</v>
      </c>
    </row>
    <row r="2424" spans="1:17">
      <c r="A2424" s="748">
        <f>'Part VIII-Threshold Criteria'!A376</f>
        <v>0</v>
      </c>
    </row>
    <row r="2426" spans="1:17">
      <c r="A2426" s="748">
        <v>24</v>
      </c>
      <c r="B2426" s="748" t="s">
        <v>2643</v>
      </c>
      <c r="F2426" s="748" t="s">
        <v>1070</v>
      </c>
      <c r="O2426" s="748" t="s">
        <v>3090</v>
      </c>
      <c r="P2426" s="748">
        <f>'Part VIII-Threshold Criteria'!P378</f>
        <v>0</v>
      </c>
    </row>
    <row r="2427" spans="1:17">
      <c r="B2427" s="748" t="s">
        <v>3000</v>
      </c>
      <c r="C2427" s="748" t="s">
        <v>1990</v>
      </c>
      <c r="O2427" s="748" t="s">
        <v>3000</v>
      </c>
      <c r="P2427" s="748">
        <f>'Part VIII-Threshold Criteria'!P379</f>
        <v>0</v>
      </c>
      <c r="Q2427" s="748">
        <f>'Part VIII-Threshold Criteria'!Q379</f>
        <v>0</v>
      </c>
    </row>
    <row r="2428" spans="1:17">
      <c r="B2428" s="748" t="s">
        <v>3112</v>
      </c>
      <c r="C2428" s="748" t="s">
        <v>1520</v>
      </c>
      <c r="O2428" s="748" t="s">
        <v>3112</v>
      </c>
      <c r="P2428" s="748">
        <f>'Part VIII-Threshold Criteria'!P380</f>
        <v>0</v>
      </c>
      <c r="Q2428" s="748">
        <f>'Part VIII-Threshold Criteria'!Q380</f>
        <v>0</v>
      </c>
    </row>
    <row r="2429" spans="1:17">
      <c r="B2429" s="748" t="s">
        <v>1517</v>
      </c>
      <c r="C2429" s="748" t="s">
        <v>1521</v>
      </c>
      <c r="O2429" s="748" t="s">
        <v>1517</v>
      </c>
      <c r="P2429" s="748">
        <f>'Part VIII-Threshold Criteria'!P381</f>
        <v>0</v>
      </c>
      <c r="Q2429" s="748">
        <f>'Part VIII-Threshold Criteria'!Q381</f>
        <v>0</v>
      </c>
    </row>
    <row r="2430" spans="1:17">
      <c r="B2430" s="748" t="s">
        <v>3316</v>
      </c>
      <c r="C2430" s="748" t="s">
        <v>939</v>
      </c>
      <c r="O2430" s="748" t="s">
        <v>3316</v>
      </c>
      <c r="P2430" s="748">
        <f>'Part VIII-Threshold Criteria'!P382</f>
        <v>0</v>
      </c>
      <c r="Q2430" s="748">
        <f>'Part VIII-Threshold Criteria'!Q382</f>
        <v>0</v>
      </c>
    </row>
    <row r="2431" spans="1:17">
      <c r="B2431" s="748" t="s">
        <v>2901</v>
      </c>
      <c r="C2431" s="748" t="s">
        <v>3343</v>
      </c>
      <c r="G2431" s="748" t="s">
        <v>2901</v>
      </c>
      <c r="H2431" s="748">
        <f>'Part VIII-Threshold Criteria'!H383</f>
        <v>0</v>
      </c>
      <c r="P2431" s="748">
        <f>'Part VIII-Threshold Criteria'!P383</f>
        <v>0</v>
      </c>
      <c r="Q2431" s="748">
        <f>'Part VIII-Threshold Criteria'!Q383</f>
        <v>0</v>
      </c>
    </row>
    <row r="2432" spans="1:17">
      <c r="B2432" s="748" t="s">
        <v>3088</v>
      </c>
    </row>
    <row r="2433" spans="1:17">
      <c r="A2433" s="748" t="str">
        <f>'Part VIII-Threshold Criteria'!A385</f>
        <v>Not applicable to this proposal as Endeavor Pointe is a proposal for new construction.</v>
      </c>
    </row>
    <row r="2434" spans="1:17">
      <c r="B2434" s="748" t="s">
        <v>3089</v>
      </c>
    </row>
    <row r="2435" spans="1:17">
      <c r="A2435" s="748">
        <f>'Part VIII-Threshold Criteria'!A387</f>
        <v>0</v>
      </c>
    </row>
    <row r="2437" spans="1:17">
      <c r="A2437" s="748">
        <v>25</v>
      </c>
      <c r="B2437" s="748" t="s">
        <v>3867</v>
      </c>
      <c r="O2437" s="748" t="s">
        <v>3090</v>
      </c>
      <c r="P2437" s="748">
        <f>'Part VIII-Threshold Criteria'!P389</f>
        <v>0</v>
      </c>
    </row>
    <row r="2438" spans="1:17">
      <c r="B2438" s="748" t="s">
        <v>3000</v>
      </c>
      <c r="C2438" s="748" t="s">
        <v>4139</v>
      </c>
      <c r="O2438" s="748" t="s">
        <v>3000</v>
      </c>
      <c r="P2438" s="748" t="str">
        <f>'Part VIII-Threshold Criteria'!P390</f>
        <v>Agree</v>
      </c>
      <c r="Q2438" s="748">
        <f>'Part VIII-Threshold Criteria'!Q390</f>
        <v>0</v>
      </c>
    </row>
    <row r="2439" spans="1:17">
      <c r="B2439" s="748" t="s">
        <v>3112</v>
      </c>
      <c r="C2439" s="748" t="s">
        <v>1089</v>
      </c>
      <c r="O2439" s="748" t="s">
        <v>3112</v>
      </c>
      <c r="P2439" s="748" t="str">
        <f>'Part VIII-Threshold Criteria'!P391</f>
        <v>Yes</v>
      </c>
      <c r="Q2439" s="748">
        <f>'Part VIII-Threshold Criteria'!Q391</f>
        <v>0</v>
      </c>
    </row>
    <row r="2440" spans="1:17">
      <c r="B2440" s="748" t="s">
        <v>3088</v>
      </c>
      <c r="K2440" s="748" t="s">
        <v>3089</v>
      </c>
    </row>
    <row r="2441" spans="1:17">
      <c r="A2441" s="748">
        <f>'Part VIII-Threshold Criteria'!A393</f>
        <v>0</v>
      </c>
      <c r="K2441" s="748">
        <f>'Part VIII-Threshold Criteria'!K393</f>
        <v>0</v>
      </c>
    </row>
    <row r="2443" spans="1:17">
      <c r="A2443" s="748">
        <v>26</v>
      </c>
      <c r="B2443" s="748" t="s">
        <v>1889</v>
      </c>
      <c r="O2443" s="748" t="s">
        <v>3090</v>
      </c>
      <c r="P2443" s="748">
        <f>'Part VIII-Threshold Criteria'!P395</f>
        <v>0</v>
      </c>
    </row>
    <row r="2444" spans="1:17">
      <c r="B2444" s="748" t="s">
        <v>3000</v>
      </c>
      <c r="C2444" s="748" t="s">
        <v>1522</v>
      </c>
      <c r="O2444" s="748" t="s">
        <v>3000</v>
      </c>
      <c r="P2444" s="748" t="str">
        <f>'Part VIII-Threshold Criteria'!P396</f>
        <v>No</v>
      </c>
      <c r="Q2444" s="748">
        <f>'Part VIII-Threshold Criteria'!Q396</f>
        <v>0</v>
      </c>
    </row>
    <row r="2445" spans="1:17">
      <c r="B2445" s="748" t="s">
        <v>3112</v>
      </c>
      <c r="C2445" s="748" t="s">
        <v>3418</v>
      </c>
      <c r="O2445" s="748" t="s">
        <v>2209</v>
      </c>
      <c r="P2445" s="748">
        <f>'Part VIII-Threshold Criteria'!P397</f>
        <v>0</v>
      </c>
      <c r="Q2445" s="748">
        <f>'Part VIII-Threshold Criteria'!Q397</f>
        <v>0</v>
      </c>
    </row>
    <row r="2446" spans="1:17">
      <c r="C2446" s="748" t="s">
        <v>2155</v>
      </c>
    </row>
    <row r="2447" spans="1:17">
      <c r="C2447" s="748" t="s">
        <v>3419</v>
      </c>
      <c r="O2447" s="748" t="s">
        <v>2904</v>
      </c>
      <c r="P2447" s="748">
        <f>'Part VIII-Threshold Criteria'!P399</f>
        <v>0</v>
      </c>
      <c r="Q2447" s="748">
        <f>'Part VIII-Threshold Criteria'!Q399</f>
        <v>0</v>
      </c>
    </row>
    <row r="2448" spans="1:17">
      <c r="B2448" s="748" t="s">
        <v>1517</v>
      </c>
      <c r="C2448" s="748" t="s">
        <v>3518</v>
      </c>
      <c r="O2448" s="748" t="s">
        <v>1517</v>
      </c>
      <c r="P2448" s="748">
        <f>'Part VIII-Threshold Criteria'!P400</f>
        <v>0</v>
      </c>
      <c r="Q2448" s="748">
        <f>'Part VIII-Threshold Criteria'!Q400</f>
        <v>0</v>
      </c>
    </row>
    <row r="2449" spans="1:17">
      <c r="B2449" s="748" t="s">
        <v>3316</v>
      </c>
      <c r="C2449" s="748" t="s">
        <v>294</v>
      </c>
      <c r="O2449" s="748" t="s">
        <v>3316</v>
      </c>
    </row>
    <row r="2450" spans="1:17">
      <c r="C2450" s="748" t="s">
        <v>3420</v>
      </c>
      <c r="O2450" s="748" t="s">
        <v>2903</v>
      </c>
      <c r="P2450" s="748">
        <f>'Part VIII-Threshold Criteria'!P402</f>
        <v>0</v>
      </c>
      <c r="Q2450" s="748" t="str">
        <f>'Part VIII-Threshold Criteria'!Q402</f>
        <v xml:space="preserve"> </v>
      </c>
    </row>
    <row r="2451" spans="1:17">
      <c r="C2451" s="748" t="s">
        <v>3525</v>
      </c>
      <c r="O2451" s="748" t="s">
        <v>2904</v>
      </c>
      <c r="P2451" s="748">
        <f>'Part VIII-Threshold Criteria'!P403</f>
        <v>0</v>
      </c>
      <c r="Q2451" s="748">
        <f>'Part VIII-Threshold Criteria'!Q403</f>
        <v>0</v>
      </c>
    </row>
    <row r="2452" spans="1:17">
      <c r="C2452" s="748" t="s">
        <v>3526</v>
      </c>
      <c r="O2452" s="748" t="s">
        <v>2905</v>
      </c>
      <c r="P2452" s="748">
        <f>'Part VIII-Threshold Criteria'!P404</f>
        <v>0</v>
      </c>
      <c r="Q2452" s="748" t="str">
        <f>'Part VIII-Threshold Criteria'!Q404</f>
        <v xml:space="preserve"> </v>
      </c>
    </row>
    <row r="2453" spans="1:17">
      <c r="C2453" s="748" t="s">
        <v>3421</v>
      </c>
      <c r="O2453" s="748" t="s">
        <v>3672</v>
      </c>
      <c r="P2453" s="748">
        <f>'Part VIII-Threshold Criteria'!P405</f>
        <v>0</v>
      </c>
      <c r="Q2453" s="748" t="str">
        <f>'Part VIII-Threshold Criteria'!Q405</f>
        <v xml:space="preserve"> </v>
      </c>
    </row>
    <row r="2454" spans="1:17">
      <c r="C2454" s="748" t="s">
        <v>3422</v>
      </c>
      <c r="O2454" s="748" t="s">
        <v>2445</v>
      </c>
      <c r="P2454" s="748">
        <f>'Part VIII-Threshold Criteria'!P406</f>
        <v>0</v>
      </c>
      <c r="Q2454" s="748" t="str">
        <f>'Part VIII-Threshold Criteria'!Q406</f>
        <v xml:space="preserve"> </v>
      </c>
    </row>
    <row r="2455" spans="1:17">
      <c r="B2455" s="748" t="s">
        <v>2901</v>
      </c>
      <c r="C2455" s="748" t="s">
        <v>3733</v>
      </c>
      <c r="O2455" s="748" t="s">
        <v>2901</v>
      </c>
    </row>
    <row r="2456" spans="1:17">
      <c r="C2456" s="748" t="s">
        <v>3423</v>
      </c>
      <c r="O2456" s="748" t="s">
        <v>2903</v>
      </c>
      <c r="P2456" s="748">
        <f>'Part VIII-Threshold Criteria'!P408</f>
        <v>0</v>
      </c>
      <c r="Q2456" s="748">
        <f>'Part VIII-Threshold Criteria'!Q408</f>
        <v>0</v>
      </c>
    </row>
    <row r="2457" spans="1:17">
      <c r="C2457" s="748" t="s">
        <v>1814</v>
      </c>
      <c r="O2457" s="748" t="s">
        <v>2904</v>
      </c>
      <c r="P2457" s="748">
        <f>'Part VIII-Threshold Criteria'!P409</f>
        <v>0</v>
      </c>
      <c r="Q2457" s="748">
        <f>'Part VIII-Threshold Criteria'!Q409</f>
        <v>0</v>
      </c>
    </row>
    <row r="2458" spans="1:17">
      <c r="C2458" s="748" t="s">
        <v>1815</v>
      </c>
      <c r="O2458" s="748" t="s">
        <v>2905</v>
      </c>
      <c r="P2458" s="748">
        <f>'Part VIII-Threshold Criteria'!P410</f>
        <v>0</v>
      </c>
      <c r="Q2458" s="748">
        <f>'Part VIII-Threshold Criteria'!Q410</f>
        <v>0</v>
      </c>
    </row>
    <row r="2459" spans="1:17">
      <c r="C2459" s="748" t="s">
        <v>3491</v>
      </c>
      <c r="G2459" s="748" t="s">
        <v>3672</v>
      </c>
      <c r="H2459" s="748">
        <f>'Part VIII-Threshold Criteria'!H411</f>
        <v>0</v>
      </c>
      <c r="P2459" s="748">
        <f>'Part VIII-Threshold Criteria'!P411</f>
        <v>0</v>
      </c>
      <c r="Q2459" s="748">
        <f>'Part VIII-Threshold Criteria'!Q411</f>
        <v>0</v>
      </c>
    </row>
    <row r="2460" spans="1:17">
      <c r="B2460" s="748" t="s">
        <v>3088</v>
      </c>
    </row>
    <row r="2461" spans="1:17">
      <c r="A2461" s="748" t="str">
        <f>'Part VIII-Threshold Criteria'!A413</f>
        <v>Not applicable to this proposal as it is a proposal for new construction on an empty site.</v>
      </c>
    </row>
    <row r="2462" spans="1:17">
      <c r="A2462" s="748">
        <f>'Part VIII-Threshold Criteria'!A414</f>
        <v>0</v>
      </c>
    </row>
    <row r="2463" spans="1:17">
      <c r="B2463" s="748" t="s">
        <v>3089</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3107</v>
      </c>
      <c r="O2468" s="748" t="s">
        <v>3090</v>
      </c>
      <c r="P2468" s="748">
        <f>'Part VIII-Threshold Criteria'!P420</f>
        <v>0</v>
      </c>
    </row>
    <row r="2469" spans="1:17">
      <c r="B2469" s="748" t="s">
        <v>3000</v>
      </c>
      <c r="C2469" s="748" t="s">
        <v>1039</v>
      </c>
      <c r="O2469" s="748" t="s">
        <v>3000</v>
      </c>
      <c r="P2469" s="748" t="str">
        <f>'Part VIII-Threshold Criteria'!P421</f>
        <v>Agree</v>
      </c>
      <c r="Q2469" s="748">
        <f>'Part VIII-Threshold Criteria'!Q421</f>
        <v>0</v>
      </c>
    </row>
    <row r="2470" spans="1:17">
      <c r="B2470" s="748" t="s">
        <v>3112</v>
      </c>
      <c r="C2470" s="748" t="s">
        <v>962</v>
      </c>
      <c r="O2470" s="748" t="s">
        <v>3112</v>
      </c>
      <c r="P2470" s="748" t="str">
        <f>'Part VIII-Threshold Criteria'!P422</f>
        <v>Agree</v>
      </c>
      <c r="Q2470" s="748">
        <f>'Part VIII-Threshold Criteria'!Q422</f>
        <v>0</v>
      </c>
    </row>
    <row r="2471" spans="1:17">
      <c r="B2471" s="748" t="s">
        <v>1517</v>
      </c>
      <c r="C2471" s="748" t="s">
        <v>866</v>
      </c>
      <c r="O2471" s="748" t="s">
        <v>1517</v>
      </c>
      <c r="P2471" s="748" t="str">
        <f>'Part VIII-Threshold Criteria'!P423</f>
        <v>Agree</v>
      </c>
      <c r="Q2471" s="748">
        <f>'Part VIII-Threshold Criteria'!Q423</f>
        <v>0</v>
      </c>
    </row>
    <row r="2472" spans="1:17">
      <c r="B2472" s="748" t="s">
        <v>3088</v>
      </c>
    </row>
    <row r="2473" spans="1:17">
      <c r="A2473" s="748">
        <f>'Part VIII-Threshold Criteria'!A425</f>
        <v>0</v>
      </c>
    </row>
    <row r="2474" spans="1:17">
      <c r="A2474" s="748">
        <f>'Part VIII-Threshold Criteria'!A426</f>
        <v>0</v>
      </c>
    </row>
    <row r="2475" spans="1:17">
      <c r="A2475" s="748">
        <f>'Part VIII-Threshold Criteria'!A427</f>
        <v>0</v>
      </c>
    </row>
    <row r="2476" spans="1:17">
      <c r="B2476" s="748" t="s">
        <v>3089</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1546</v>
      </c>
      <c r="O2481" s="748" t="s">
        <v>3090</v>
      </c>
      <c r="P2481" s="748">
        <f>'Part VIII-Threshold Criteria'!P433</f>
        <v>0</v>
      </c>
    </row>
    <row r="2482" spans="1:16">
      <c r="B2482" s="748" t="s">
        <v>3088</v>
      </c>
    </row>
    <row r="2483" spans="1:16">
      <c r="A2483" s="748" t="str">
        <f>'Part VIII-Threshold Criteria'!A435</f>
        <v xml:space="preserve">TDC&lt; PUCL,proposal leverages LIHTC's, DCA HOME loan, sale of clean energy tax credits per IRC Sec. 48. No identities of interest that would lead to undue enrichment (please see section v of tab II of core app). </v>
      </c>
    </row>
    <row r="2484" spans="1:16">
      <c r="A2484" s="748" t="str">
        <f>'Part VIII-Threshold Criteria'!A436</f>
        <v xml:space="preserve">Community supports development.Walker Co Commissioner Bebe Heiskell provided resolution of support &amp; said in newspaper interview the "strong need" for sr. housing in Walker Co. Need is acute b/c tornadoes in April 2011.  </v>
      </c>
    </row>
    <row r="2485" spans="1:16">
      <c r="B2485" s="748" t="s">
        <v>3089</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2011-028 Endeavor Pointe, ,  County</v>
      </c>
    </row>
    <row r="2495" spans="1:16">
      <c r="M2495" s="748" t="s">
        <v>3436</v>
      </c>
      <c r="O2495" s="748" t="s">
        <v>3435</v>
      </c>
      <c r="P2495" s="748" t="s">
        <v>583</v>
      </c>
    </row>
    <row r="2496" spans="1:16">
      <c r="M2496" s="748" t="s">
        <v>237</v>
      </c>
      <c r="O2496" s="748" t="s">
        <v>3436</v>
      </c>
      <c r="P2496" s="748" t="s">
        <v>3436</v>
      </c>
    </row>
    <row r="2498" spans="1:17">
      <c r="L2498" s="748" t="s">
        <v>1874</v>
      </c>
      <c r="M2498" s="748">
        <v>108</v>
      </c>
      <c r="O2498" s="748">
        <f>O2786</f>
        <v>57</v>
      </c>
      <c r="P2498" s="748">
        <f>P2786</f>
        <v>13</v>
      </c>
    </row>
    <row r="2500" spans="1:17">
      <c r="A2500" s="748" t="s">
        <v>3113</v>
      </c>
      <c r="B2500" s="748" t="s">
        <v>1702</v>
      </c>
      <c r="H2500" s="748" t="s">
        <v>2637</v>
      </c>
      <c r="M2500" s="748">
        <v>10</v>
      </c>
      <c r="O2500" s="748">
        <f>MIN($M2500, $M2500-O2502-O2503-O2504)</f>
        <v>10</v>
      </c>
      <c r="P2500" s="748">
        <f>MIN($M2500, $M2500-P2502-P2503-P2504)</f>
        <v>10</v>
      </c>
      <c r="Q2500" s="748" t="s">
        <v>651</v>
      </c>
    </row>
    <row r="2502" spans="1:17">
      <c r="A2502" s="748" t="s">
        <v>3000</v>
      </c>
      <c r="B2502" s="748" t="s">
        <v>3091</v>
      </c>
      <c r="F2502" s="748" t="s">
        <v>3898</v>
      </c>
      <c r="G2502" s="748">
        <f>F2509</f>
        <v>0</v>
      </c>
      <c r="H2502" s="748" t="s">
        <v>365</v>
      </c>
      <c r="M2502" s="748">
        <v>7</v>
      </c>
      <c r="N2502" s="748" t="s">
        <v>3000</v>
      </c>
      <c r="O2502" s="748">
        <f>'Part IX A-Scoring Criteria'!O10</f>
        <v>0</v>
      </c>
      <c r="P2502" s="748">
        <f>'Part IX A-Scoring Criteria'!P10</f>
        <v>0</v>
      </c>
    </row>
    <row r="2503" spans="1:17">
      <c r="A2503" s="748" t="s">
        <v>3112</v>
      </c>
      <c r="B2503" s="748" t="s">
        <v>1228</v>
      </c>
      <c r="F2503" s="748" t="s">
        <v>3898</v>
      </c>
      <c r="G2503" s="748">
        <f>K2509</f>
        <v>0</v>
      </c>
      <c r="H2503" s="748" t="s">
        <v>4140</v>
      </c>
      <c r="M2503" s="748">
        <v>0</v>
      </c>
      <c r="N2503" s="748" t="s">
        <v>3112</v>
      </c>
      <c r="O2503" s="748">
        <f>'Part IX A-Scoring Criteria'!O11</f>
        <v>0</v>
      </c>
      <c r="P2503" s="748">
        <f>'Part IX A-Scoring Criteria'!P11</f>
        <v>0</v>
      </c>
    </row>
    <row r="2504" spans="1:17">
      <c r="A2504" s="748" t="s">
        <v>1517</v>
      </c>
      <c r="B2504" s="748" t="s">
        <v>3314</v>
      </c>
      <c r="F2504" s="748" t="s">
        <v>3898</v>
      </c>
      <c r="G2504" s="748">
        <f>P2509</f>
        <v>0</v>
      </c>
      <c r="H2504" s="748" t="s">
        <v>367</v>
      </c>
      <c r="M2504" s="748">
        <v>1</v>
      </c>
      <c r="N2504" s="748" t="s">
        <v>1517</v>
      </c>
      <c r="O2504" s="748">
        <f>'Part IX A-Scoring Criteria'!O12</f>
        <v>0</v>
      </c>
      <c r="P2504" s="748">
        <f>'Part IX A-Scoring Criteria'!P12</f>
        <v>0</v>
      </c>
    </row>
    <row r="2505" spans="1:17">
      <c r="A2505" s="748" t="s">
        <v>582</v>
      </c>
    </row>
    <row r="2506" spans="1:17">
      <c r="A2506" s="748">
        <f>'Part IX A-Scoring Criteria'!A14</f>
        <v>0</v>
      </c>
      <c r="Q2506" s="748" t="s">
        <v>1931</v>
      </c>
    </row>
    <row r="2507" spans="1:17" ht="13.15" customHeight="1">
      <c r="A2507" s="748">
        <f>'Part IX A-Scoring Criteria'!A15</f>
        <v>0</v>
      </c>
    </row>
    <row r="2508" spans="1:17" ht="13.15" customHeight="1">
      <c r="A2508" s="748" t="s">
        <v>3089</v>
      </c>
      <c r="F2508" s="748" t="s">
        <v>2600</v>
      </c>
      <c r="K2508" s="748" t="s">
        <v>2600</v>
      </c>
      <c r="P2508" s="748" t="s">
        <v>2600</v>
      </c>
    </row>
    <row r="2509" spans="1:17">
      <c r="A2509" s="748" t="s">
        <v>3757</v>
      </c>
      <c r="E2509" s="748" t="s">
        <v>935</v>
      </c>
      <c r="F2509" s="748">
        <f>SUM(F2510:F2521)</f>
        <v>0</v>
      </c>
      <c r="G2509" s="748" t="s">
        <v>3758</v>
      </c>
      <c r="J2509" s="748" t="s">
        <v>935</v>
      </c>
      <c r="K2509" s="748">
        <f>SUM(K2510:K2521)</f>
        <v>0</v>
      </c>
      <c r="L2509" s="748" t="s">
        <v>3727</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1931</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3115</v>
      </c>
      <c r="B2523" s="748" t="s">
        <v>1964</v>
      </c>
      <c r="L2523" s="748" t="str">
        <f>IF($O2523&gt;$M2523,"* * Check Score! * *","")</f>
        <v/>
      </c>
      <c r="M2523" s="748">
        <v>3</v>
      </c>
      <c r="O2523" s="748">
        <f>'Part IX A-Scoring Criteria'!O31</f>
        <v>3</v>
      </c>
      <c r="P2523" s="748">
        <f>'Part IX A-Scoring Criteria'!P31</f>
        <v>0</v>
      </c>
      <c r="Q2523" s="748" t="s">
        <v>651</v>
      </c>
      <c r="R2523" s="748" t="str">
        <f>IF(OR($O2523=$M2523,$O2523=0,$O2523=""),"","* * Check Score! * *")</f>
        <v/>
      </c>
    </row>
    <row r="2524" spans="1:18">
      <c r="B2524" s="748" t="s">
        <v>1943</v>
      </c>
      <c r="H2524" s="748" t="s">
        <v>277</v>
      </c>
      <c r="J2524" s="748">
        <f>'Part IX A-Scoring Criteria'!J32</f>
        <v>13</v>
      </c>
      <c r="L2524" s="748" t="s">
        <v>1944</v>
      </c>
      <c r="M2524" s="748">
        <f>IF(OR('Part VI-Revenues &amp; Expenses'!$M$61="", 'Part VI-Revenues &amp; Expenses'!$M$61=0),"",J2524/'Part VI-Revenues &amp; Expenses'!$M$61)</f>
        <v>0.203125</v>
      </c>
    </row>
    <row r="2525" spans="1:18">
      <c r="B2525" s="748" t="s">
        <v>582</v>
      </c>
    </row>
    <row r="2526" spans="1:18">
      <c r="A2526" s="748" t="str">
        <f>'Part IX A-Scoring Criteria'!A34</f>
        <v>Per 2011 QAP (page 5 of Appendix II), 50% rent/income restrictions on 15% or more of total units are eligible for three points. Three one bedroom units and ten two bedroom units @ 50% rent/income</v>
      </c>
    </row>
    <row r="2527" spans="1:18">
      <c r="B2527" s="748" t="s">
        <v>3089</v>
      </c>
    </row>
    <row r="2528" spans="1:18">
      <c r="A2528" s="748">
        <f>'Part IX A-Scoring Criteria'!A36</f>
        <v>0</v>
      </c>
    </row>
    <row r="2530" spans="1:17">
      <c r="A2530" s="748" t="s">
        <v>4028</v>
      </c>
      <c r="B2530" s="748" t="s">
        <v>2977</v>
      </c>
      <c r="H2530" s="748" t="s">
        <v>945</v>
      </c>
      <c r="M2530" s="748">
        <v>12</v>
      </c>
      <c r="O2530" s="748">
        <f>'Part IX A-Scoring Criteria'!O38</f>
        <v>10</v>
      </c>
      <c r="P2530" s="748">
        <f>'Part IX A-Scoring Criteria'!P38</f>
        <v>0</v>
      </c>
      <c r="Q2530" s="748" t="s">
        <v>651</v>
      </c>
    </row>
    <row r="2532" spans="1:17">
      <c r="M2532" s="748">
        <v>10</v>
      </c>
      <c r="O2532" s="748">
        <f>'Part IX A-Scoring Criteria'!O40</f>
        <v>10</v>
      </c>
      <c r="P2532" s="748">
        <f>'Part IX A-Scoring Criteria'!P40</f>
        <v>0</v>
      </c>
      <c r="Q2532" s="748" t="s">
        <v>924</v>
      </c>
    </row>
    <row r="2533" spans="1:17">
      <c r="A2533" s="748" t="s">
        <v>3000</v>
      </c>
      <c r="B2533" s="748" t="s">
        <v>2989</v>
      </c>
      <c r="E2533" s="748" t="s">
        <v>2992</v>
      </c>
      <c r="G2533" s="748" t="s">
        <v>2988</v>
      </c>
      <c r="L2533" s="748">
        <f>'Part IX A-Scoring Criteria'!L41</f>
        <v>0</v>
      </c>
      <c r="M2533" s="748">
        <v>10</v>
      </c>
      <c r="N2533" s="748" t="s">
        <v>3000</v>
      </c>
      <c r="O2533" s="748">
        <f>'Part IX A-Scoring Criteria'!O41</f>
        <v>10</v>
      </c>
      <c r="P2533" s="748">
        <f>'Part IX A-Scoring Criteria'!P41</f>
        <v>0</v>
      </c>
    </row>
    <row r="2534" spans="1:17">
      <c r="A2534" s="748" t="s">
        <v>3112</v>
      </c>
      <c r="B2534" s="748" t="s">
        <v>3103</v>
      </c>
      <c r="E2534" s="748" t="s">
        <v>3593</v>
      </c>
      <c r="L2534" s="748" t="str">
        <f>IF(OR($O2534=$M2534,$O2534=0,$O2534=""),"","* * Check Score! * *")</f>
        <v/>
      </c>
      <c r="M2534" s="748">
        <v>2</v>
      </c>
      <c r="N2534" s="748" t="s">
        <v>3112</v>
      </c>
      <c r="O2534" s="748">
        <f>'Part IX A-Scoring Criteria'!O42</f>
        <v>0</v>
      </c>
      <c r="P2534" s="748">
        <f>'Part IX A-Scoring Criteria'!P42</f>
        <v>0</v>
      </c>
    </row>
    <row r="2535" spans="1:17">
      <c r="A2535" s="748" t="s">
        <v>1517</v>
      </c>
      <c r="B2535" s="748" t="s">
        <v>2991</v>
      </c>
      <c r="E2535" s="748" t="s">
        <v>743</v>
      </c>
      <c r="G2535" s="748" t="s">
        <v>744</v>
      </c>
      <c r="L2535" s="748">
        <f>'Part IX A-Scoring Criteria'!L43</f>
        <v>0</v>
      </c>
      <c r="M2535" s="748" t="s">
        <v>1881</v>
      </c>
      <c r="N2535" s="748" t="s">
        <v>1517</v>
      </c>
      <c r="O2535" s="748">
        <f>'Part IX A-Scoring Criteria'!O43</f>
        <v>0</v>
      </c>
      <c r="P2535" s="748">
        <f>'Part IX A-Scoring Criteria'!P43</f>
        <v>0</v>
      </c>
    </row>
    <row r="2537" spans="1:17">
      <c r="B2537" s="748" t="s">
        <v>582</v>
      </c>
    </row>
    <row r="2538" spans="1:17">
      <c r="A2538" s="748">
        <f>'Part IX A-Scoring Criteria'!A46</f>
        <v>0</v>
      </c>
      <c r="Q2538" s="748" t="s">
        <v>1931</v>
      </c>
    </row>
    <row r="2539" spans="1:17" ht="13.15" customHeight="1">
      <c r="A2539" s="748">
        <f>'Part IX A-Scoring Criteria'!A47</f>
        <v>0</v>
      </c>
    </row>
    <row r="2540" spans="1:17" ht="13.15" customHeight="1">
      <c r="A2540" s="748">
        <f>'Part IX A-Scoring Criteria'!A48</f>
        <v>0</v>
      </c>
    </row>
    <row r="2541" spans="1:17">
      <c r="B2541" s="748" t="s">
        <v>3089</v>
      </c>
    </row>
    <row r="2542" spans="1:17">
      <c r="A2542" s="748">
        <f>'Part IX A-Scoring Criteria'!A50</f>
        <v>0</v>
      </c>
      <c r="Q2542" s="748" t="s">
        <v>1931</v>
      </c>
    </row>
    <row r="2543" spans="1:17" ht="13.15" customHeight="1">
      <c r="A2543" s="748">
        <f>'Part IX A-Scoring Criteria'!A51</f>
        <v>0</v>
      </c>
    </row>
    <row r="2544" spans="1:17" ht="13.15" customHeight="1">
      <c r="A2544" s="748">
        <f>'Part IX A-Scoring Criteria'!A52</f>
        <v>0</v>
      </c>
    </row>
    <row r="2547" spans="1:17">
      <c r="A2547" s="748" t="s">
        <v>1872</v>
      </c>
      <c r="B2547" s="748" t="s">
        <v>1945</v>
      </c>
      <c r="H2547" s="748" t="s">
        <v>2878</v>
      </c>
      <c r="M2547" s="748">
        <v>2</v>
      </c>
      <c r="O2547" s="748">
        <f>MIN($M2547,(O2548+O2549))</f>
        <v>0</v>
      </c>
      <c r="P2547" s="748">
        <f>MIN($M2547,(P2548+P2549))</f>
        <v>0</v>
      </c>
      <c r="Q2547" s="748" t="s">
        <v>651</v>
      </c>
    </row>
    <row r="2548" spans="1:17">
      <c r="A2548" s="748" t="s">
        <v>3000</v>
      </c>
      <c r="B2548" s="748" t="s">
        <v>1922</v>
      </c>
      <c r="L2548" s="748" t="str">
        <f>IF(OR($O2548=$M2548,$O2548=0,$O2548=""),"","* * Check Score! * *")</f>
        <v/>
      </c>
      <c r="M2548" s="748">
        <v>2</v>
      </c>
      <c r="N2548" s="748" t="s">
        <v>3000</v>
      </c>
      <c r="O2548" s="748">
        <f>'Part IX A-Scoring Criteria'!O56</f>
        <v>0</v>
      </c>
      <c r="P2548" s="748">
        <f>'Part IX A-Scoring Criteria'!P56</f>
        <v>0</v>
      </c>
    </row>
    <row r="2549" spans="1:17">
      <c r="A2549" s="748" t="s">
        <v>3112</v>
      </c>
      <c r="B2549" s="748" t="s">
        <v>1920</v>
      </c>
      <c r="L2549" s="748" t="str">
        <f>IF(OR($O2549=$M2549,$O2549=0,$O2549=""),"","* * Check Score! * *")</f>
        <v/>
      </c>
      <c r="M2549" s="748">
        <v>1</v>
      </c>
      <c r="N2549" s="748" t="s">
        <v>3112</v>
      </c>
      <c r="O2549" s="748">
        <f>'Part IX A-Scoring Criteria'!O57</f>
        <v>0</v>
      </c>
      <c r="P2549" s="748">
        <f>'Part IX A-Scoring Criteria'!P57</f>
        <v>0</v>
      </c>
    </row>
    <row r="2550" spans="1:17">
      <c r="B2550" s="748" t="s">
        <v>582</v>
      </c>
    </row>
    <row r="2551" spans="1:17">
      <c r="A2551" s="748" t="str">
        <f>'Part IX A-Scoring Criteria'!A59</f>
        <v>This proposal is not claiming points under this section.</v>
      </c>
    </row>
    <row r="2552" spans="1:17">
      <c r="B2552" s="748" t="s">
        <v>3089</v>
      </c>
    </row>
    <row r="2553" spans="1:17">
      <c r="A2553" s="748">
        <f>'Part IX A-Scoring Criteria'!A61</f>
        <v>0</v>
      </c>
    </row>
    <row r="2554" spans="1:17">
      <c r="A2554" s="748">
        <f>'Part IX A-Scoring Criteria'!A62</f>
        <v>0</v>
      </c>
    </row>
    <row r="2556" spans="1:17" ht="12.4" customHeight="1">
      <c r="A2556" s="748" t="s">
        <v>1873</v>
      </c>
      <c r="B2556" s="748" t="s">
        <v>3815</v>
      </c>
      <c r="E2556" s="748" t="s">
        <v>3812</v>
      </c>
      <c r="I2556" s="748" t="s">
        <v>2878</v>
      </c>
      <c r="M2556" s="748">
        <v>1</v>
      </c>
      <c r="N2556" s="748" t="str">
        <f>IF(OR($O2556=$M2556,$O2556=0,$O2556=""),"","***")</f>
        <v/>
      </c>
      <c r="O2556" s="748">
        <f>'Part IX A-Scoring Criteria'!O64</f>
        <v>0</v>
      </c>
      <c r="P2556" s="748">
        <f>'Part IX A-Scoring Criteria'!P64</f>
        <v>0</v>
      </c>
      <c r="Q2556" s="748" t="s">
        <v>651</v>
      </c>
    </row>
    <row r="2557" spans="1:17" ht="12.4" customHeight="1">
      <c r="B2557" s="748" t="s">
        <v>1224</v>
      </c>
      <c r="O2557" s="748" t="str">
        <f>'Part IX A-Scoring Criteria'!O65</f>
        <v>N/a</v>
      </c>
      <c r="P2557" s="748">
        <f>'Part IX A-Scoring Criteria'!P65</f>
        <v>0</v>
      </c>
    </row>
    <row r="2558" spans="1:17" ht="12.4" customHeight="1">
      <c r="B2558" s="748" t="s">
        <v>1223</v>
      </c>
      <c r="I2558" s="748">
        <f>'Part IX A-Scoring Criteria'!I66</f>
        <v>0</v>
      </c>
    </row>
    <row r="2559" spans="1:17" ht="12.4" customHeight="1">
      <c r="B2559" s="748" t="s">
        <v>1225</v>
      </c>
      <c r="O2559" s="748" t="str">
        <f>'Part IX A-Scoring Criteria'!O67</f>
        <v>N/a</v>
      </c>
      <c r="P2559" s="748">
        <f>'Part IX A-Scoring Criteria'!P67</f>
        <v>0</v>
      </c>
    </row>
    <row r="2560" spans="1:17" ht="11.65" customHeight="1">
      <c r="B2560" s="748" t="s">
        <v>582</v>
      </c>
    </row>
    <row r="2561" spans="1:18">
      <c r="A2561" s="748" t="str">
        <f>'Part IX A-Scoring Criteria'!A69</f>
        <v>Not applicable to this proposal -- new construction</v>
      </c>
    </row>
    <row r="2562" spans="1:18">
      <c r="B2562" s="748" t="s">
        <v>3089</v>
      </c>
    </row>
    <row r="2563" spans="1:18">
      <c r="A2563" s="748">
        <f>'Part IX A-Scoring Criteria'!A71</f>
        <v>0</v>
      </c>
    </row>
    <row r="2564" spans="1:18">
      <c r="A2564" s="748">
        <f>'Part IX A-Scoring Criteria'!A72</f>
        <v>0</v>
      </c>
    </row>
    <row r="2566" spans="1:18" ht="12.4" customHeight="1">
      <c r="A2566" s="748" t="s">
        <v>2880</v>
      </c>
      <c r="B2566" s="748" t="s">
        <v>3816</v>
      </c>
      <c r="E2566" s="748" t="s">
        <v>2343</v>
      </c>
      <c r="I2566" s="748" t="s">
        <v>2878</v>
      </c>
      <c r="M2566" s="748">
        <v>2</v>
      </c>
      <c r="O2566" s="748">
        <f>'Part IX A-Scoring Criteria'!O74</f>
        <v>0</v>
      </c>
      <c r="P2566" s="748">
        <f>'Part IX A-Scoring Criteria'!P74</f>
        <v>0</v>
      </c>
      <c r="Q2566" s="748" t="s">
        <v>651</v>
      </c>
    </row>
    <row r="2567" spans="1:18" ht="12.4" customHeight="1">
      <c r="B2567" s="748" t="s">
        <v>1226</v>
      </c>
      <c r="I2567" s="748">
        <f>'Part IX A-Scoring Criteria'!I75</f>
        <v>0</v>
      </c>
    </row>
    <row r="2568" spans="1:18" ht="11.65" customHeight="1">
      <c r="B2568" s="748" t="s">
        <v>582</v>
      </c>
    </row>
    <row r="2569" spans="1:18">
      <c r="A2569" s="748" t="str">
        <f>'Part IX A-Scoring Criteria'!A77</f>
        <v>Not applicable to this proposal -- site is vacant, rural land.</v>
      </c>
    </row>
    <row r="2570" spans="1:18">
      <c r="B2570" s="748" t="s">
        <v>3089</v>
      </c>
    </row>
    <row r="2571" spans="1:18">
      <c r="A2571" s="748">
        <f>'Part IX A-Scoring Criteria'!A79</f>
        <v>0</v>
      </c>
    </row>
    <row r="2572" spans="1:18">
      <c r="A2572" s="748">
        <f>'Part IX A-Scoring Criteria'!A80</f>
        <v>0</v>
      </c>
    </row>
    <row r="2574" spans="1:18">
      <c r="A2574" s="748" t="s">
        <v>913</v>
      </c>
      <c r="B2574" s="748" t="s">
        <v>503</v>
      </c>
      <c r="F2574" s="748" t="s">
        <v>613</v>
      </c>
      <c r="I2574" s="748" t="str">
        <f>'Part IX A-Scoring Criteria'!I82</f>
        <v>Earth Craft House</v>
      </c>
      <c r="M2574" s="748">
        <v>3</v>
      </c>
      <c r="O2574" s="748">
        <f>'Part IX A-Scoring Criteria'!O82</f>
        <v>2</v>
      </c>
      <c r="P2574" s="748">
        <f>'Part IX A-Scoring Criteria'!P82</f>
        <v>0</v>
      </c>
      <c r="Q2574" s="748" t="s">
        <v>651</v>
      </c>
      <c r="R2574" s="748" t="str">
        <f>IF(OR($O2574=$M2574,$O2574=0,$O2574=""),"","* * Check Score! * *")</f>
        <v>* * Check Score! * *</v>
      </c>
    </row>
    <row r="2575" spans="1:18" ht="13.15" customHeight="1">
      <c r="B2575" s="748" t="s">
        <v>2400</v>
      </c>
      <c r="O2575" s="748" t="str">
        <f>'Part IX A-Scoring Criteria'!O83</f>
        <v>Yes</v>
      </c>
      <c r="P2575" s="748">
        <f>'Part IX A-Scoring Criteria'!P83</f>
        <v>0</v>
      </c>
    </row>
    <row r="2576" spans="1:18" ht="14.65" customHeight="1">
      <c r="B2576" s="748" t="s">
        <v>3000</v>
      </c>
      <c r="C2576" s="748" t="s">
        <v>1577</v>
      </c>
      <c r="M2576" s="748" t="str">
        <f>IF(AND($I$89="Stable Communities &lt; 10%",O2576=""), "X","")</f>
        <v/>
      </c>
      <c r="N2576" s="748" t="s">
        <v>3000</v>
      </c>
      <c r="O2576" s="748" t="str">
        <f>'Part IX A-Scoring Criteria'!O84</f>
        <v>Agree</v>
      </c>
      <c r="P2576" s="748">
        <f>'Part IX A-Scoring Criteria'!P84</f>
        <v>0</v>
      </c>
    </row>
    <row r="2577" spans="1:17" ht="13.15" customHeight="1">
      <c r="B2577" s="748" t="s">
        <v>3112</v>
      </c>
      <c r="C2577" s="748" t="s">
        <v>1804</v>
      </c>
      <c r="M2577" s="748" t="str">
        <f>IF(AND($I$89="Stable Communities &lt; 10%",O2577=""), "X","")</f>
        <v/>
      </c>
      <c r="N2577" s="748" t="s">
        <v>3112</v>
      </c>
      <c r="O2577" s="748" t="str">
        <f>'Part IX A-Scoring Criteria'!O85</f>
        <v>Agree</v>
      </c>
      <c r="P2577" s="748">
        <f>'Part IX A-Scoring Criteria'!P85</f>
        <v>0</v>
      </c>
    </row>
    <row r="2578" spans="1:17" ht="13.15" customHeight="1">
      <c r="B2578" s="748" t="s">
        <v>582</v>
      </c>
    </row>
    <row r="2579" spans="1:17">
      <c r="A2579" s="748" t="str">
        <f>'Part IX A-Scoring Criteria'!A87</f>
        <v>Endeavor Pointe commits to obtaining a sustainable building certification through Earthcraft House multifamily.  A draft scoring sheet is included in tab 29, along with certification that member of GP/Dev entities have completed the training necessary to claim these</v>
      </c>
    </row>
    <row r="2580" spans="1:17">
      <c r="A2580" s="748" t="str">
        <f>'Part IX A-Scoring Criteria'!A88</f>
        <v>points.</v>
      </c>
    </row>
    <row r="2581" spans="1:17">
      <c r="B2581" s="748" t="s">
        <v>3089</v>
      </c>
    </row>
    <row r="2582" spans="1:17">
      <c r="A2582" s="748">
        <f>'Part IX A-Scoring Criteria'!A90</f>
        <v>0</v>
      </c>
    </row>
    <row r="2583" spans="1:17">
      <c r="A2583" s="748">
        <f>'Part IX A-Scoring Criteria'!A91</f>
        <v>0</v>
      </c>
    </row>
    <row r="2585" spans="1:17">
      <c r="A2585" s="748" t="s">
        <v>914</v>
      </c>
      <c r="B2585" s="748" t="s">
        <v>3650</v>
      </c>
      <c r="I2585" s="748" t="str">
        <f>'Part IX A-Scoring Criteria'!I93</f>
        <v>Stable Communities &lt; 10%</v>
      </c>
      <c r="M2585" s="748">
        <v>6</v>
      </c>
      <c r="O2585" s="748">
        <f>'Part IX A-Scoring Criteria'!O93</f>
        <v>4</v>
      </c>
      <c r="P2585" s="748">
        <f>'Part IX A-Scoring Criteria'!P93</f>
        <v>0</v>
      </c>
      <c r="Q2585" s="748" t="s">
        <v>651</v>
      </c>
    </row>
    <row r="2586" spans="1:17">
      <c r="A2586" s="748" t="s">
        <v>777</v>
      </c>
    </row>
    <row r="2587" spans="1:17">
      <c r="A2587" s="748" t="s">
        <v>3000</v>
      </c>
      <c r="B2587" s="748" t="s">
        <v>3988</v>
      </c>
      <c r="M2587" s="748">
        <v>4</v>
      </c>
    </row>
    <row r="2588" spans="1:17">
      <c r="A2588" s="748" t="str">
        <f>'Part IX A-Scoring Criteria'!A96</f>
        <v>X</v>
      </c>
      <c r="B2588" s="748" t="s">
        <v>3113</v>
      </c>
      <c r="C2588" s="748" t="s">
        <v>804</v>
      </c>
      <c r="O2588" s="748" t="s">
        <v>3989</v>
      </c>
      <c r="P2588" s="748" t="s">
        <v>3989</v>
      </c>
    </row>
    <row r="2589" spans="1:17">
      <c r="B2589" s="748" t="s">
        <v>3697</v>
      </c>
      <c r="C2589" s="748" t="s">
        <v>3741</v>
      </c>
      <c r="G2589" s="748" t="s">
        <v>3742</v>
      </c>
      <c r="M2589" s="748" t="str">
        <f>IF(AND($I$89="Stable Communities &lt; 10%",O2589=""), "X","")</f>
        <v/>
      </c>
      <c r="N2589" s="748" t="s">
        <v>3697</v>
      </c>
      <c r="O2589" s="748" t="str">
        <f>'Part IX A-Scoring Criteria'!O97</f>
        <v>Yes</v>
      </c>
      <c r="P2589" s="748">
        <f>'Part IX A-Scoring Criteria'!P97</f>
        <v>0</v>
      </c>
    </row>
    <row r="2590" spans="1:17">
      <c r="B2590" s="748" t="s">
        <v>3698</v>
      </c>
      <c r="C2590" s="748" t="s">
        <v>3743</v>
      </c>
      <c r="G2590" s="748" t="s">
        <v>3634</v>
      </c>
      <c r="M2590" s="748" t="str">
        <f>IF(AND($I$89="Stable Communities &lt; 10%",O2590=""), "X","")</f>
        <v/>
      </c>
      <c r="N2590" s="748" t="s">
        <v>3698</v>
      </c>
      <c r="O2590" s="748" t="str">
        <f>'Part IX A-Scoring Criteria'!O98</f>
        <v>Yes</v>
      </c>
      <c r="P2590" s="748">
        <f>'Part IX A-Scoring Criteria'!P98</f>
        <v>0</v>
      </c>
    </row>
    <row r="2591" spans="1:17">
      <c r="B2591" s="748" t="s">
        <v>3701</v>
      </c>
      <c r="C2591" s="748" t="s">
        <v>2097</v>
      </c>
      <c r="M2591" s="748" t="str">
        <f>IF(AND($I$89="Stable Communities &lt; 10%",O2591=""), "X","")</f>
        <v/>
      </c>
      <c r="N2591" s="748" t="s">
        <v>3701</v>
      </c>
      <c r="O2591" s="748" t="str">
        <f>'Part IX A-Scoring Criteria'!O99</f>
        <v>Yes</v>
      </c>
      <c r="P2591" s="748">
        <f>'Part IX A-Scoring Criteria'!P99</f>
        <v>0</v>
      </c>
    </row>
    <row r="2592" spans="1:17">
      <c r="A2592" s="748" t="str">
        <f>'Part IX A-Scoring Criteria'!A100</f>
        <v/>
      </c>
      <c r="B2592" s="748" t="s">
        <v>3115</v>
      </c>
      <c r="C2592" s="748" t="s">
        <v>804</v>
      </c>
      <c r="O2592" s="748" t="s">
        <v>3989</v>
      </c>
      <c r="P2592" s="748" t="s">
        <v>3989</v>
      </c>
    </row>
    <row r="2593" spans="1:16">
      <c r="B2593" s="748" t="s">
        <v>3697</v>
      </c>
      <c r="C2593" s="748" t="s">
        <v>3904</v>
      </c>
      <c r="G2593" s="748" t="s">
        <v>3744</v>
      </c>
      <c r="M2593" s="748" t="str">
        <f>IF(AND($I$89="Stable Communities &lt; 20%",O2593=""), "X","")</f>
        <v/>
      </c>
      <c r="N2593" s="748" t="s">
        <v>3697</v>
      </c>
      <c r="O2593" s="748" t="str">
        <f>'Part IX A-Scoring Criteria'!O101</f>
        <v>N/a</v>
      </c>
      <c r="P2593" s="748">
        <f>'Part IX A-Scoring Criteria'!P101</f>
        <v>0</v>
      </c>
    </row>
    <row r="2594" spans="1:16">
      <c r="B2594" s="748" t="s">
        <v>3698</v>
      </c>
      <c r="C2594" s="748" t="s">
        <v>3743</v>
      </c>
      <c r="G2594" s="748" t="s">
        <v>3634</v>
      </c>
      <c r="M2594" s="748" t="str">
        <f>IF(AND($I$89="Stable Communities &lt; 20%",O2594=""), "X","")</f>
        <v/>
      </c>
      <c r="N2594" s="748" t="s">
        <v>3698</v>
      </c>
      <c r="O2594" s="748" t="str">
        <f>'Part IX A-Scoring Criteria'!O102</f>
        <v>N/a</v>
      </c>
      <c r="P2594" s="748">
        <f>'Part IX A-Scoring Criteria'!P102</f>
        <v>0</v>
      </c>
    </row>
    <row r="2595" spans="1:16">
      <c r="B2595" s="748" t="s">
        <v>3701</v>
      </c>
      <c r="C2595" s="748" t="s">
        <v>2097</v>
      </c>
      <c r="M2595" s="748" t="str">
        <f>IF(AND($I$89="Stable Communities &lt; 20%",O2595=""), "X","")</f>
        <v/>
      </c>
      <c r="N2595" s="748" t="s">
        <v>3701</v>
      </c>
      <c r="O2595" s="748" t="str">
        <f>'Part IX A-Scoring Criteria'!O103</f>
        <v>N/a</v>
      </c>
      <c r="P2595" s="748">
        <f>'Part IX A-Scoring Criteria'!P103</f>
        <v>0</v>
      </c>
    </row>
    <row r="2596" spans="1:16">
      <c r="A2596" s="748" t="s">
        <v>3112</v>
      </c>
      <c r="B2596" s="748" t="s">
        <v>477</v>
      </c>
      <c r="M2596" s="748">
        <v>6</v>
      </c>
    </row>
    <row r="2597" spans="1:16">
      <c r="A2597" s="748" t="str">
        <f>'Part IX A-Scoring Criteria'!A105</f>
        <v/>
      </c>
      <c r="B2597" s="748" t="s">
        <v>3113</v>
      </c>
      <c r="C2597" s="748" t="s">
        <v>4141</v>
      </c>
      <c r="O2597" s="748" t="s">
        <v>3989</v>
      </c>
      <c r="P2597" s="748" t="s">
        <v>3989</v>
      </c>
    </row>
    <row r="2598" spans="1:16">
      <c r="B2598" s="748" t="s">
        <v>3697</v>
      </c>
      <c r="C2598" s="748" t="s">
        <v>1215</v>
      </c>
      <c r="M2598" s="748" t="str">
        <f>IF(AND($I$89="HOPE VI Initiative",O2598=""), "X","")</f>
        <v/>
      </c>
      <c r="N2598" s="748" t="s">
        <v>3697</v>
      </c>
      <c r="O2598" s="748" t="str">
        <f>'Part IX A-Scoring Criteria'!O106</f>
        <v>N/a</v>
      </c>
      <c r="P2598" s="748">
        <f>'Part IX A-Scoring Criteria'!P106</f>
        <v>0</v>
      </c>
    </row>
    <row r="2599" spans="1:16">
      <c r="B2599" s="748" t="s">
        <v>3698</v>
      </c>
      <c r="C2599" s="748" t="s">
        <v>1216</v>
      </c>
      <c r="M2599" s="748" t="str">
        <f>IF(AND($I$89="HOPE VI Initiative",O2599=""), "X","")</f>
        <v/>
      </c>
      <c r="N2599" s="748" t="s">
        <v>3698</v>
      </c>
      <c r="O2599" s="748" t="str">
        <f>'Part IX A-Scoring Criteria'!O107</f>
        <v>N/a</v>
      </c>
      <c r="P2599" s="748">
        <f>'Part IX A-Scoring Criteria'!P107</f>
        <v>0</v>
      </c>
    </row>
    <row r="2600" spans="1:16">
      <c r="B2600" s="748" t="s">
        <v>3699</v>
      </c>
      <c r="C2600" s="748" t="s">
        <v>1090</v>
      </c>
      <c r="M2600" s="748" t="str">
        <f>IF(AND($I$89="HOPE VI Initiative",O2600=""), "X","")</f>
        <v/>
      </c>
      <c r="N2600" s="748" t="s">
        <v>3699</v>
      </c>
      <c r="O2600" s="748" t="str">
        <f>'Part IX A-Scoring Criteria'!O108</f>
        <v>N/a</v>
      </c>
      <c r="P2600" s="748">
        <f>'Part IX A-Scoring Criteria'!P108</f>
        <v>0</v>
      </c>
    </row>
    <row r="2601" spans="1:16">
      <c r="B2601" s="748" t="s">
        <v>3700</v>
      </c>
      <c r="C2601" s="748" t="s">
        <v>1091</v>
      </c>
      <c r="M2601" s="748" t="str">
        <f>IF(AND($I$89="HOPE VI Initiative",O2601=""), "X","")</f>
        <v/>
      </c>
      <c r="N2601" s="748" t="s">
        <v>3700</v>
      </c>
      <c r="O2601" s="748" t="str">
        <f>'Part IX A-Scoring Criteria'!O109</f>
        <v>N/a</v>
      </c>
      <c r="P2601" s="748">
        <f>'Part IX A-Scoring Criteria'!P109</f>
        <v>0</v>
      </c>
    </row>
    <row r="2602" spans="1:16">
      <c r="B2602" s="748" t="s">
        <v>3115</v>
      </c>
      <c r="C2602" s="748" t="s">
        <v>670</v>
      </c>
      <c r="G2602" s="748" t="s">
        <v>1002</v>
      </c>
      <c r="N2602" s="748" t="s">
        <v>3115</v>
      </c>
      <c r="O2602" s="748" t="str">
        <f>'Part IX A-Scoring Criteria'!O110</f>
        <v>N/a</v>
      </c>
      <c r="P2602" s="748">
        <f>'Part IX A-Scoring Criteria'!P110</f>
        <v>0</v>
      </c>
    </row>
    <row r="2603" spans="1:16">
      <c r="A2603" s="748" t="str">
        <f>'Part IX A-Scoring Criteria'!A111</f>
        <v/>
      </c>
      <c r="B2603" s="748" t="s">
        <v>4028</v>
      </c>
      <c r="C2603" s="748" t="s">
        <v>671</v>
      </c>
      <c r="G2603" s="748" t="s">
        <v>1792</v>
      </c>
      <c r="H2603" s="748" t="str">
        <f>'Part IX A-Scoring Criteria'!H111</f>
        <v>&lt;&lt;Select&gt;&gt;</v>
      </c>
      <c r="I2603" s="748" t="s">
        <v>1576</v>
      </c>
      <c r="J2603" s="748">
        <f>'Part IX A-Scoring Criteria'!J111</f>
        <v>0</v>
      </c>
      <c r="N2603" s="748" t="s">
        <v>4028</v>
      </c>
      <c r="O2603" s="748" t="str">
        <f>'Part IX A-Scoring Criteria'!O111</f>
        <v>N/a</v>
      </c>
      <c r="P2603" s="748">
        <f>'Part IX A-Scoring Criteria'!P111</f>
        <v>0</v>
      </c>
    </row>
    <row r="2604" spans="1:16">
      <c r="A2604" s="748" t="str">
        <f>'Part IX A-Scoring Criteria'!A112</f>
        <v/>
      </c>
      <c r="B2604" s="748" t="s">
        <v>1872</v>
      </c>
      <c r="C2604" s="748" t="s">
        <v>3728</v>
      </c>
      <c r="G2604" s="748" t="s">
        <v>763</v>
      </c>
      <c r="H2604" s="748">
        <f>'Part IX A-Scoring Criteria'!H112</f>
        <v>0</v>
      </c>
      <c r="N2604" s="748" t="s">
        <v>1872</v>
      </c>
      <c r="O2604" s="748" t="str">
        <f>'Part IX A-Scoring Criteria'!O112</f>
        <v>N/a</v>
      </c>
      <c r="P2604" s="748">
        <f>'Part IX A-Scoring Criteria'!P112</f>
        <v>0</v>
      </c>
    </row>
    <row r="2605" spans="1:16">
      <c r="B2605" s="748" t="s">
        <v>3697</v>
      </c>
      <c r="C2605" s="748" t="s">
        <v>919</v>
      </c>
      <c r="G2605" s="748" t="s">
        <v>1094</v>
      </c>
      <c r="H2605" s="748">
        <f>'Part IX A-Scoring Criteria'!H113</f>
        <v>0</v>
      </c>
      <c r="M2605" s="748" t="str">
        <f>IF(AND($I$89="Local Redevelopment Plan",O2605=""), "X","")</f>
        <v/>
      </c>
      <c r="N2605" s="748" t="s">
        <v>3697</v>
      </c>
      <c r="O2605" s="748" t="str">
        <f>'Part IX A-Scoring Criteria'!O113</f>
        <v>N/a</v>
      </c>
      <c r="P2605" s="748">
        <f>'Part IX A-Scoring Criteria'!P113</f>
        <v>0</v>
      </c>
    </row>
    <row r="2606" spans="1:16">
      <c r="B2606" s="748" t="s">
        <v>3698</v>
      </c>
      <c r="C2606" s="748" t="s">
        <v>3819</v>
      </c>
      <c r="N2606" s="748" t="s">
        <v>3698</v>
      </c>
      <c r="O2606" s="748" t="str">
        <f>'Part IX A-Scoring Criteria'!O114</f>
        <v>N/a</v>
      </c>
      <c r="P2606" s="748">
        <f>'Part IX A-Scoring Criteria'!P114</f>
        <v>0</v>
      </c>
    </row>
    <row r="2607" spans="1:16">
      <c r="B2607" s="748" t="s">
        <v>3699</v>
      </c>
      <c r="C2607" s="748" t="s">
        <v>3820</v>
      </c>
      <c r="M2607" s="748" t="str">
        <f t="shared" ref="M2607:M2616" si="374">IF(AND($I$89="Local Redevelopment Plan",O2607=""), "X","")</f>
        <v/>
      </c>
      <c r="N2607" s="748" t="s">
        <v>3699</v>
      </c>
      <c r="O2607" s="748" t="str">
        <f>'Part IX A-Scoring Criteria'!O115</f>
        <v>N/a</v>
      </c>
      <c r="P2607" s="748">
        <f>'Part IX A-Scoring Criteria'!P115</f>
        <v>0</v>
      </c>
    </row>
    <row r="2608" spans="1:16">
      <c r="B2608" s="748" t="s">
        <v>3700</v>
      </c>
      <c r="C2608" s="748" t="s">
        <v>3821</v>
      </c>
      <c r="M2608" s="748" t="str">
        <f t="shared" si="374"/>
        <v/>
      </c>
      <c r="N2608" s="748" t="s">
        <v>3700</v>
      </c>
      <c r="O2608" s="748" t="str">
        <f>'Part IX A-Scoring Criteria'!O116</f>
        <v>N/a</v>
      </c>
      <c r="P2608" s="748">
        <f>'Part IX A-Scoring Criteria'!P116</f>
        <v>0</v>
      </c>
    </row>
    <row r="2609" spans="1:17">
      <c r="B2609" s="748" t="s">
        <v>3701</v>
      </c>
      <c r="C2609" s="748" t="s">
        <v>3822</v>
      </c>
      <c r="M2609" s="748" t="str">
        <f t="shared" si="374"/>
        <v/>
      </c>
      <c r="N2609" s="748" t="s">
        <v>3701</v>
      </c>
      <c r="O2609" s="748" t="str">
        <f>'Part IX A-Scoring Criteria'!O117</f>
        <v>N/a</v>
      </c>
      <c r="P2609" s="748">
        <f>'Part IX A-Scoring Criteria'!P117</f>
        <v>0</v>
      </c>
    </row>
    <row r="2610" spans="1:17">
      <c r="B2610" s="748" t="s">
        <v>3906</v>
      </c>
      <c r="C2610" s="748" t="s">
        <v>3732</v>
      </c>
      <c r="M2610" s="748" t="str">
        <f t="shared" si="374"/>
        <v/>
      </c>
      <c r="N2610" s="748" t="s">
        <v>3906</v>
      </c>
      <c r="O2610" s="748" t="str">
        <f>'Part IX A-Scoring Criteria'!O118</f>
        <v>N/a</v>
      </c>
      <c r="P2610" s="748">
        <f>'Part IX A-Scoring Criteria'!P118</f>
        <v>0</v>
      </c>
    </row>
    <row r="2611" spans="1:17">
      <c r="B2611" s="748" t="s">
        <v>3907</v>
      </c>
      <c r="C2611" s="748" t="s">
        <v>3926</v>
      </c>
      <c r="M2611" s="748" t="str">
        <f t="shared" si="374"/>
        <v/>
      </c>
      <c r="N2611" s="748" t="s">
        <v>3907</v>
      </c>
      <c r="O2611" s="748" t="str">
        <f>'Part IX A-Scoring Criteria'!O119</f>
        <v>N/a</v>
      </c>
      <c r="P2611" s="748">
        <f>'Part IX A-Scoring Criteria'!P119</f>
        <v>0</v>
      </c>
    </row>
    <row r="2612" spans="1:17">
      <c r="A2612" s="748" t="str">
        <f>'Part IX A-Scoring Criteria'!A120</f>
        <v/>
      </c>
      <c r="B2612" s="748" t="s">
        <v>3824</v>
      </c>
      <c r="O2612" s="748" t="s">
        <v>3989</v>
      </c>
      <c r="P2612" s="748" t="s">
        <v>3989</v>
      </c>
    </row>
    <row r="2613" spans="1:17">
      <c r="B2613" s="748" t="s">
        <v>3927</v>
      </c>
      <c r="C2613" s="748" t="s">
        <v>3825</v>
      </c>
      <c r="M2613" s="748" t="str">
        <f t="shared" si="374"/>
        <v/>
      </c>
      <c r="N2613" s="748" t="s">
        <v>3927</v>
      </c>
      <c r="O2613" s="748" t="str">
        <f>'Part IX A-Scoring Criteria'!O121</f>
        <v>N/a</v>
      </c>
      <c r="P2613" s="748">
        <f>'Part IX A-Scoring Criteria'!P121</f>
        <v>0</v>
      </c>
    </row>
    <row r="2614" spans="1:17">
      <c r="B2614" s="748" t="s">
        <v>3928</v>
      </c>
      <c r="C2614" s="748" t="s">
        <v>3826</v>
      </c>
      <c r="M2614" s="748" t="str">
        <f t="shared" si="374"/>
        <v/>
      </c>
      <c r="N2614" s="748" t="s">
        <v>3928</v>
      </c>
      <c r="O2614" s="748" t="str">
        <f>'Part IX A-Scoring Criteria'!O122</f>
        <v>N/a</v>
      </c>
      <c r="P2614" s="748">
        <f>'Part IX A-Scoring Criteria'!P122</f>
        <v>0</v>
      </c>
    </row>
    <row r="2615" spans="1:17">
      <c r="B2615" s="748" t="s">
        <v>3823</v>
      </c>
      <c r="C2615" s="748" t="s">
        <v>3829</v>
      </c>
      <c r="M2615" s="748" t="str">
        <f t="shared" si="374"/>
        <v/>
      </c>
      <c r="N2615" s="748" t="s">
        <v>3823</v>
      </c>
      <c r="O2615" s="748" t="str">
        <f>'Part IX A-Scoring Criteria'!O123</f>
        <v>N/a</v>
      </c>
      <c r="P2615" s="748">
        <f>'Part IX A-Scoring Criteria'!P123</f>
        <v>0</v>
      </c>
    </row>
    <row r="2616" spans="1:17">
      <c r="B2616" s="748" t="s">
        <v>1093</v>
      </c>
      <c r="C2616" s="748" t="s">
        <v>3830</v>
      </c>
      <c r="M2616" s="748" t="str">
        <f t="shared" si="374"/>
        <v/>
      </c>
      <c r="N2616" s="748" t="s">
        <v>1093</v>
      </c>
      <c r="O2616" s="748" t="str">
        <f>'Part IX A-Scoring Criteria'!O124</f>
        <v>N/a</v>
      </c>
      <c r="P2616" s="748">
        <f>'Part IX A-Scoring Criteria'!P124</f>
        <v>0</v>
      </c>
    </row>
    <row r="2617" spans="1:17">
      <c r="B2617" s="748" t="s">
        <v>582</v>
      </c>
    </row>
    <row r="2618" spans="1:17">
      <c r="A2618" s="748" t="str">
        <f>'Part IX A-Scoring Criteria'!A126</f>
        <v>Proposed site is in census tract 206.01 of Walker County and is eligible for 4 points under part A 1 above.  The applicable income and demographic documentation from FFIEC has been included in tab 30.</v>
      </c>
    </row>
    <row r="2619" spans="1:17">
      <c r="A2619" s="748">
        <f>'Part IX A-Scoring Criteria'!A127</f>
        <v>0</v>
      </c>
    </row>
    <row r="2620" spans="1:17">
      <c r="B2620" s="748" t="s">
        <v>3089</v>
      </c>
    </row>
    <row r="2621" spans="1:17">
      <c r="A2621" s="748">
        <f>'Part IX A-Scoring Criteria'!A129</f>
        <v>0</v>
      </c>
    </row>
    <row r="2622" spans="1:17">
      <c r="A2622" s="748">
        <f>'Part IX A-Scoring Criteria'!A130</f>
        <v>0</v>
      </c>
    </row>
    <row r="2624" spans="1:17">
      <c r="A2624" s="748" t="s">
        <v>505</v>
      </c>
      <c r="B2624" s="748" t="s">
        <v>3831</v>
      </c>
      <c r="J2624" s="748" t="s">
        <v>512</v>
      </c>
      <c r="M2624" s="748">
        <v>3</v>
      </c>
      <c r="O2624" s="748">
        <f>MIN($M2624,(O2625+O2631))</f>
        <v>3</v>
      </c>
      <c r="P2624" s="748">
        <f>MIN($M2624,(P2625+P2631))</f>
        <v>3</v>
      </c>
      <c r="Q2624" s="748" t="s">
        <v>651</v>
      </c>
    </row>
    <row r="2625" spans="1:17">
      <c r="B2625" s="748" t="s">
        <v>3000</v>
      </c>
      <c r="C2625" s="748" t="s">
        <v>3566</v>
      </c>
      <c r="G2625" s="748" t="str">
        <f>IF(AND(O2625&lt;0,M2632&lt;0),"Select either A or B but not both!&gt;","")</f>
        <v/>
      </c>
      <c r="L2625" s="748" t="str">
        <f>IF(OR($O2625=$M2625,$O2625=0,$O2625=""),"","* * Check Score! * *")</f>
        <v/>
      </c>
      <c r="M2625" s="748">
        <v>3</v>
      </c>
      <c r="N2625" s="748" t="s">
        <v>3000</v>
      </c>
      <c r="O2625" s="748">
        <f>'Part IX A-Scoring Criteria'!O133</f>
        <v>0</v>
      </c>
      <c r="P2625" s="748">
        <f>'Part IX A-Scoring Criteria'!P133</f>
        <v>0</v>
      </c>
    </row>
    <row r="2626" spans="1:17" ht="13.15" customHeight="1">
      <c r="B2626" s="748" t="s">
        <v>3113</v>
      </c>
      <c r="C2626" s="748" t="s">
        <v>1665</v>
      </c>
      <c r="N2626" s="748" t="s">
        <v>3113</v>
      </c>
      <c r="O2626" s="748" t="str">
        <f>'Part IX A-Scoring Criteria'!O134</f>
        <v>N/a</v>
      </c>
      <c r="P2626" s="748">
        <f>'Part IX A-Scoring Criteria'!P134</f>
        <v>0</v>
      </c>
    </row>
    <row r="2627" spans="1:17" ht="13.15" customHeight="1">
      <c r="C2627" s="748" t="s">
        <v>1666</v>
      </c>
      <c r="H2627" s="748" t="s">
        <v>1536</v>
      </c>
      <c r="I2627" s="748">
        <f>'Part IX A-Scoring Criteria'!I135</f>
        <v>0</v>
      </c>
      <c r="J2627" s="748" t="s">
        <v>1031</v>
      </c>
      <c r="K2627" s="748">
        <f>'Part IX A-Scoring Criteria'!K135</f>
        <v>0</v>
      </c>
    </row>
    <row r="2628" spans="1:17">
      <c r="B2628" s="748" t="s">
        <v>3115</v>
      </c>
      <c r="C2628" s="748" t="s">
        <v>1590</v>
      </c>
      <c r="L2628" s="748" t="str">
        <f>IF(OR($O2628=$M2628,$O2628=0,$O2628=""),"","* * Check Score! * *")</f>
        <v>* * Check Score! * *</v>
      </c>
      <c r="N2628" s="748" t="s">
        <v>3115</v>
      </c>
      <c r="O2628" s="748" t="str">
        <f>'Part IX A-Scoring Criteria'!O136</f>
        <v>N/a</v>
      </c>
      <c r="P2628" s="748">
        <f>'Part IX A-Scoring Criteria'!P136</f>
        <v>0</v>
      </c>
    </row>
    <row r="2629" spans="1:17">
      <c r="B2629" s="748" t="s">
        <v>4028</v>
      </c>
      <c r="C2629" s="748" t="s">
        <v>1591</v>
      </c>
      <c r="L2629" s="748" t="str">
        <f>IF(OR($O2629=$M2629,$O2629=0,$O2629=""),"","* * Check Score! * *")</f>
        <v>* * Check Score! * *</v>
      </c>
      <c r="N2629" s="748" t="s">
        <v>4028</v>
      </c>
      <c r="O2629" s="748" t="str">
        <f>'Part IX A-Scoring Criteria'!O137</f>
        <v>No</v>
      </c>
      <c r="P2629" s="748">
        <f>'Part IX A-Scoring Criteria'!P137</f>
        <v>0</v>
      </c>
    </row>
    <row r="2630" spans="1:17">
      <c r="B2630" s="748" t="s">
        <v>1872</v>
      </c>
      <c r="C2630" s="748" t="s">
        <v>1672</v>
      </c>
      <c r="L2630" s="748" t="str">
        <f>IF(OR($O2630=$M2630,$O2630=0,$O2630=""),"","* * Check Score! * *")</f>
        <v>* * Check Score! * *</v>
      </c>
      <c r="N2630" s="748" t="s">
        <v>1872</v>
      </c>
      <c r="O2630" s="748" t="str">
        <f>'Part IX A-Scoring Criteria'!O138</f>
        <v>N/a</v>
      </c>
      <c r="P2630" s="748">
        <f>'Part IX A-Scoring Criteria'!P138</f>
        <v>0</v>
      </c>
    </row>
    <row r="2631" spans="1:17">
      <c r="A2631" s="748" t="s">
        <v>2068</v>
      </c>
      <c r="B2631" s="748" t="s">
        <v>3112</v>
      </c>
      <c r="C2631" s="748" t="s">
        <v>3567</v>
      </c>
      <c r="M2631" s="748">
        <v>3</v>
      </c>
      <c r="N2631" s="748" t="s">
        <v>3112</v>
      </c>
      <c r="O2631" s="748">
        <f>IF($M2632=4,3,IF($M2632=3,2,IF($M2632=2,1,0)))</f>
        <v>3</v>
      </c>
      <c r="P2631" s="748">
        <f>IF($M2632=4,3,IF($M2632=3,2,IF($M2632=2,1,0)))</f>
        <v>3</v>
      </c>
    </row>
    <row r="2632" spans="1:17">
      <c r="L2632" s="748" t="s">
        <v>903</v>
      </c>
      <c r="M2632" s="748">
        <f>'Part IX A-Scoring Criteria'!M140</f>
        <v>4</v>
      </c>
      <c r="N2632" s="748" t="s">
        <v>904</v>
      </c>
    </row>
    <row r="2633" spans="1:17">
      <c r="B2633" s="748" t="s">
        <v>582</v>
      </c>
    </row>
    <row r="2634" spans="1:17">
      <c r="A2634" s="748" t="str">
        <f>'Part IX A-Scoring Criteria'!A142</f>
        <v>Endeavor Pointe is new construction for a new community.  There have been no projects funded in the local area or the boundaries of the local gov't (unincorporated Walker County) in 4+ rounds.</v>
      </c>
    </row>
    <row r="2635" spans="1:17">
      <c r="B2635" s="748" t="s">
        <v>3089</v>
      </c>
    </row>
    <row r="2636" spans="1:17">
      <c r="A2636" s="748">
        <f>'Part IX A-Scoring Criteria'!A144</f>
        <v>0</v>
      </c>
    </row>
    <row r="2638" spans="1:17">
      <c r="A2638" s="748" t="s">
        <v>506</v>
      </c>
      <c r="B2638" s="748" t="s">
        <v>3746</v>
      </c>
      <c r="L2638" s="748" t="str">
        <f>IF(OR($O2638=$M2638,$O2638=0,$O2638=""),"","* * Check Score! * *")</f>
        <v/>
      </c>
      <c r="M2638" s="748">
        <v>2</v>
      </c>
      <c r="O2638" s="748">
        <f>'Part IX A-Scoring Criteria'!O146</f>
        <v>2</v>
      </c>
      <c r="P2638" s="748">
        <f>'Part IX A-Scoring Criteria'!P146</f>
        <v>0</v>
      </c>
      <c r="Q2638" s="748" t="s">
        <v>651</v>
      </c>
    </row>
    <row r="2639" spans="1:17">
      <c r="B2639" s="748" t="s">
        <v>2796</v>
      </c>
      <c r="P2639" s="748" t="s">
        <v>3989</v>
      </c>
    </row>
    <row r="2640" spans="1:17">
      <c r="A2640" s="748" t="s">
        <v>3697</v>
      </c>
      <c r="B2640" s="748" t="s">
        <v>3638</v>
      </c>
      <c r="O2640" s="748" t="s">
        <v>3697</v>
      </c>
      <c r="P2640" s="748">
        <f>'Part IX A-Scoring Criteria'!P148</f>
        <v>0</v>
      </c>
    </row>
    <row r="2641" spans="1:16" ht="13.15" customHeight="1">
      <c r="A2641" s="748" t="s">
        <v>3698</v>
      </c>
      <c r="B2641" s="748" t="s">
        <v>3837</v>
      </c>
      <c r="O2641" s="748" t="s">
        <v>3698</v>
      </c>
      <c r="P2641" s="748">
        <f>'Part IX A-Scoring Criteria'!P149</f>
        <v>0</v>
      </c>
    </row>
    <row r="2642" spans="1:16" ht="13.15" customHeight="1">
      <c r="A2642" s="748" t="s">
        <v>3699</v>
      </c>
      <c r="B2642" s="748" t="s">
        <v>3839</v>
      </c>
      <c r="O2642" s="748" t="s">
        <v>3699</v>
      </c>
      <c r="P2642" s="748">
        <f>'Part IX A-Scoring Criteria'!P150</f>
        <v>0</v>
      </c>
    </row>
    <row r="2643" spans="1:16">
      <c r="A2643" s="748" t="s">
        <v>3700</v>
      </c>
      <c r="B2643" s="748" t="s">
        <v>3268</v>
      </c>
      <c r="O2643" s="748" t="s">
        <v>3700</v>
      </c>
      <c r="P2643" s="748">
        <f>'Part IX A-Scoring Criteria'!P151</f>
        <v>0</v>
      </c>
    </row>
    <row r="2644" spans="1:16" ht="13.15" customHeight="1">
      <c r="A2644" s="748" t="s">
        <v>3701</v>
      </c>
      <c r="B2644" s="748" t="s">
        <v>3269</v>
      </c>
      <c r="O2644" s="748" t="s">
        <v>3701</v>
      </c>
      <c r="P2644" s="748">
        <f>'Part IX A-Scoring Criteria'!P152</f>
        <v>0</v>
      </c>
    </row>
    <row r="2645" spans="1:16" ht="13.15" customHeight="1">
      <c r="A2645" s="748" t="s">
        <v>3906</v>
      </c>
      <c r="B2645" s="748" t="s">
        <v>3463</v>
      </c>
      <c r="O2645" s="748" t="s">
        <v>3906</v>
      </c>
      <c r="P2645" s="748">
        <f>'Part IX A-Scoring Criteria'!P153</f>
        <v>0</v>
      </c>
    </row>
    <row r="2646" spans="1:16">
      <c r="A2646" s="748" t="s">
        <v>3907</v>
      </c>
      <c r="B2646" s="748" t="s">
        <v>2527</v>
      </c>
      <c r="O2646" s="748" t="s">
        <v>3907</v>
      </c>
      <c r="P2646" s="748">
        <f>'Part IX A-Scoring Criteria'!P154</f>
        <v>0</v>
      </c>
    </row>
    <row r="2647" spans="1:16">
      <c r="A2647" s="748" t="s">
        <v>3927</v>
      </c>
      <c r="B2647" s="748" t="s">
        <v>2648</v>
      </c>
      <c r="O2647" s="748" t="s">
        <v>3927</v>
      </c>
      <c r="P2647" s="748">
        <f>'Part IX A-Scoring Criteria'!P155</f>
        <v>0</v>
      </c>
    </row>
    <row r="2648" spans="1:16">
      <c r="B2648" s="748" t="s">
        <v>582</v>
      </c>
    </row>
    <row r="2649" spans="1:16">
      <c r="A2649" s="748" t="str">
        <f>'Part IX A-Scoring Criteria'!A157</f>
        <v xml:space="preserve">Per enclosed market study, overall estimated vacancy rate for LIHTC elderly approximately 1%.  All elderly LIHTC properties surveyed reported waiting lists.  </v>
      </c>
    </row>
    <row r="2650" spans="1:16">
      <c r="A2650" s="748" t="str">
        <f>'Part IX A-Scoring Criteria'!A158</f>
        <v xml:space="preserve">Bebe Heiskell, Sole County Commissioner, stated there is a need for senior housing in Walker County, particularly after the storms ravaged the area earlier this year, which destroyed a significant portion of the region's housing stock.  </v>
      </c>
    </row>
    <row r="2651" spans="1:16">
      <c r="B2651" s="748" t="s">
        <v>3089</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422</v>
      </c>
      <c r="B2658" s="748" t="s">
        <v>3568</v>
      </c>
      <c r="J2658" s="748" t="s">
        <v>512</v>
      </c>
      <c r="M2658" s="748">
        <v>1</v>
      </c>
      <c r="O2658" s="748">
        <f>MIN($M2658,SUM(O2659:O2660))</f>
        <v>1</v>
      </c>
      <c r="P2658" s="748">
        <f>MIN($M2658,SUM(P2659:P2660))</f>
        <v>0</v>
      </c>
      <c r="Q2658" s="748" t="s">
        <v>651</v>
      </c>
    </row>
    <row r="2659" spans="1:18">
      <c r="B2659" s="748" t="s">
        <v>3000</v>
      </c>
      <c r="C2659" s="748" t="s">
        <v>3474</v>
      </c>
      <c r="K2659" s="748" t="s">
        <v>2264</v>
      </c>
      <c r="L2659" s="748" t="str">
        <f>'Part IX A-Scoring Criteria'!L167</f>
        <v>Yes</v>
      </c>
      <c r="M2659" s="748">
        <v>1</v>
      </c>
      <c r="N2659" s="748" t="s">
        <v>3000</v>
      </c>
      <c r="O2659" s="748">
        <f>'Part IX A-Scoring Criteria'!O167</f>
        <v>1</v>
      </c>
      <c r="P2659" s="748">
        <f>'Part IX A-Scoring Criteria'!P167</f>
        <v>0</v>
      </c>
      <c r="R2659" s="748" t="str">
        <f>IF(OR($O2659=$M2659,$O2659=0,$O2659=""),"","* * Check Score! * *")</f>
        <v/>
      </c>
    </row>
    <row r="2660" spans="1:18">
      <c r="B2660" s="748" t="s">
        <v>3112</v>
      </c>
      <c r="C2660" s="748" t="s">
        <v>3475</v>
      </c>
      <c r="L2660" s="748" t="str">
        <f>IF(OR($O2660=$M2660,$O2660=0,$O2660=""),"","* * Check Score! * *")</f>
        <v/>
      </c>
      <c r="M2660" s="748">
        <v>1</v>
      </c>
      <c r="N2660" s="748" t="s">
        <v>3112</v>
      </c>
      <c r="O2660" s="748">
        <f>'Part IX A-Scoring Criteria'!O168</f>
        <v>0</v>
      </c>
      <c r="P2660" s="748">
        <f>'Part IX A-Scoring Criteria'!P168</f>
        <v>0</v>
      </c>
      <c r="R2660" s="748" t="str">
        <f>IF(OR($O2660=$M2660,$O2660=0,$O2660=""),"","* * Check Score! * *")</f>
        <v/>
      </c>
    </row>
    <row r="2661" spans="1:18">
      <c r="B2661" s="748" t="s">
        <v>582</v>
      </c>
    </row>
    <row r="2662" spans="1:18">
      <c r="A2662" s="748">
        <f>'Part IX A-Scoring Criteria'!A170</f>
        <v>0</v>
      </c>
    </row>
    <row r="2663" spans="1:18">
      <c r="B2663" s="748" t="s">
        <v>3089</v>
      </c>
    </row>
    <row r="2664" spans="1:18">
      <c r="A2664" s="748">
        <f>'Part IX A-Scoring Criteria'!A172</f>
        <v>0</v>
      </c>
    </row>
    <row r="2665" spans="1:18">
      <c r="A2665" s="748">
        <f>'Part IX A-Scoring Criteria'!A173</f>
        <v>0</v>
      </c>
    </row>
    <row r="2667" spans="1:18">
      <c r="A2667" s="748" t="s">
        <v>339</v>
      </c>
      <c r="B2667" s="748" t="s">
        <v>3789</v>
      </c>
      <c r="J2667" s="748" t="s">
        <v>512</v>
      </c>
      <c r="M2667" s="748">
        <v>6</v>
      </c>
      <c r="O2667" s="748">
        <f>MIN($M2667,(O2668+O2672))</f>
        <v>0</v>
      </c>
      <c r="P2667" s="748">
        <f>MIN($M2667,(P2668+P2672))</f>
        <v>0</v>
      </c>
      <c r="Q2667" s="748" t="s">
        <v>651</v>
      </c>
    </row>
    <row r="2668" spans="1:18">
      <c r="B2668" s="748" t="s">
        <v>3000</v>
      </c>
      <c r="C2668" s="748" t="s">
        <v>2966</v>
      </c>
      <c r="L2668" s="748" t="str">
        <f>IF($O2668&lt;=$M2668,"","* * Check Score! * *")</f>
        <v/>
      </c>
      <c r="M2668" s="748">
        <v>3</v>
      </c>
      <c r="N2668" s="748" t="s">
        <v>3000</v>
      </c>
      <c r="O2668" s="748">
        <f>'Part IX A-Scoring Criteria'!O176</f>
        <v>0</v>
      </c>
      <c r="P2668" s="748">
        <f>'Part IX A-Scoring Criteria'!P176</f>
        <v>0</v>
      </c>
    </row>
    <row r="2669" spans="1:18" ht="14.65" customHeight="1">
      <c r="C2669" s="748" t="s">
        <v>162</v>
      </c>
      <c r="O2669" s="748">
        <f>'Part IX A-Scoring Criteria'!O177</f>
        <v>0</v>
      </c>
      <c r="P2669" s="748">
        <f>'Part IX A-Scoring Criteria'!P177</f>
        <v>0</v>
      </c>
    </row>
    <row r="2670" spans="1:18" ht="14.65" customHeight="1">
      <c r="A2670" s="748" t="str">
        <f>IF($I$89="HOPE VI Initiative", "X","")</f>
        <v/>
      </c>
      <c r="B2670" s="748" t="s">
        <v>3113</v>
      </c>
      <c r="C2670" s="748" t="s">
        <v>3731</v>
      </c>
      <c r="M2670" s="748">
        <v>3</v>
      </c>
    </row>
    <row r="2671" spans="1:18" ht="14.65" customHeight="1">
      <c r="A2671" s="748" t="str">
        <f>IF($I$89="HOPE VI Initiative", "X","")</f>
        <v/>
      </c>
      <c r="B2671" s="748" t="s">
        <v>3115</v>
      </c>
      <c r="C2671" s="748" t="s">
        <v>2945</v>
      </c>
      <c r="M2671" s="748">
        <v>1</v>
      </c>
    </row>
    <row r="2672" spans="1:18" ht="14.65" customHeight="1">
      <c r="B2672" s="748" t="s">
        <v>3112</v>
      </c>
      <c r="C2672" s="748" t="s">
        <v>2649</v>
      </c>
      <c r="M2672" s="748">
        <v>6</v>
      </c>
      <c r="N2672" s="748" t="s">
        <v>3112</v>
      </c>
      <c r="O2672" s="748">
        <f>'Part IX A-Scoring Criteria'!O180</f>
        <v>0</v>
      </c>
      <c r="P2672" s="748">
        <f>'Part IX A-Scoring Criteria'!P180</f>
        <v>0</v>
      </c>
      <c r="R2672" s="748" t="str">
        <f>IF(OR($O2672=$M2672,$O2672=0,$O2672=""),"","* * Check Score! * *")</f>
        <v/>
      </c>
    </row>
    <row r="2673" spans="1:18">
      <c r="B2673" s="748" t="s">
        <v>3113</v>
      </c>
      <c r="C2673" s="748" t="s">
        <v>2651</v>
      </c>
      <c r="M2673" s="748">
        <v>6</v>
      </c>
      <c r="N2673" s="748" t="s">
        <v>3113</v>
      </c>
      <c r="O2673" s="748">
        <f>'Part IX A-Scoring Criteria'!O181</f>
        <v>0</v>
      </c>
      <c r="P2673" s="748">
        <f>'Part IX A-Scoring Criteria'!P181</f>
        <v>0</v>
      </c>
    </row>
    <row r="2674" spans="1:18">
      <c r="B2674" s="748" t="s">
        <v>3115</v>
      </c>
      <c r="C2674" s="748" t="s">
        <v>2652</v>
      </c>
      <c r="L2674" s="748" t="str">
        <f>IF(OR($O2674=$M2674,$O2674=0,$O2674=""),"","* * Check Score! * *")</f>
        <v/>
      </c>
      <c r="M2674" s="748">
        <v>2</v>
      </c>
      <c r="N2674" s="748" t="s">
        <v>3115</v>
      </c>
      <c r="O2674" s="748">
        <f>'Part IX A-Scoring Criteria'!O182</f>
        <v>0</v>
      </c>
      <c r="P2674" s="748">
        <f>'Part IX A-Scoring Criteria'!P182</f>
        <v>0</v>
      </c>
    </row>
    <row r="2675" spans="1:18">
      <c r="B2675" s="748" t="s">
        <v>4028</v>
      </c>
      <c r="C2675" s="748" t="s">
        <v>2650</v>
      </c>
      <c r="L2675" s="748" t="str">
        <f>IF(OR($O2675=$M2675,$O2675=0,$O2675=""),"","* * Check Score! * *")</f>
        <v/>
      </c>
      <c r="M2675" s="748">
        <v>2</v>
      </c>
      <c r="N2675" s="748" t="s">
        <v>4028</v>
      </c>
      <c r="O2675" s="748">
        <f>'Part IX A-Scoring Criteria'!O183</f>
        <v>0</v>
      </c>
      <c r="P2675" s="748">
        <f>'Part IX A-Scoring Criteria'!P183</f>
        <v>0</v>
      </c>
    </row>
    <row r="2676" spans="1:18">
      <c r="B2676" s="748" t="s">
        <v>582</v>
      </c>
    </row>
    <row r="2677" spans="1:18">
      <c r="A2677" s="748" t="str">
        <f>'Part IX A-Scoring Criteria'!A185</f>
        <v>Not applicable to this proposal as Endeavor Pointe is a proposal for new construction</v>
      </c>
    </row>
    <row r="2678" spans="1:18">
      <c r="A2678" s="748">
        <f>'Part IX A-Scoring Criteria'!A186</f>
        <v>0</v>
      </c>
    </row>
    <row r="2679" spans="1:18">
      <c r="B2679" s="748" t="s">
        <v>3089</v>
      </c>
    </row>
    <row r="2680" spans="1:18">
      <c r="A2680" s="748">
        <f>'Part IX A-Scoring Criteria'!A188</f>
        <v>0</v>
      </c>
    </row>
    <row r="2681" spans="1:18">
      <c r="A2681" s="748">
        <f>'Part IX A-Scoring Criteria'!A189</f>
        <v>0</v>
      </c>
    </row>
    <row r="2683" spans="1:18">
      <c r="A2683" s="748" t="s">
        <v>340</v>
      </c>
      <c r="B2683" s="748" t="s">
        <v>1049</v>
      </c>
      <c r="J2683" s="748" t="s">
        <v>512</v>
      </c>
      <c r="M2683" s="748">
        <v>3</v>
      </c>
      <c r="O2683" s="748">
        <f>MIN($M2683,O2685+O2684)</f>
        <v>0</v>
      </c>
      <c r="P2683" s="748">
        <f>MIN($M2683,P2685+P2684)</f>
        <v>0</v>
      </c>
      <c r="Q2683" s="748" t="s">
        <v>651</v>
      </c>
    </row>
    <row r="2684" spans="1:18">
      <c r="A2684" s="748" t="s">
        <v>3000</v>
      </c>
      <c r="B2684" s="748" t="s">
        <v>921</v>
      </c>
      <c r="L2684" s="748" t="str">
        <f>IF(OR($O2684=$M2684,$O2684=0,$O2684=""),"","* * Check Score! * *")</f>
        <v/>
      </c>
      <c r="M2684" s="748">
        <v>3</v>
      </c>
      <c r="N2684" s="748" t="s">
        <v>3000</v>
      </c>
      <c r="O2684" s="748">
        <f>'Part IX A-Scoring Criteria'!O192</f>
        <v>0</v>
      </c>
      <c r="P2684" s="748">
        <f>'Part IX A-Scoring Criteria'!P192</f>
        <v>0</v>
      </c>
      <c r="R2684" s="748" t="str">
        <f>IF(OR($O2684=$M2684,$O2684=0,$O2684=""),"","* * Check Score! * *")</f>
        <v/>
      </c>
    </row>
    <row r="2685" spans="1:18">
      <c r="A2685" s="748" t="s">
        <v>3112</v>
      </c>
      <c r="B2685" s="748" t="s">
        <v>2884</v>
      </c>
      <c r="L2685" s="748" t="str">
        <f>IF(OR($O2685=$M2685,$O2685=0,$O2685=""),"","* * Check Score! * *")</f>
        <v/>
      </c>
      <c r="M2685" s="748">
        <v>2</v>
      </c>
      <c r="N2685" s="748" t="s">
        <v>3112</v>
      </c>
      <c r="O2685" s="748">
        <f>'Part IX A-Scoring Criteria'!O193</f>
        <v>0</v>
      </c>
      <c r="P2685" s="748">
        <f>'Part IX A-Scoring Criteria'!P193</f>
        <v>0</v>
      </c>
      <c r="R2685" s="748" t="str">
        <f>IF(OR($O2685=$M2685,$O2685=0,$O2685=""),"","* * Check Score! * *")</f>
        <v/>
      </c>
    </row>
    <row r="2686" spans="1:18">
      <c r="B2686" s="748" t="s">
        <v>582</v>
      </c>
    </row>
    <row r="2687" spans="1:18">
      <c r="A2687" s="748" t="str">
        <f>'Part IX A-Scoring Criteria'!A195</f>
        <v>Not applicable to project team/proposal -- all are for profit entities.</v>
      </c>
    </row>
    <row r="2688" spans="1:18">
      <c r="B2688" s="748" t="s">
        <v>3089</v>
      </c>
    </row>
    <row r="2689" spans="1:18">
      <c r="A2689" s="748">
        <f>'Part IX A-Scoring Criteria'!A197</f>
        <v>0</v>
      </c>
    </row>
    <row r="2691" spans="1:18">
      <c r="A2691" s="748" t="s">
        <v>2143</v>
      </c>
      <c r="B2691" s="748" t="s">
        <v>2653</v>
      </c>
      <c r="J2691" s="748" t="s">
        <v>512</v>
      </c>
      <c r="M2691" s="748">
        <v>2</v>
      </c>
      <c r="O2691" s="748">
        <f>MIN($M2691,O2693+O2692)</f>
        <v>0</v>
      </c>
      <c r="P2691" s="748">
        <f>MIN($M2691,P2693+P2692)</f>
        <v>0</v>
      </c>
      <c r="Q2691" s="748" t="s">
        <v>651</v>
      </c>
    </row>
    <row r="2692" spans="1:18">
      <c r="A2692" s="748" t="s">
        <v>3000</v>
      </c>
      <c r="B2692" s="748" t="s">
        <v>4142</v>
      </c>
      <c r="L2692" s="748" t="str">
        <f>IF(OR($O2692=$M2692,$O2692=0,$O2692=""),"","* * Check Score! * *")</f>
        <v/>
      </c>
      <c r="M2692" s="748">
        <v>2</v>
      </c>
      <c r="N2692" s="748" t="s">
        <v>3000</v>
      </c>
      <c r="O2692" s="748">
        <f>'Part IX A-Scoring Criteria'!O200</f>
        <v>0</v>
      </c>
      <c r="P2692" s="748">
        <f>'Part IX A-Scoring Criteria'!P200</f>
        <v>0</v>
      </c>
      <c r="R2692" s="748" t="str">
        <f>IF(OR($O2692=$M2692,$O2692=0,$O2692=""),"","* * Check Score! * *")</f>
        <v/>
      </c>
    </row>
    <row r="2693" spans="1:18">
      <c r="A2693" s="748" t="s">
        <v>3112</v>
      </c>
      <c r="B2693" s="748" t="s">
        <v>4143</v>
      </c>
      <c r="M2693" s="748">
        <v>1</v>
      </c>
      <c r="N2693" s="748" t="s">
        <v>3112</v>
      </c>
      <c r="O2693" s="748">
        <f>'Part IX A-Scoring Criteria'!O201</f>
        <v>0</v>
      </c>
      <c r="P2693" s="748">
        <f>'Part IX A-Scoring Criteria'!P201</f>
        <v>0</v>
      </c>
      <c r="R2693" s="748" t="str">
        <f>IF(OR($O2693=$M2693,$O2693=0,$O2693=""),"","* * Check Score! * *")</f>
        <v/>
      </c>
    </row>
    <row r="2694" spans="1:18">
      <c r="B2694" s="748" t="s">
        <v>582</v>
      </c>
    </row>
    <row r="2695" spans="1:18">
      <c r="A2695" s="748" t="str">
        <f>'Part IX A-Scoring Criteria'!A203</f>
        <v xml:space="preserve">We've closed two proposals since 7/2008:Juniper Court, Camella Lane. Juniper was HOME/LIHTC, Camellia was 100% 1602 funds. Our 2010 app, Green Mountain Village, was ready to close on/before 6/23/11 but didn't go through loan committee until 6/20/11. We expect closing, which includes syndicated federal/state equity along with a HOME loan,within 2 weeks of delivering this application.We did everything in our power to earn a point  </v>
      </c>
    </row>
    <row r="2696" spans="1:18">
      <c r="B2696" s="748" t="s">
        <v>3089</v>
      </c>
    </row>
    <row r="2697" spans="1:18">
      <c r="A2697" s="748">
        <f>'Part IX A-Scoring Criteria'!A205</f>
        <v>0</v>
      </c>
    </row>
    <row r="2699" spans="1:18">
      <c r="A2699" s="748" t="s">
        <v>2668</v>
      </c>
      <c r="B2699" s="748" t="s">
        <v>1050</v>
      </c>
      <c r="J2699" s="748" t="s">
        <v>3759</v>
      </c>
      <c r="L2699" s="748" t="str">
        <f>IF(OR($O2699=$M2699,$O2699=0,$O2699=2,$O2699=""),"","* * Check Score! * *")</f>
        <v/>
      </c>
      <c r="M2699" s="748">
        <v>3</v>
      </c>
      <c r="O2699" s="748">
        <f>IF(OR(AND(J2701=2,M2701=3),AND(J2701=0,M2701=3)),3,IF(AND(J2701=3,M2701=2),2,0))</f>
        <v>3</v>
      </c>
      <c r="P2699" s="748">
        <f>'Part IX A-Scoring Criteria'!P207</f>
        <v>0</v>
      </c>
      <c r="Q2699" s="748" t="s">
        <v>651</v>
      </c>
    </row>
    <row r="2700" spans="1:18" ht="13.15" customHeight="1">
      <c r="B2700" s="748" t="s">
        <v>1805</v>
      </c>
    </row>
    <row r="2701" spans="1:18">
      <c r="C2701" s="748" t="s">
        <v>1031</v>
      </c>
      <c r="D2701" s="748" t="str">
        <f>'Part IX A-Scoring Criteria'!D209</f>
        <v xml:space="preserve"> </v>
      </c>
      <c r="I2701" s="748" t="s">
        <v>1726</v>
      </c>
      <c r="J2701" s="748">
        <f>'Part IX A-Scoring Criteria'!J209</f>
        <v>0</v>
      </c>
      <c r="L2701" s="748" t="s">
        <v>4144</v>
      </c>
      <c r="M2701" s="748">
        <f>'Part IX A-Scoring Criteria'!M209</f>
        <v>3</v>
      </c>
    </row>
    <row r="2702" spans="1:18">
      <c r="B2702" s="748" t="s">
        <v>582</v>
      </c>
      <c r="J2702" s="748" t="s">
        <v>3089</v>
      </c>
    </row>
    <row r="2703" spans="1:18">
      <c r="A2703" s="748" t="str">
        <f>'Part IX A-Scoring Criteria'!A211</f>
        <v>This is the only proposal we've submitted in the 2011 round.  It is in a rural area, per documentation from USDA in tab 1. Also, Walker Co appears on list of rural counties in Appendix II of 2011 QAP</v>
      </c>
      <c r="J2703" s="748">
        <f>'Part IX A-Scoring Criteria'!J211</f>
        <v>0</v>
      </c>
    </row>
    <row r="2705" spans="1:17">
      <c r="A2705" s="748" t="s">
        <v>2670</v>
      </c>
      <c r="B2705" s="748" t="s">
        <v>2669</v>
      </c>
      <c r="L2705" s="748" t="str">
        <f>IF(OR($O2705=$M2705,$O2705=0,$O2705=""),"","* * Check Score! * *")</f>
        <v/>
      </c>
      <c r="M2705" s="748">
        <v>1</v>
      </c>
      <c r="O2705" s="748">
        <f>'Part IX A-Scoring Criteria'!O213</f>
        <v>0</v>
      </c>
      <c r="P2705" s="748">
        <f>'Part IX A-Scoring Criteria'!P213</f>
        <v>0</v>
      </c>
      <c r="Q2705" s="748" t="s">
        <v>651</v>
      </c>
    </row>
    <row r="2706" spans="1:17">
      <c r="B2706" s="748" t="s">
        <v>3032</v>
      </c>
      <c r="E2706" s="748" t="str">
        <f>'Part IX A-Scoring Criteria'!E214</f>
        <v>&lt;&lt;Select a DCA Community Initiative&gt;&gt;</v>
      </c>
      <c r="I2706" s="748" t="s">
        <v>3031</v>
      </c>
      <c r="O2706" s="748" t="s">
        <v>3989</v>
      </c>
      <c r="P2706" s="748" t="s">
        <v>3989</v>
      </c>
    </row>
    <row r="2707" spans="1:17">
      <c r="B2707" s="748" t="s">
        <v>3697</v>
      </c>
      <c r="C2707" s="748" t="s">
        <v>2809</v>
      </c>
      <c r="G2707" s="748" t="str">
        <f>'Part IX A-Scoring Criteria'!G215</f>
        <v>&lt; Select applicable GICH &gt;</v>
      </c>
      <c r="J2707" s="748" t="str">
        <f>'Part IX A-Scoring Criteria'!J215</f>
        <v>&lt;Select Community of Opportunity&gt;</v>
      </c>
      <c r="N2707" s="748" t="s">
        <v>3697</v>
      </c>
      <c r="O2707" s="748" t="str">
        <f>'Part IX A-Scoring Criteria'!O215</f>
        <v>N/a</v>
      </c>
      <c r="P2707" s="748">
        <f>'Part IX A-Scoring Criteria'!P215</f>
        <v>0</v>
      </c>
    </row>
    <row r="2708" spans="1:17">
      <c r="B2708" s="748" t="s">
        <v>3698</v>
      </c>
      <c r="C2708" s="748" t="s">
        <v>630</v>
      </c>
      <c r="N2708" s="748" t="s">
        <v>3698</v>
      </c>
      <c r="O2708" s="748" t="str">
        <f>'Part IX A-Scoring Criteria'!O216</f>
        <v>N/a</v>
      </c>
      <c r="P2708" s="748">
        <f>'Part IX A-Scoring Criteria'!P216</f>
        <v>0</v>
      </c>
    </row>
    <row r="2709" spans="1:17">
      <c r="B2709" s="748" t="s">
        <v>3699</v>
      </c>
      <c r="C2709" s="748" t="s">
        <v>2465</v>
      </c>
      <c r="N2709" s="748" t="s">
        <v>3699</v>
      </c>
      <c r="O2709" s="748" t="str">
        <f>'Part IX A-Scoring Criteria'!O217</f>
        <v>N/a</v>
      </c>
      <c r="P2709" s="748">
        <f>'Part IX A-Scoring Criteria'!P217</f>
        <v>0</v>
      </c>
    </row>
    <row r="2710" spans="1:17">
      <c r="B2710" s="748" t="s">
        <v>3700</v>
      </c>
      <c r="C2710" s="748" t="s">
        <v>3639</v>
      </c>
      <c r="N2710" s="748" t="s">
        <v>3700</v>
      </c>
      <c r="O2710" s="748" t="str">
        <f>'Part IX A-Scoring Criteria'!O218</f>
        <v>N/a</v>
      </c>
      <c r="P2710" s="748">
        <f>'Part IX A-Scoring Criteria'!P218</f>
        <v>0</v>
      </c>
    </row>
    <row r="2712" spans="1:17">
      <c r="B2712" s="748" t="s">
        <v>582</v>
      </c>
    </row>
    <row r="2713" spans="1:17">
      <c r="A2713" s="748" t="str">
        <f>'Part IX A-Scoring Criteria'!A221</f>
        <v>Not applicable to this proposal -- Endeavor Pointe is not deeking points under this category</v>
      </c>
    </row>
    <row r="2714" spans="1:17">
      <c r="A2714" s="748">
        <f>'Part IX A-Scoring Criteria'!A222</f>
        <v>0</v>
      </c>
    </row>
    <row r="2715" spans="1:17">
      <c r="B2715" s="748" t="s">
        <v>3089</v>
      </c>
    </row>
    <row r="2716" spans="1:17">
      <c r="A2716" s="748">
        <f>'Part IX A-Scoring Criteria'!A224</f>
        <v>0</v>
      </c>
    </row>
    <row r="2717" spans="1:17">
      <c r="A2717" s="748">
        <f>'Part IX A-Scoring Criteria'!A225</f>
        <v>0</v>
      </c>
    </row>
    <row r="2719" spans="1:17">
      <c r="A2719" s="748" t="s">
        <v>2810</v>
      </c>
      <c r="B2719" s="748" t="s">
        <v>2921</v>
      </c>
      <c r="L2719" s="748" t="str">
        <f>IF(M2719&gt;14,"Over limit!","")</f>
        <v/>
      </c>
      <c r="M2719" s="748">
        <v>8</v>
      </c>
      <c r="O2719" s="748">
        <f>MIN($M2719,(O2727+O2737+O2739))</f>
        <v>3</v>
      </c>
      <c r="P2719" s="748">
        <f>MIN($M2719,(P2727+P2737+P2739))</f>
        <v>0</v>
      </c>
      <c r="Q2719" s="748" t="s">
        <v>651</v>
      </c>
    </row>
    <row r="2720" spans="1:17">
      <c r="B2720" s="748" t="s">
        <v>806</v>
      </c>
      <c r="L2720" s="748" t="str">
        <f>IF(M2720&gt;14,"Over limit!","")</f>
        <v/>
      </c>
      <c r="O2720" s="748" t="s">
        <v>3989</v>
      </c>
      <c r="P2720" s="748" t="s">
        <v>3989</v>
      </c>
    </row>
    <row r="2721" spans="1:18">
      <c r="B2721" s="748" t="s">
        <v>3113</v>
      </c>
      <c r="C2721" s="748" t="s">
        <v>810</v>
      </c>
      <c r="L2721" s="748" t="str">
        <f>IF(M2721&gt;14,"Over limit!","")</f>
        <v/>
      </c>
      <c r="N2721" s="748" t="s">
        <v>3113</v>
      </c>
      <c r="O2721" s="748" t="str">
        <f>'Part IX A-Scoring Criteria'!O229</f>
        <v>Yes</v>
      </c>
      <c r="P2721" s="748">
        <f>'Part IX A-Scoring Criteria'!P229</f>
        <v>0</v>
      </c>
    </row>
    <row r="2722" spans="1:18">
      <c r="B2722" s="748" t="s">
        <v>3115</v>
      </c>
      <c r="C2722" s="748" t="s">
        <v>952</v>
      </c>
      <c r="N2722" s="748" t="s">
        <v>3115</v>
      </c>
      <c r="O2722" s="748" t="str">
        <f>'Part IX A-Scoring Criteria'!O230</f>
        <v>Yes</v>
      </c>
      <c r="P2722" s="748">
        <f>'Part IX A-Scoring Criteria'!P230</f>
        <v>0</v>
      </c>
    </row>
    <row r="2723" spans="1:18">
      <c r="B2723" s="748" t="s">
        <v>4028</v>
      </c>
      <c r="C2723" s="748" t="s">
        <v>1026</v>
      </c>
      <c r="N2723" s="748" t="s">
        <v>4028</v>
      </c>
      <c r="O2723" s="748" t="str">
        <f>'Part IX A-Scoring Criteria'!O231</f>
        <v>Yes</v>
      </c>
      <c r="P2723" s="748">
        <f>'Part IX A-Scoring Criteria'!P231</f>
        <v>0</v>
      </c>
    </row>
    <row r="2724" spans="1:18">
      <c r="B2724" s="748" t="s">
        <v>1872</v>
      </c>
      <c r="C2724" s="748" t="s">
        <v>1027</v>
      </c>
      <c r="N2724" s="748" t="s">
        <v>1872</v>
      </c>
      <c r="O2724" s="748" t="str">
        <f>'Part IX A-Scoring Criteria'!O232</f>
        <v>Yes</v>
      </c>
      <c r="P2724" s="748">
        <f>'Part IX A-Scoring Criteria'!P232</f>
        <v>0</v>
      </c>
    </row>
    <row r="2725" spans="1:18">
      <c r="B2725" s="748" t="s">
        <v>1873</v>
      </c>
      <c r="C2725" s="748" t="s">
        <v>1040</v>
      </c>
      <c r="N2725" s="748" t="s">
        <v>1873</v>
      </c>
      <c r="O2725" s="748" t="str">
        <f>'Part IX A-Scoring Criteria'!O233</f>
        <v>Yes</v>
      </c>
      <c r="P2725" s="748">
        <f>'Part IX A-Scoring Criteria'!P233</f>
        <v>0</v>
      </c>
    </row>
    <row r="2726" spans="1:18">
      <c r="L2726" s="748" t="str">
        <f>IF(M2726&gt;14,"Over limit!","")</f>
        <v/>
      </c>
    </row>
    <row r="2727" spans="1:18">
      <c r="A2727" s="748" t="s">
        <v>3000</v>
      </c>
      <c r="B2727" s="748" t="s">
        <v>2922</v>
      </c>
      <c r="M2727" s="748">
        <v>3</v>
      </c>
      <c r="N2727" s="748" t="s">
        <v>3000</v>
      </c>
      <c r="O2727" s="748">
        <f>MIN($M2727,SUM(O2728:O2735))</f>
        <v>0</v>
      </c>
      <c r="P2727" s="748">
        <f>MIN($M2727,SUM(P2728:P2735))</f>
        <v>0</v>
      </c>
    </row>
    <row r="2728" spans="1:18">
      <c r="B2728" s="748" t="s">
        <v>3113</v>
      </c>
      <c r="C2728" s="748" t="s">
        <v>2265</v>
      </c>
      <c r="H2728" s="748" t="s">
        <v>2266</v>
      </c>
      <c r="L2728" s="748" t="str">
        <f t="shared" ref="L2728:L2735" si="375">IF(OR($O2728=$M2728,$O2728=0,$O2728=""),"","* * Check Score! * *")</f>
        <v/>
      </c>
      <c r="M2728" s="748">
        <v>1</v>
      </c>
      <c r="N2728" s="748" t="s">
        <v>3113</v>
      </c>
      <c r="O2728" s="748">
        <f>'Part IX A-Scoring Criteria'!O236</f>
        <v>0</v>
      </c>
      <c r="P2728" s="748">
        <f>'Part IX A-Scoring Criteria'!P236</f>
        <v>0</v>
      </c>
      <c r="R2728" s="748" t="str">
        <f>IF(OR($O2728=$M2728,$O2728=0,$O2728=""),"","* * Check Score! * *")</f>
        <v/>
      </c>
    </row>
    <row r="2729" spans="1:18">
      <c r="B2729" s="748" t="s">
        <v>3115</v>
      </c>
      <c r="C2729" s="748" t="s">
        <v>2373</v>
      </c>
      <c r="H2729" s="748" t="s">
        <v>2266</v>
      </c>
      <c r="L2729" s="748" t="str">
        <f t="shared" si="375"/>
        <v/>
      </c>
      <c r="M2729" s="748">
        <v>1</v>
      </c>
      <c r="N2729" s="748" t="s">
        <v>3115</v>
      </c>
      <c r="O2729" s="748">
        <f>'Part IX A-Scoring Criteria'!O237</f>
        <v>0</v>
      </c>
      <c r="P2729" s="748">
        <f>'Part IX A-Scoring Criteria'!P237</f>
        <v>0</v>
      </c>
      <c r="R2729" s="748" t="str">
        <f t="shared" ref="R2729:R2735" si="376">IF(OR($O2729=$M2729,$O2729=0,$O2729=""),"","* * Check Score! * *")</f>
        <v/>
      </c>
    </row>
    <row r="2730" spans="1:18">
      <c r="B2730" s="748" t="s">
        <v>4028</v>
      </c>
      <c r="C2730" s="748" t="s">
        <v>2377</v>
      </c>
      <c r="H2730" s="748" t="s">
        <v>2266</v>
      </c>
      <c r="L2730" s="748" t="str">
        <f>IF(OR($O2730=$M2730,$O2730=0,$O2730=""),"","* * Check Score! * *")</f>
        <v/>
      </c>
      <c r="M2730" s="748">
        <v>1</v>
      </c>
      <c r="N2730" s="748" t="s">
        <v>4028</v>
      </c>
      <c r="O2730" s="748">
        <f>'Part IX A-Scoring Criteria'!O238</f>
        <v>0</v>
      </c>
      <c r="P2730" s="748">
        <f>'Part IX A-Scoring Criteria'!P238</f>
        <v>0</v>
      </c>
      <c r="R2730" s="748" t="str">
        <f>IF(OR($O2730=$M2730,$O2730=0,$O2730=""),"","* * Check Score! * *")</f>
        <v/>
      </c>
    </row>
    <row r="2731" spans="1:18">
      <c r="B2731" s="748" t="s">
        <v>1872</v>
      </c>
      <c r="C2731" s="748" t="s">
        <v>929</v>
      </c>
      <c r="L2731" s="748" t="str">
        <f t="shared" si="375"/>
        <v/>
      </c>
      <c r="M2731" s="748">
        <v>1</v>
      </c>
      <c r="N2731" s="748" t="s">
        <v>1872</v>
      </c>
      <c r="O2731" s="748">
        <f>'Part IX A-Scoring Criteria'!O239</f>
        <v>0</v>
      </c>
      <c r="P2731" s="748">
        <f>'Part IX A-Scoring Criteria'!P239</f>
        <v>0</v>
      </c>
      <c r="R2731" s="748" t="str">
        <f t="shared" si="376"/>
        <v/>
      </c>
    </row>
    <row r="2732" spans="1:18">
      <c r="B2732" s="748" t="s">
        <v>1873</v>
      </c>
      <c r="C2732" s="748" t="s">
        <v>2374</v>
      </c>
      <c r="H2732" s="748" t="s">
        <v>2267</v>
      </c>
      <c r="L2732" s="748" t="str">
        <f t="shared" si="375"/>
        <v/>
      </c>
      <c r="M2732" s="748">
        <v>2</v>
      </c>
      <c r="N2732" s="748" t="s">
        <v>1873</v>
      </c>
      <c r="O2732" s="748">
        <f>'Part IX A-Scoring Criteria'!O240</f>
        <v>0</v>
      </c>
      <c r="P2732" s="748">
        <f>'Part IX A-Scoring Criteria'!P240</f>
        <v>0</v>
      </c>
      <c r="R2732" s="748" t="str">
        <f t="shared" si="376"/>
        <v/>
      </c>
    </row>
    <row r="2733" spans="1:18">
      <c r="B2733" s="748" t="s">
        <v>2880</v>
      </c>
      <c r="C2733" s="748" t="s">
        <v>2375</v>
      </c>
      <c r="H2733" s="748" t="s">
        <v>2267</v>
      </c>
      <c r="L2733" s="748" t="str">
        <f t="shared" si="375"/>
        <v/>
      </c>
      <c r="M2733" s="748">
        <v>2</v>
      </c>
      <c r="N2733" s="748" t="s">
        <v>2880</v>
      </c>
      <c r="O2733" s="748">
        <f>'Part IX A-Scoring Criteria'!O241</f>
        <v>0</v>
      </c>
      <c r="P2733" s="748">
        <f>'Part IX A-Scoring Criteria'!P241</f>
        <v>0</v>
      </c>
      <c r="R2733" s="748" t="str">
        <f t="shared" si="376"/>
        <v/>
      </c>
    </row>
    <row r="2734" spans="1:18">
      <c r="B2734" s="748" t="s">
        <v>913</v>
      </c>
      <c r="C2734" s="748" t="s">
        <v>2376</v>
      </c>
      <c r="H2734" s="748" t="s">
        <v>2267</v>
      </c>
      <c r="L2734" s="748" t="str">
        <f t="shared" si="375"/>
        <v/>
      </c>
      <c r="M2734" s="748">
        <v>2</v>
      </c>
      <c r="N2734" s="748" t="s">
        <v>913</v>
      </c>
      <c r="O2734" s="748">
        <f>'Part IX A-Scoring Criteria'!O242</f>
        <v>0</v>
      </c>
      <c r="P2734" s="748">
        <f>'Part IX A-Scoring Criteria'!P242</f>
        <v>0</v>
      </c>
      <c r="R2734" s="748" t="str">
        <f t="shared" si="376"/>
        <v/>
      </c>
    </row>
    <row r="2735" spans="1:18">
      <c r="B2735" s="748" t="s">
        <v>914</v>
      </c>
      <c r="C2735" s="748" t="s">
        <v>2378</v>
      </c>
      <c r="H2735" s="748" t="s">
        <v>2268</v>
      </c>
      <c r="L2735" s="748" t="str">
        <f t="shared" si="375"/>
        <v/>
      </c>
      <c r="M2735" s="748">
        <v>3</v>
      </c>
      <c r="N2735" s="748" t="s">
        <v>914</v>
      </c>
      <c r="O2735" s="748">
        <f>'Part IX A-Scoring Criteria'!O243</f>
        <v>0</v>
      </c>
      <c r="P2735" s="748">
        <f>'Part IX A-Scoring Criteria'!P243</f>
        <v>0</v>
      </c>
      <c r="R2735" s="748" t="str">
        <f t="shared" si="376"/>
        <v/>
      </c>
    </row>
    <row r="2737" spans="1:18">
      <c r="A2737" s="748" t="s">
        <v>3112</v>
      </c>
      <c r="B2737" s="748" t="s">
        <v>2923</v>
      </c>
      <c r="H2737" s="748" t="s">
        <v>2933</v>
      </c>
      <c r="M2737" s="748">
        <v>3</v>
      </c>
      <c r="N2737" s="748" t="s">
        <v>3112</v>
      </c>
      <c r="O2737" s="748">
        <f>'Part IX A-Scoring Criteria'!O245</f>
        <v>3</v>
      </c>
      <c r="P2737" s="748">
        <f>'Part IX A-Scoring Criteria'!P245</f>
        <v>0</v>
      </c>
    </row>
    <row r="2739" spans="1:18">
      <c r="A2739" s="748" t="s">
        <v>1517</v>
      </c>
      <c r="B2739" s="748" t="s">
        <v>1347</v>
      </c>
      <c r="L2739" s="748" t="str">
        <f>IF(OR($O2739=$M2739,$O2739=0,$O2739=""),"","* * Check Score! * *")</f>
        <v/>
      </c>
      <c r="M2739" s="748">
        <v>2</v>
      </c>
      <c r="N2739" s="748" t="s">
        <v>1517</v>
      </c>
      <c r="O2739" s="748">
        <f>'Part IX A-Scoring Criteria'!O247</f>
        <v>0</v>
      </c>
      <c r="P2739" s="748">
        <f>'Part IX A-Scoring Criteria'!P247</f>
        <v>0</v>
      </c>
      <c r="R2739" s="748" t="str">
        <f>IF(OR($O2739=$M2739,$O2739=0,$O2739=""),"","* * Check Score! * *")</f>
        <v/>
      </c>
    </row>
    <row r="2740" spans="1:18">
      <c r="B2740" s="748" t="s">
        <v>3113</v>
      </c>
      <c r="C2740" s="748" t="s">
        <v>1078</v>
      </c>
      <c r="E2740" s="748">
        <f>'Part IX A-Scoring Criteria'!E248</f>
        <v>0</v>
      </c>
    </row>
    <row r="2741" spans="1:18">
      <c r="B2741" s="748" t="s">
        <v>3115</v>
      </c>
      <c r="C2741" s="748" t="s">
        <v>3772</v>
      </c>
      <c r="E2741" s="748">
        <f>'Part IX A-Scoring Criteria'!E249</f>
        <v>0</v>
      </c>
    </row>
    <row r="2742" spans="1:18">
      <c r="B2742" s="748" t="s">
        <v>4028</v>
      </c>
      <c r="C2742" s="748" t="s">
        <v>1194</v>
      </c>
      <c r="E2742" s="748">
        <f>'Part IX A-Scoring Criteria'!E250</f>
        <v>0</v>
      </c>
    </row>
    <row r="2744" spans="1:18">
      <c r="B2744" s="748" t="s">
        <v>582</v>
      </c>
    </row>
    <row r="2745" spans="1:18">
      <c r="A2745" s="748" t="str">
        <f>'Part IX A-Scoring Criteria'!A253</f>
        <v>Please see HOME loan consent from DCA in tab 5 -- financing commitments -- of application binder.  Commitment is for $1,600,000.</v>
      </c>
    </row>
    <row r="2746" spans="1:18">
      <c r="A2746" s="748">
        <f>'Part IX A-Scoring Criteria'!A254</f>
        <v>0</v>
      </c>
    </row>
    <row r="2747" spans="1:18">
      <c r="B2747" s="748" t="s">
        <v>3089</v>
      </c>
    </row>
    <row r="2748" spans="1:18">
      <c r="A2748" s="748">
        <f>'Part IX A-Scoring Criteria'!A256</f>
        <v>0</v>
      </c>
    </row>
    <row r="2749" spans="1:18">
      <c r="A2749" s="748">
        <f>'Part IX A-Scoring Criteria'!A257</f>
        <v>0</v>
      </c>
    </row>
    <row r="2751" spans="1:18">
      <c r="A2751" s="748" t="s">
        <v>2811</v>
      </c>
      <c r="B2751" s="748" t="s">
        <v>2812</v>
      </c>
      <c r="L2751" s="748" t="str">
        <f>IF(OR($O2751=$M2751,$O2751=0,$O2751=""),"","* * Check Score! * *")</f>
        <v/>
      </c>
      <c r="M2751" s="748">
        <v>6</v>
      </c>
      <c r="P2751" s="748">
        <f>'Part IX A-Scoring Criteria'!P259</f>
        <v>0</v>
      </c>
      <c r="Q2751" s="748" t="s">
        <v>651</v>
      </c>
      <c r="R2751" s="748" t="str">
        <f>IF(OR($O2751=$M2751,$O2751=0,$O2751=""),"","* * Check Score! * *")</f>
        <v/>
      </c>
    </row>
    <row r="2752" spans="1:18">
      <c r="B2752" s="748" t="s">
        <v>3606</v>
      </c>
      <c r="O2752" s="748" t="str">
        <f>'Part IX A-Scoring Criteria'!O260</f>
        <v>Yes</v>
      </c>
      <c r="P2752" s="748">
        <f>'Part IX A-Scoring Criteria'!P260</f>
        <v>0</v>
      </c>
    </row>
    <row r="2753" spans="1:18" ht="14.65" customHeight="1">
      <c r="B2753" s="748" t="s">
        <v>3607</v>
      </c>
      <c r="O2753" s="748" t="str">
        <f>'Part IX A-Scoring Criteria'!O261</f>
        <v>Yes</v>
      </c>
      <c r="P2753" s="748">
        <f>'Part IX A-Scoring Criteria'!P261</f>
        <v>0</v>
      </c>
    </row>
    <row r="2754" spans="1:18">
      <c r="B2754" s="748" t="s">
        <v>582</v>
      </c>
    </row>
    <row r="2755" spans="1:18">
      <c r="A2755" s="748" t="str">
        <f>'Part IX A-Scoring Criteria'!A263</f>
        <v xml:space="preserve">We have submitted for the superior project concept based on the extremely urgent need for housing in the region due to devastating tornadoes this April.  Walker Co. has been declared a disaster zone by President Obama and </v>
      </c>
    </row>
    <row r="2756" spans="1:18">
      <c r="A2756" s="748" t="str">
        <f>'Part IX A-Scoring Criteria'!A264</f>
        <v>Governor Deal. In addition, this proposal features a high degree of energy efficiency and sustainability, and a demonstrated need for senior housing in the market.</v>
      </c>
    </row>
    <row r="2757" spans="1:18">
      <c r="B2757" s="748" t="s">
        <v>3089</v>
      </c>
    </row>
    <row r="2758" spans="1:18">
      <c r="A2758" s="748">
        <f>'Part IX A-Scoring Criteria'!A266</f>
        <v>0</v>
      </c>
    </row>
    <row r="2759" spans="1:18">
      <c r="A2759" s="748">
        <f>'Part IX A-Scoring Criteria'!A267</f>
        <v>0</v>
      </c>
    </row>
    <row r="2760" spans="1:18">
      <c r="A2760" s="748">
        <f>'Part IX A-Scoring Criteria'!A268</f>
        <v>0</v>
      </c>
    </row>
    <row r="2762" spans="1:18">
      <c r="A2762" s="748" t="s">
        <v>2813</v>
      </c>
      <c r="B2762" s="748" t="s">
        <v>2815</v>
      </c>
      <c r="M2762" s="748">
        <v>6</v>
      </c>
      <c r="O2762" s="748">
        <f>MIN($M2762,O2764+O2763)</f>
        <v>6</v>
      </c>
      <c r="P2762" s="748">
        <f>MIN($M2762,P2764+P2763)</f>
        <v>0</v>
      </c>
      <c r="Q2762" s="748" t="s">
        <v>651</v>
      </c>
    </row>
    <row r="2763" spans="1:18">
      <c r="A2763" s="748" t="s">
        <v>3000</v>
      </c>
      <c r="B2763" s="748" t="s">
        <v>2817</v>
      </c>
      <c r="L2763" s="748" t="str">
        <f>IF(OR($O2763=$M2763,$O2763=0,$O2763=""),"","* * Check Score! * *")</f>
        <v/>
      </c>
      <c r="M2763" s="748">
        <v>3</v>
      </c>
      <c r="N2763" s="748" t="s">
        <v>3000</v>
      </c>
      <c r="O2763" s="748">
        <f>'Part IX A-Scoring Criteria'!O271</f>
        <v>3</v>
      </c>
      <c r="P2763" s="748">
        <f>'Part IX A-Scoring Criteria'!P271</f>
        <v>0</v>
      </c>
      <c r="R2763" s="748" t="str">
        <f>IF(OR($O2763=$M2763,$O2763=0,$O2763=""),"","* * Check Score! * *")</f>
        <v/>
      </c>
    </row>
    <row r="2764" spans="1:18">
      <c r="A2764" s="748" t="s">
        <v>3112</v>
      </c>
      <c r="B2764" s="748" t="s">
        <v>2818</v>
      </c>
      <c r="M2764" s="748">
        <v>3</v>
      </c>
      <c r="N2764" s="748" t="s">
        <v>3112</v>
      </c>
      <c r="O2764" s="748">
        <f>'Part IX A-Scoring Criteria'!O272</f>
        <v>3</v>
      </c>
      <c r="P2764" s="748">
        <f>'Part IX A-Scoring Criteria'!P272</f>
        <v>0</v>
      </c>
      <c r="R2764" s="748" t="str">
        <f>IF(OR($O2764=$M2764,$O2764=0,$O2764=""),"","* * Check Score! * *")</f>
        <v/>
      </c>
    </row>
    <row r="2765" spans="1:18" ht="14.65" customHeight="1">
      <c r="B2765" s="748" t="s">
        <v>3627</v>
      </c>
      <c r="O2765" s="748" t="str">
        <f>'Part IX A-Scoring Criteria'!O273</f>
        <v>Agree</v>
      </c>
      <c r="P2765" s="748">
        <f>'Part IX A-Scoring Criteria'!P273</f>
        <v>0</v>
      </c>
    </row>
    <row r="2766" spans="1:18">
      <c r="B2766" s="748" t="s">
        <v>582</v>
      </c>
    </row>
    <row r="2767" spans="1:18">
      <c r="A2767" s="748">
        <f>'Part IX A-Scoring Criteria'!A275</f>
        <v>0</v>
      </c>
    </row>
    <row r="2768" spans="1:18">
      <c r="B2768" s="748" t="s">
        <v>3089</v>
      </c>
    </row>
    <row r="2769" spans="1:17">
      <c r="A2769" s="748">
        <f>'Part IX A-Scoring Criteria'!A277</f>
        <v>0</v>
      </c>
    </row>
    <row r="2771" spans="1:17">
      <c r="A2771" s="748" t="s">
        <v>2814</v>
      </c>
      <c r="B2771" s="748" t="s">
        <v>2816</v>
      </c>
      <c r="L2771" s="748" t="str">
        <f>IF(OR($O2771=$M2771,$O2771&lt;=0,$O2771=""),"","* * Check Score! * *")</f>
        <v/>
      </c>
      <c r="M2771" s="748">
        <v>10</v>
      </c>
      <c r="O2771" s="748">
        <f>O2775</f>
        <v>10</v>
      </c>
      <c r="P2771" s="748">
        <f>P2775</f>
        <v>0</v>
      </c>
      <c r="Q2771" s="748" t="s">
        <v>651</v>
      </c>
    </row>
    <row r="2773" spans="1:17">
      <c r="B2773" s="748" t="s">
        <v>3840</v>
      </c>
      <c r="O2773" s="748" t="str">
        <f>'Part IX A-Scoring Criteria'!O281</f>
        <v>Yes</v>
      </c>
      <c r="P2773" s="748">
        <f>'Part IX A-Scoring Criteria'!P281</f>
        <v>0</v>
      </c>
    </row>
    <row r="2775" spans="1:17">
      <c r="B2775" s="748" t="s">
        <v>3000</v>
      </c>
      <c r="C2775" s="748" t="s">
        <v>2185</v>
      </c>
      <c r="N2775" s="748" t="s">
        <v>3000</v>
      </c>
      <c r="O2775" s="748">
        <f>'Part IX A-Scoring Criteria'!O283</f>
        <v>10</v>
      </c>
      <c r="P2775" s="748">
        <f>'Part IX A-Scoring Criteria'!P283</f>
        <v>0</v>
      </c>
    </row>
    <row r="2777" spans="1:17">
      <c r="B2777" s="748" t="s">
        <v>3112</v>
      </c>
      <c r="C2777" s="748" t="s">
        <v>478</v>
      </c>
      <c r="N2777" s="748" t="s">
        <v>3112</v>
      </c>
      <c r="O2777" s="748" t="str">
        <f>'Part IX A-Scoring Criteria'!O285</f>
        <v>Pass</v>
      </c>
      <c r="P2777" s="748">
        <f>'Part IX A-Scoring Criteria'!P285</f>
        <v>0</v>
      </c>
    </row>
    <row r="2779" spans="1:17">
      <c r="B2779" s="748" t="s">
        <v>582</v>
      </c>
    </row>
    <row r="2780" spans="1:17" ht="15.4" customHeight="1">
      <c r="A2780" s="748" t="str">
        <f>'Part IX A-Scoring Criteria'!A288</f>
        <v>Endeavor Pointe's project team is qualified without conditions, per the 2011 pre application submission.  As such, we've put "yes" to first question of this section.  Documentation from DCA on our qualification determination</v>
      </c>
      <c r="Q2780" s="748" t="s">
        <v>1931</v>
      </c>
    </row>
    <row r="2781" spans="1:17">
      <c r="A2781" s="748" t="str">
        <f>'Part IX A-Scoring Criteria'!A289</f>
        <v>as well as manager's "pass" rating included in tab 38.  Also included is compliance scoring documentation submitted during pre application.</v>
      </c>
    </row>
    <row r="2782" spans="1:17">
      <c r="B2782" s="748" t="s">
        <v>3089</v>
      </c>
    </row>
    <row r="2783" spans="1:17" ht="15.4" customHeight="1">
      <c r="A2783" s="748">
        <f>'Part IX A-Scoring Criteria'!A291</f>
        <v>0</v>
      </c>
      <c r="Q2783" s="748" t="s">
        <v>1931</v>
      </c>
    </row>
    <row r="2784" spans="1:17">
      <c r="A2784" s="748">
        <f>'Part IX A-Scoring Criteria'!A292</f>
        <v>0</v>
      </c>
    </row>
    <row r="2786" spans="1:16">
      <c r="H2786" s="748" t="s">
        <v>673</v>
      </c>
      <c r="M2786" s="748">
        <f>M2498</f>
        <v>108</v>
      </c>
      <c r="O2786" s="748">
        <f>O2500+O2523+O2530+O2547+O2556+O2566+O2574+O2585+O2624+O2638+O2658+O2667+O2683+O2691+O2699+O2705+O2719+O2762+O2771</f>
        <v>57</v>
      </c>
      <c r="P2786" s="748">
        <f>P2500+P2523+P2530+P2547+P2556+P2566+P2574+P2585+P2624+P2638+P2658+P2667+P2683+P2691+P2699+P2705+P2719+P2751+P2762+P2771</f>
        <v>13</v>
      </c>
    </row>
    <row r="2791" spans="1:16">
      <c r="A2791" s="748" t="s">
        <v>959</v>
      </c>
    </row>
    <row r="2792" spans="1:16">
      <c r="A2792" s="748">
        <f>'Part I-Project Information'!F2801</f>
        <v>0</v>
      </c>
    </row>
    <row r="2793" spans="1:16">
      <c r="A2793" s="748" t="str">
        <f>CONCATENATE('Part I-Project Information'!F2803,", ", 'Part I-Project Information'!J2804," County")</f>
        <v>,  County</v>
      </c>
    </row>
    <row r="2795" spans="1:16">
      <c r="A2795" s="748" t="str">
        <f>'Pt IX B-Super Proj Concept Narr'!A5</f>
        <v xml:space="preserve">We believe that this proposal meets a unique and particularly urgent housing need as a reult of the natural disasters that occurred in the area in April, as well as for the sustainable, efficient design of the proposed Community.   As a result of the tornadoes this past April, 250 homes sustained damage in Walker County alone, with thirty homes completely decimated.  Hundreds, if not thousands of individuals were left without a home.  As a result, both President Obama and Governor Deal declared the region a disaster area, on April 29 2011, which includes Walker County, and therefore makes this proposal a priority for federal and state funding.  Several hundred individuals in the region were left homeless, not to mention those folks who perished altogether.  Within Walker County, the communities of Flintstone, Rossville and Chattanooga Valley -- all are in the northern portion of the county and are within 13 miles of the site, which is also located in the northern portion of the County (see attached articles from local newspaper).  It was for this reason that the County designated the Walker County Agricultural Center, located in Rock Spring and just a mile away from Endeavor Pointe's proposed site, as the disaster recovery center for the area. </v>
      </c>
    </row>
    <row r="2797" spans="1:16">
      <c r="A2797" s="748" t="str">
        <f>'Pt IX B-Super Proj Concept Narr'!A7</f>
        <v xml:space="preserve">Unfortunately, damage was not confined to Walker County, with all but two of the six counties contiguous to Walker County also being declared disaster zones (see map included herewith).  Given the results of Endeavor Pointe's market study, all suveyed program assisted elderly properties had waiting lists, meaning those Seniors who were displaced will likely remain so for the forseeable future. Included herewith is documentation from FEMA indicating the declaration of disaster zone.  In addition to the urgent need for housing, this proposal is also unique in its use of sustainability to create a cleaner, lower carbon footprint, more energy efficient community.  Endeavor Pointe will achieve certification under Earthcraft multifamily sustainable building certification, which will include efficient building practices designed to eliminate thermal loss, improve indoor air quality, enhance the lifespan of the community and reduce the impact of development on the environment.  In addition, several other "green" items have also been incorporated into the proposal, such as a solar array, compact fluorescent lighting through out and automated rheostats to harvest natural light.  Included in the budget is $212,500 for a 50 kilowatt solar array, which will produce approximately </v>
      </c>
    </row>
    <row r="2799" spans="1:16">
      <c r="A2799" s="748" t="str">
        <f>'Pt IX B-Super Proj Concept Narr'!A9</f>
        <v xml:space="preserve">half of the power consumed at the community level (site lights, community center, etc). We anticipate that the community will consume 75,000 kilowatt hours of electricity annually -- which is based on our analysis of Juniper Court (2007-043) and Camellia Lane (2008-056), which are materially identical communities.  We believe the array will produce about half of the energy needed, based on the attached analysis from National Renewable Energy Laboratory's PVWatts program.  We are also proposing LED parking lot lights with a 12+ year lifespan to avoid the expense of a cherry picker every time a parking lot light burns out ($500 per trip).  The solar array also allows this proposal to leverage an additional, non-DCA source of funds via the sale of the clean energy tax credit, which is equal to 30% of installed cost of the array or $63,750 and will be sold for $47,807.  The market study has indicated a great need for Endeavor Pointe -- every program assisted elderly property surveyed had a waiting list.  Local officials have endorsed it, including county commissioner Bebe Heiskell who provided a resolution of support as well as several positive comments in a newspaper interview regarding the Endeavor Pointe proposal (see attached article "Rock Spring </v>
      </c>
    </row>
    <row r="2801" spans="1:1">
      <c r="A2801" s="748" t="str">
        <f>'Pt IX B-Super Proj Concept Narr'!A11</f>
        <v xml:space="preserve">Planning for Senior Apartments").  In addition, per the Southeaster Disaster Relief Act of 2011, the state receives a larger allocation of LIHTC's -- $8 per capita for each person in disaster area.  The availability of these funds -- through an act of Congress -- underscores the urgent and overriding need for affordable housing in the area and provides additional funds for such housing to be constructed.  Ultimately, we believe Endeavor Pointe is deserving of the superior project concept, due to the overriding, exceptionally urgent need for housing, the Presidential Disaster designation of the entire region and the corresponding priority of directing funds to affected areas, as well as the proposal's efficient, sustainable design.  We hope DCA agrees.   </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phoneticPr fontId="5" type="noConversion"/>
  <hyperlinks>
    <hyperlink ref="L70" r:id="rId1"/>
    <hyperlink ref="L68" r:id="rId2"/>
    <hyperlink ref="O216" r:id="rId3"/>
    <hyperlink ref="O218" r:id="rId4"/>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F27"/>
  <sheetViews>
    <sheetView showGridLines="0" workbookViewId="0">
      <selection activeCell="E14" sqref="E14"/>
    </sheetView>
  </sheetViews>
  <sheetFormatPr defaultColWidth="8.7109375" defaultRowHeight="12.75"/>
  <cols>
    <col min="1" max="1" width="88.42578125" style="31" customWidth="1"/>
    <col min="2" max="16384" width="8.7109375" style="31"/>
  </cols>
  <sheetData>
    <row r="1" spans="1:6" ht="15.75">
      <c r="A1" s="1146" t="s">
        <v>1729</v>
      </c>
    </row>
    <row r="2" spans="1:6" ht="16.5">
      <c r="A2" s="1147" t="str">
        <f>'Part I-Project Information'!F22</f>
        <v>Endeavor Pointe</v>
      </c>
    </row>
    <row r="3" spans="1:6" ht="16.5">
      <c r="A3" s="1147" t="str">
        <f>CONCATENATE('Part I-Project Information'!F24,", ", 'Part I-Project Information'!J25," County")</f>
        <v>LaFayette, Walker County</v>
      </c>
    </row>
    <row r="4" spans="1:6" ht="12" customHeight="1"/>
    <row r="5" spans="1:6" ht="111" customHeight="1">
      <c r="A5" s="1148" t="s">
        <v>4077</v>
      </c>
      <c r="B5" s="774" t="s">
        <v>1604</v>
      </c>
      <c r="C5" s="774"/>
      <c r="D5" s="774"/>
      <c r="E5" s="774"/>
      <c r="F5" s="774"/>
    </row>
    <row r="6" spans="1:6" ht="6.4" customHeight="1">
      <c r="A6" s="1149"/>
      <c r="B6" s="774"/>
      <c r="C6" s="774"/>
      <c r="D6" s="774"/>
      <c r="E6" s="774"/>
      <c r="F6" s="774"/>
    </row>
    <row r="7" spans="1:6" ht="111" customHeight="1">
      <c r="A7" s="1148" t="s">
        <v>35</v>
      </c>
    </row>
    <row r="8" spans="1:6" ht="6.4" customHeight="1">
      <c r="A8" s="1149"/>
    </row>
    <row r="9" spans="1:6" ht="111" customHeight="1">
      <c r="A9" s="1148" t="s">
        <v>34</v>
      </c>
    </row>
    <row r="10" spans="1:6" ht="6.4" customHeight="1">
      <c r="A10" s="1149"/>
    </row>
    <row r="11" spans="1:6" ht="111" customHeight="1">
      <c r="A11" s="1148" t="s">
        <v>30</v>
      </c>
    </row>
    <row r="12" spans="1:6" ht="6.4" customHeight="1">
      <c r="A12" s="1149"/>
    </row>
    <row r="13" spans="1:6" ht="111" customHeight="1">
      <c r="A13" s="1148" t="s">
        <v>22</v>
      </c>
    </row>
    <row r="14" spans="1:6" ht="6.4" customHeight="1">
      <c r="A14" s="1149"/>
    </row>
    <row r="15" spans="1:6" ht="111" customHeight="1">
      <c r="A15" s="1148"/>
    </row>
    <row r="16" spans="1:6" ht="6.4" customHeight="1">
      <c r="A16" s="1149"/>
    </row>
    <row r="17" spans="1:1" ht="111" customHeight="1">
      <c r="A17" s="1148"/>
    </row>
    <row r="18" spans="1:1" ht="6.4" customHeight="1">
      <c r="A18" s="1149"/>
    </row>
    <row r="19" spans="1:1" ht="111" customHeight="1">
      <c r="A19" s="1148"/>
    </row>
    <row r="20" spans="1:1" ht="6.4" customHeight="1">
      <c r="A20" s="1149"/>
    </row>
    <row r="21" spans="1:1" ht="111" customHeight="1">
      <c r="A21" s="1148"/>
    </row>
    <row r="22" spans="1:1" ht="6.4" customHeight="1">
      <c r="A22" s="1149"/>
    </row>
    <row r="23" spans="1:1" ht="111" customHeight="1">
      <c r="A23" s="1148"/>
    </row>
    <row r="24" spans="1:1" ht="6.4" customHeight="1">
      <c r="A24" s="1149"/>
    </row>
    <row r="25" spans="1:1" ht="111" customHeight="1">
      <c r="A25" s="1148"/>
    </row>
    <row r="26" spans="1:1" ht="6.4" customHeight="1">
      <c r="A26" s="1149"/>
    </row>
    <row r="27" spans="1:1" ht="111" customHeight="1">
      <c r="A27" s="1148"/>
    </row>
  </sheetData>
  <sheetProtection password="DDE0" sheet="1" objects="1" scenarios="1"/>
  <mergeCells count="1">
    <mergeCell ref="B5:F6"/>
  </mergeCells>
  <phoneticPr fontId="5" type="noConversion"/>
  <printOptions horizontalCentered="1"/>
  <pageMargins left="0.5" right="0.5" top="0.5" bottom="0.5" header="0.5" footer="0.25"/>
  <pageSetup paperSize="0" fitToHeight="0" orientation="portrait" horizontalDpi="4294967292" verticalDpi="4294967292"/>
  <headerFooter alignWithMargins="0">
    <oddFooter>&amp;L&amp;F&amp;R&amp;9&amp;P of &amp;N</oddFooter>
  </headerFooter>
  <extLst>
    <ext xmlns:mx="http://schemas.microsoft.com/office/mac/excel/2008/main" uri="http://schemas.microsoft.com/office/mac/excel/2008/main">
      <mx:PLV Mode="0" OnePage="0" WScale="100"/>
    </ext>
  </extLst>
</worksheet>
</file>

<file path=xl/worksheets/sheet3.xml><?xml version="1.0" encoding="utf-8"?>
<worksheet xmlns="http://schemas.openxmlformats.org/spreadsheetml/2006/main" xmlns:r="http://schemas.openxmlformats.org/officeDocument/2006/relationships">
  <sheetPr codeName="Sheet3" enableFormatConditionsCalculation="0">
    <pageSetUpPr fitToPage="1"/>
  </sheetPr>
  <dimension ref="A1:AA846"/>
  <sheetViews>
    <sheetView showGridLines="0" showZeros="0" workbookViewId="0">
      <selection activeCell="E14" sqref="E14"/>
    </sheetView>
  </sheetViews>
  <sheetFormatPr defaultColWidth="9.140625" defaultRowHeight="12" customHeight="1"/>
  <cols>
    <col min="1" max="1" width="3.28515625" style="482" customWidth="1"/>
    <col min="2" max="2" width="2.140625" style="506" customWidth="1"/>
    <col min="3" max="16" width="8.7109375" style="482" customWidth="1"/>
    <col min="17" max="16384" width="9.140625" style="482"/>
  </cols>
  <sheetData>
    <row r="1" spans="1:16" s="458" customFormat="1" ht="13.9" customHeight="1">
      <c r="A1" s="779" t="str">
        <f>CONCATENATE("PART ONE - PROJECT INFORMATION"," - ",$O$4," ",$F$22,", ",'Part I-Project Information'!F24,", ",'Part I-Project Information'!J25," County")</f>
        <v>PART ONE - PROJECT INFORMATION - 2011-028 Endeavor Pointe, LaFayette, Walker County</v>
      </c>
      <c r="B1" s="780"/>
      <c r="C1" s="780"/>
      <c r="D1" s="780"/>
      <c r="E1" s="780"/>
      <c r="F1" s="780"/>
      <c r="G1" s="780"/>
      <c r="H1" s="780"/>
      <c r="I1" s="780"/>
      <c r="J1" s="780"/>
      <c r="K1" s="780"/>
      <c r="L1" s="780"/>
      <c r="M1" s="780"/>
      <c r="N1" s="780"/>
      <c r="O1" s="780"/>
      <c r="P1" s="781"/>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3671</v>
      </c>
      <c r="B3" s="459"/>
      <c r="C3" s="459"/>
      <c r="D3" s="460"/>
      <c r="E3" s="401" t="s">
        <v>791</v>
      </c>
      <c r="L3" s="459"/>
      <c r="M3" s="783" t="s">
        <v>2869</v>
      </c>
      <c r="N3" s="783"/>
      <c r="O3" s="783"/>
      <c r="P3" s="783"/>
    </row>
    <row r="4" spans="1:16" s="458" customFormat="1" ht="12" customHeight="1" thickBot="1">
      <c r="A4" s="735"/>
      <c r="B4" s="461"/>
      <c r="C4" s="461"/>
      <c r="D4" s="462"/>
      <c r="E4" s="401" t="s">
        <v>792</v>
      </c>
      <c r="H4" s="719"/>
      <c r="I4" s="719"/>
      <c r="J4" s="719"/>
      <c r="M4" s="719"/>
      <c r="O4" s="1523" t="s">
        <v>4111</v>
      </c>
      <c r="P4" s="1524"/>
    </row>
    <row r="5" spans="1:16" s="458" customFormat="1" ht="12" customHeight="1">
      <c r="A5" s="735"/>
      <c r="B5" s="461"/>
      <c r="C5" s="461"/>
      <c r="D5" s="461"/>
      <c r="E5" s="719"/>
      <c r="H5" s="719"/>
      <c r="I5" s="719"/>
      <c r="J5" s="719"/>
      <c r="K5" s="395"/>
      <c r="M5" s="719"/>
    </row>
    <row r="6" spans="1:16" s="458" customFormat="1" ht="13.15" customHeight="1">
      <c r="A6" s="461" t="s">
        <v>1126</v>
      </c>
      <c r="C6" s="461" t="s">
        <v>3689</v>
      </c>
      <c r="D6" s="418"/>
      <c r="E6" s="463"/>
      <c r="F6" s="464" t="s">
        <v>2601</v>
      </c>
      <c r="J6" s="784">
        <f>'Part IV-Uses of Funds'!J165</f>
        <v>752409</v>
      </c>
      <c r="K6" s="785"/>
    </row>
    <row r="7" spans="1:16" s="2" customFormat="1" ht="13.15" customHeight="1">
      <c r="A7" s="5"/>
      <c r="C7" s="5"/>
      <c r="D7" s="31"/>
      <c r="E7" s="563"/>
      <c r="F7" s="458" t="s">
        <v>1975</v>
      </c>
      <c r="J7" s="793">
        <f>'Part III A-Sources of Funds'!J5</f>
        <v>1600000</v>
      </c>
      <c r="K7" s="794"/>
      <c r="M7" s="458"/>
      <c r="N7" s="458"/>
      <c r="O7" s="458"/>
      <c r="P7" s="458"/>
    </row>
    <row r="8" spans="1:16" s="458" customFormat="1" ht="7.15" customHeight="1">
      <c r="A8" s="461"/>
      <c r="C8" s="461"/>
      <c r="D8" s="418"/>
      <c r="E8" s="463"/>
      <c r="F8" s="463"/>
      <c r="I8" s="465"/>
      <c r="N8" s="466"/>
    </row>
    <row r="9" spans="1:16" s="458" customFormat="1" ht="13.15" customHeight="1">
      <c r="A9" s="465" t="s">
        <v>1241</v>
      </c>
      <c r="C9" s="461" t="s">
        <v>3186</v>
      </c>
      <c r="F9" s="1170" t="s">
        <v>3997</v>
      </c>
      <c r="G9" s="1171"/>
      <c r="H9" s="1172"/>
      <c r="I9" s="1525" t="s">
        <v>1242</v>
      </c>
      <c r="J9" s="1442"/>
      <c r="K9" s="1443"/>
      <c r="L9" s="1443"/>
      <c r="M9" s="1443"/>
      <c r="N9" s="1443"/>
      <c r="O9" s="1443"/>
      <c r="P9" s="1444"/>
    </row>
    <row r="10" spans="1:16" s="458" customFormat="1" ht="7.15" customHeight="1">
      <c r="I10" s="418"/>
      <c r="J10" s="418"/>
      <c r="K10" s="418"/>
      <c r="L10" s="418"/>
      <c r="M10" s="418"/>
      <c r="N10" s="418"/>
      <c r="O10" s="418"/>
      <c r="P10" s="418"/>
    </row>
    <row r="11" spans="1:16" s="458" customFormat="1" ht="13.15" customHeight="1">
      <c r="A11" s="465" t="s">
        <v>1243</v>
      </c>
      <c r="B11" s="463"/>
      <c r="C11" s="461" t="s">
        <v>2238</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3714</v>
      </c>
      <c r="F13" s="1442" t="s">
        <v>3998</v>
      </c>
      <c r="G13" s="1443"/>
      <c r="H13" s="1443"/>
      <c r="I13" s="1443"/>
      <c r="J13" s="1443"/>
      <c r="K13" s="1443"/>
      <c r="L13" s="1444"/>
      <c r="M13" s="714" t="s">
        <v>2997</v>
      </c>
      <c r="N13" s="1442" t="s">
        <v>4000</v>
      </c>
      <c r="O13" s="1443"/>
      <c r="P13" s="1444"/>
    </row>
    <row r="14" spans="1:16" s="458" customFormat="1" ht="13.15" customHeight="1">
      <c r="C14" s="464" t="s">
        <v>2998</v>
      </c>
      <c r="F14" s="1442" t="s">
        <v>3999</v>
      </c>
      <c r="G14" s="1443"/>
      <c r="H14" s="1443"/>
      <c r="I14" s="1443"/>
      <c r="J14" s="1443"/>
      <c r="K14" s="1443"/>
      <c r="L14" s="1444"/>
      <c r="M14" s="714" t="s">
        <v>2748</v>
      </c>
      <c r="O14" s="1526">
        <v>4042196953</v>
      </c>
      <c r="P14" s="1527"/>
    </row>
    <row r="15" spans="1:16" s="458" customFormat="1" ht="13.15" customHeight="1">
      <c r="C15" s="464" t="s">
        <v>1033</v>
      </c>
      <c r="F15" s="1457" t="s">
        <v>37</v>
      </c>
      <c r="G15" s="1393"/>
      <c r="H15" s="1394"/>
      <c r="M15" s="714" t="s">
        <v>2958</v>
      </c>
      <c r="O15" s="1473">
        <v>6786051846</v>
      </c>
      <c r="P15" s="1475"/>
    </row>
    <row r="16" spans="1:16" s="458" customFormat="1" ht="13.15" customHeight="1">
      <c r="C16" s="464" t="s">
        <v>3068</v>
      </c>
      <c r="F16" s="1528" t="s">
        <v>1452</v>
      </c>
      <c r="I16" s="719" t="s">
        <v>3562</v>
      </c>
      <c r="J16" s="1476">
        <v>301204886</v>
      </c>
      <c r="K16" s="1529"/>
      <c r="M16" s="714" t="s">
        <v>2996</v>
      </c>
      <c r="O16" s="1473">
        <v>4042196953</v>
      </c>
      <c r="P16" s="1475"/>
    </row>
    <row r="17" spans="1:16" s="458" customFormat="1" ht="13.15" customHeight="1">
      <c r="B17" s="721"/>
      <c r="C17" s="464" t="s">
        <v>2747</v>
      </c>
      <c r="F17" s="1473">
        <v>4042196953</v>
      </c>
      <c r="G17" s="1474"/>
      <c r="H17" s="1475"/>
      <c r="I17" s="713" t="s">
        <v>2605</v>
      </c>
      <c r="J17" s="1439"/>
      <c r="K17" s="719" t="s">
        <v>3110</v>
      </c>
      <c r="L17" s="1442" t="s">
        <v>3996</v>
      </c>
      <c r="M17" s="1443"/>
      <c r="N17" s="1443"/>
      <c r="O17" s="1443"/>
      <c r="P17" s="1444"/>
    </row>
    <row r="18" spans="1:16" s="458" customFormat="1" ht="13.15" customHeight="1">
      <c r="A18" s="461"/>
      <c r="B18" s="463"/>
      <c r="C18" s="441" t="s">
        <v>1217</v>
      </c>
      <c r="D18" s="463"/>
      <c r="G18" s="463"/>
      <c r="H18" s="463"/>
      <c r="I18" s="467"/>
    </row>
    <row r="19" spans="1:16" s="458" customFormat="1" ht="7.15" customHeight="1">
      <c r="A19" s="735"/>
      <c r="B19" s="735"/>
      <c r="C19" s="468"/>
      <c r="D19" s="721"/>
      <c r="E19" s="721"/>
      <c r="F19" s="721"/>
      <c r="H19" s="719"/>
      <c r="I19" s="721"/>
      <c r="J19" s="468"/>
      <c r="K19" s="721"/>
      <c r="P19" s="469"/>
    </row>
    <row r="20" spans="1:16" s="458" customFormat="1" ht="13.15" customHeight="1">
      <c r="A20" s="465" t="s">
        <v>2950</v>
      </c>
      <c r="B20" s="461"/>
      <c r="C20" s="461" t="s">
        <v>2246</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1031</v>
      </c>
      <c r="D22" s="470"/>
      <c r="F22" s="1480" t="s">
        <v>4001</v>
      </c>
      <c r="G22" s="1481"/>
      <c r="H22" s="1481"/>
      <c r="I22" s="1481"/>
      <c r="J22" s="1481"/>
      <c r="K22" s="1481"/>
      <c r="L22" s="1482"/>
      <c r="M22" s="714" t="s">
        <v>3178</v>
      </c>
      <c r="O22" s="1442" t="s">
        <v>139</v>
      </c>
      <c r="P22" s="1444"/>
    </row>
    <row r="23" spans="1:16" s="458" customFormat="1" ht="13.15" customHeight="1">
      <c r="A23" s="471"/>
      <c r="B23" s="461"/>
      <c r="C23" s="458" t="s">
        <v>1032</v>
      </c>
      <c r="D23" s="472"/>
      <c r="F23" s="1442" t="s">
        <v>4002</v>
      </c>
      <c r="G23" s="1443"/>
      <c r="H23" s="1443"/>
      <c r="I23" s="1443"/>
      <c r="J23" s="1443"/>
      <c r="K23" s="1443"/>
      <c r="L23" s="1444"/>
      <c r="M23" s="714" t="s">
        <v>3291</v>
      </c>
      <c r="O23" s="1442" t="s">
        <v>139</v>
      </c>
      <c r="P23" s="1444"/>
    </row>
    <row r="24" spans="1:16" s="458" customFormat="1" ht="13.15" customHeight="1">
      <c r="A24" s="735"/>
      <c r="B24" s="461"/>
      <c r="C24" s="458" t="s">
        <v>1033</v>
      </c>
      <c r="F24" s="1442" t="s">
        <v>3120</v>
      </c>
      <c r="G24" s="1443"/>
      <c r="H24" s="1444"/>
      <c r="I24" s="719" t="s">
        <v>576</v>
      </c>
      <c r="J24" s="1476">
        <v>307390000</v>
      </c>
      <c r="K24" s="1529"/>
      <c r="L24" s="550" t="str">
        <f>IF(AND(NOT(F22=""),NOT(F24="Select from list"),J24=""),"Enter Zip!","")</f>
        <v/>
      </c>
      <c r="M24" s="714" t="s">
        <v>3519</v>
      </c>
      <c r="O24" s="1442">
        <v>16.54</v>
      </c>
      <c r="P24" s="1444"/>
    </row>
    <row r="25" spans="1:16" s="458" customFormat="1" ht="13.15" customHeight="1">
      <c r="A25" s="735"/>
      <c r="B25" s="461"/>
      <c r="C25" s="776" t="s">
        <v>3290</v>
      </c>
      <c r="D25" s="776"/>
      <c r="F25" s="1530" t="s">
        <v>139</v>
      </c>
      <c r="I25" s="504" t="s">
        <v>1034</v>
      </c>
      <c r="J25" s="1531" t="str">
        <f>IF($F$24="","",VLOOKUP($F$24,$N$183:$O$786,2,FALSE))</f>
        <v>Walker</v>
      </c>
      <c r="K25" s="1532"/>
      <c r="M25" s="474" t="s">
        <v>3708</v>
      </c>
      <c r="O25" s="1442">
        <v>206.01</v>
      </c>
      <c r="P25" s="1533"/>
    </row>
    <row r="26" spans="1:16" s="458" customFormat="1" ht="13.15" customHeight="1">
      <c r="A26" s="735"/>
      <c r="B26" s="461"/>
      <c r="C26" s="458" t="s">
        <v>2352</v>
      </c>
      <c r="F26" s="1534" t="s">
        <v>3834</v>
      </c>
      <c r="G26" s="475"/>
      <c r="I26" s="466" t="s">
        <v>1041</v>
      </c>
      <c r="J26" s="1535" t="str">
        <f>IF($F$24="","",VLOOKUP($J$25,$C$183:$H$342,3,FALSE))</f>
        <v>Chattanooga</v>
      </c>
      <c r="K26" s="1536"/>
      <c r="L26" s="1537"/>
      <c r="M26" s="714" t="s">
        <v>679</v>
      </c>
      <c r="N26" s="1538" t="s">
        <v>139</v>
      </c>
      <c r="O26" s="466" t="s">
        <v>680</v>
      </c>
      <c r="P26" s="1538" t="s">
        <v>139</v>
      </c>
    </row>
    <row r="27" spans="1:16" s="458" customFormat="1" ht="3" customHeight="1">
      <c r="A27" s="735"/>
      <c r="B27" s="461"/>
      <c r="C27" s="461"/>
      <c r="I27" s="464"/>
      <c r="J27" s="721"/>
      <c r="L27" s="733"/>
      <c r="M27" s="733"/>
      <c r="N27" s="733"/>
      <c r="O27" s="733"/>
      <c r="P27" s="733"/>
    </row>
    <row r="28" spans="1:16" s="458" customFormat="1" ht="13.15" customHeight="1">
      <c r="A28" s="735"/>
      <c r="B28" s="461"/>
      <c r="F28" s="782" t="s">
        <v>704</v>
      </c>
      <c r="G28" s="782"/>
      <c r="H28" s="782" t="s">
        <v>1379</v>
      </c>
      <c r="I28" s="782"/>
      <c r="J28" s="782" t="s">
        <v>1239</v>
      </c>
      <c r="K28" s="782"/>
      <c r="L28" s="468"/>
    </row>
    <row r="29" spans="1:16" s="458" customFormat="1" ht="13.15" customHeight="1">
      <c r="A29" s="735"/>
      <c r="B29" s="461"/>
      <c r="C29" s="458" t="s">
        <v>1035</v>
      </c>
      <c r="D29" s="461"/>
      <c r="F29" s="1539">
        <v>9</v>
      </c>
      <c r="G29" s="1540"/>
      <c r="H29" s="1539">
        <v>53</v>
      </c>
      <c r="I29" s="1540"/>
      <c r="J29" s="1539">
        <v>1</v>
      </c>
      <c r="K29" s="1540"/>
    </row>
    <row r="30" spans="1:16" s="458" customFormat="1" ht="13.15" customHeight="1">
      <c r="A30" s="735"/>
      <c r="B30" s="461"/>
      <c r="C30" s="464" t="s">
        <v>1380</v>
      </c>
      <c r="F30" s="1539"/>
      <c r="G30" s="1540"/>
      <c r="H30" s="1539"/>
      <c r="I30" s="1540"/>
      <c r="J30" s="1539"/>
      <c r="K30" s="1540"/>
    </row>
    <row r="31" spans="1:16" s="458" customFormat="1" ht="3" customHeight="1">
      <c r="A31" s="735"/>
      <c r="B31" s="461"/>
      <c r="I31" s="733"/>
      <c r="J31" s="733"/>
      <c r="K31" s="733"/>
      <c r="M31" s="721"/>
      <c r="N31" s="721"/>
      <c r="O31" s="721"/>
      <c r="P31" s="721"/>
    </row>
    <row r="32" spans="1:16" s="458" customFormat="1" ht="13.15" customHeight="1">
      <c r="A32" s="735"/>
      <c r="B32" s="735"/>
      <c r="C32" s="461" t="s">
        <v>1140</v>
      </c>
      <c r="F32" s="1541" t="s">
        <v>4003</v>
      </c>
      <c r="G32" s="1542"/>
      <c r="H32" s="1542"/>
      <c r="I32" s="1542"/>
      <c r="J32" s="1542"/>
      <c r="K32" s="1543"/>
      <c r="L32" s="476"/>
      <c r="M32" s="476"/>
      <c r="N32" s="476"/>
    </row>
    <row r="33" spans="1:19" s="458" customFormat="1" ht="13.15" customHeight="1">
      <c r="A33" s="735"/>
      <c r="B33" s="735"/>
      <c r="C33" s="458" t="s">
        <v>1141</v>
      </c>
      <c r="F33" s="1544" t="s">
        <v>4004</v>
      </c>
      <c r="G33" s="1545"/>
      <c r="H33" s="1545"/>
      <c r="I33" s="1545"/>
      <c r="J33" s="1546"/>
      <c r="K33" s="477" t="s">
        <v>2997</v>
      </c>
      <c r="L33" s="1541" t="s">
        <v>4029</v>
      </c>
      <c r="M33" s="1542"/>
      <c r="N33" s="1543"/>
    </row>
    <row r="34" spans="1:19" s="458" customFormat="1" ht="13.15" customHeight="1">
      <c r="A34" s="735"/>
      <c r="B34" s="735"/>
      <c r="C34" s="458" t="s">
        <v>2998</v>
      </c>
      <c r="F34" s="1541" t="s">
        <v>4005</v>
      </c>
      <c r="G34" s="1542"/>
      <c r="H34" s="1542"/>
      <c r="I34" s="1542"/>
      <c r="J34" s="1543"/>
      <c r="K34" s="478" t="s">
        <v>1033</v>
      </c>
      <c r="L34" s="1442" t="s">
        <v>4006</v>
      </c>
      <c r="M34" s="1443"/>
      <c r="N34" s="1444"/>
    </row>
    <row r="35" spans="1:19" s="458" customFormat="1" ht="13.15" customHeight="1">
      <c r="A35" s="735"/>
      <c r="B35" s="735"/>
      <c r="C35" s="714" t="s">
        <v>3562</v>
      </c>
      <c r="F35" s="1547">
        <v>307280000</v>
      </c>
      <c r="G35" s="1548"/>
      <c r="H35" s="713" t="s">
        <v>2999</v>
      </c>
      <c r="I35" s="1479">
        <v>7066381437</v>
      </c>
      <c r="J35" s="1549"/>
      <c r="K35" s="1550"/>
      <c r="L35" s="713" t="s">
        <v>2958</v>
      </c>
      <c r="M35" s="1479">
        <v>7066381453</v>
      </c>
      <c r="N35" s="1550"/>
    </row>
    <row r="36" spans="1:19" s="458" customFormat="1" ht="7.15" customHeight="1">
      <c r="A36" s="735"/>
      <c r="B36" s="735"/>
      <c r="C36" s="479"/>
      <c r="D36" s="480"/>
      <c r="E36" s="480"/>
      <c r="F36" s="719"/>
      <c r="G36" s="719"/>
      <c r="H36" s="719"/>
      <c r="I36" s="719"/>
      <c r="J36" s="480"/>
      <c r="K36" s="719"/>
      <c r="L36" s="719"/>
      <c r="N36" s="721"/>
      <c r="O36" s="721"/>
      <c r="P36" s="469"/>
    </row>
    <row r="37" spans="1:19" s="458" customFormat="1" ht="13.15" customHeight="1">
      <c r="A37" s="465" t="s">
        <v>2952</v>
      </c>
      <c r="C37" s="461" t="s">
        <v>2247</v>
      </c>
      <c r="F37" s="481"/>
      <c r="I37" s="464"/>
      <c r="J37" s="683" t="s">
        <v>1987</v>
      </c>
      <c r="K37" s="603"/>
      <c r="L37" s="603"/>
      <c r="M37" s="603"/>
      <c r="N37" s="603"/>
      <c r="O37" s="603"/>
      <c r="P37" s="604"/>
    </row>
    <row r="38" spans="1:19" s="458" customFormat="1" ht="3" customHeight="1">
      <c r="A38" s="735"/>
      <c r="B38" s="461"/>
      <c r="C38" s="461"/>
      <c r="I38" s="464"/>
      <c r="J38" s="605"/>
      <c r="K38" s="721"/>
      <c r="L38" s="721"/>
      <c r="M38" s="721"/>
      <c r="N38" s="721"/>
      <c r="O38" s="721"/>
      <c r="P38" s="606"/>
    </row>
    <row r="39" spans="1:19" s="458" customFormat="1" ht="12.75">
      <c r="A39" s="735"/>
      <c r="B39" s="735" t="s">
        <v>3000</v>
      </c>
      <c r="C39" s="461" t="s">
        <v>3710</v>
      </c>
      <c r="F39" s="1439" t="s">
        <v>139</v>
      </c>
      <c r="J39" s="605" t="s">
        <v>1984</v>
      </c>
      <c r="K39" s="721"/>
      <c r="L39" s="792" t="s">
        <v>1985</v>
      </c>
      <c r="M39" s="792"/>
      <c r="N39" s="792"/>
      <c r="O39" s="792"/>
      <c r="P39" s="606"/>
    </row>
    <row r="40" spans="1:19" s="458" customFormat="1" ht="3" customHeight="1">
      <c r="A40" s="735"/>
      <c r="J40" s="605"/>
      <c r="K40" s="733"/>
      <c r="L40" s="721"/>
      <c r="M40" s="733"/>
      <c r="N40" s="733"/>
      <c r="O40" s="733"/>
      <c r="P40" s="607"/>
    </row>
    <row r="41" spans="1:19" s="458" customFormat="1" ht="13.15" customHeight="1">
      <c r="A41" s="735"/>
      <c r="B41" s="735" t="s">
        <v>3112</v>
      </c>
      <c r="C41" s="461" t="s">
        <v>1107</v>
      </c>
      <c r="J41" s="608" t="s">
        <v>2241</v>
      </c>
      <c r="K41" s="609"/>
      <c r="L41" s="795" t="s">
        <v>2137</v>
      </c>
      <c r="M41" s="795"/>
      <c r="N41" s="795"/>
      <c r="O41" s="795"/>
      <c r="P41" s="796"/>
      <c r="Q41" s="719"/>
    </row>
    <row r="42" spans="1:19" ht="13.15" customHeight="1">
      <c r="B42" s="735"/>
      <c r="C42" s="458" t="s">
        <v>3709</v>
      </c>
      <c r="D42" s="458"/>
      <c r="E42" s="458"/>
      <c r="F42" s="483">
        <f>'Part VI-Revenues &amp; Expenses'!$M$75</f>
        <v>64</v>
      </c>
      <c r="J42" s="398"/>
      <c r="L42" s="458"/>
      <c r="Q42" s="719"/>
    </row>
    <row r="43" spans="1:19" s="458" customFormat="1" ht="13.15" customHeight="1">
      <c r="A43" s="735"/>
      <c r="B43" s="735"/>
      <c r="C43" s="464" t="s">
        <v>609</v>
      </c>
      <c r="D43" s="721"/>
      <c r="F43" s="483">
        <f>'Part VI-Revenues &amp; Expenses'!$M$82</f>
        <v>0</v>
      </c>
      <c r="Q43" s="719"/>
    </row>
    <row r="44" spans="1:19" s="458" customFormat="1" ht="13.15" customHeight="1">
      <c r="A44" s="735"/>
      <c r="B44" s="735"/>
      <c r="C44" s="464" t="s">
        <v>578</v>
      </c>
      <c r="D44" s="721"/>
      <c r="F44" s="483">
        <f>'Part VI-Revenues &amp; Expenses'!$M$78</f>
        <v>0</v>
      </c>
      <c r="G44" s="458" t="s">
        <v>580</v>
      </c>
      <c r="L44" s="1551"/>
      <c r="M44" s="482"/>
      <c r="N44" s="482"/>
      <c r="O44" s="482"/>
      <c r="P44" s="482"/>
      <c r="Q44" s="719"/>
    </row>
    <row r="45" spans="1:19" s="458" customFormat="1" ht="13.15" customHeight="1">
      <c r="A45" s="735"/>
      <c r="B45" s="735"/>
      <c r="C45" s="484" t="s">
        <v>579</v>
      </c>
      <c r="F45" s="483">
        <f>'Part VI-Revenues &amp; Expenses'!$M$81</f>
        <v>0</v>
      </c>
      <c r="L45" s="482"/>
    </row>
    <row r="46" spans="1:19" s="458" customFormat="1" ht="13.15" customHeight="1">
      <c r="A46" s="735"/>
      <c r="B46" s="735"/>
      <c r="C46" s="484" t="s">
        <v>610</v>
      </c>
      <c r="F46" s="483">
        <f>'Part VI-Revenues &amp; Expenses'!$M$83</f>
        <v>0</v>
      </c>
      <c r="P46" s="721"/>
    </row>
    <row r="47" spans="1:19" s="458" customFormat="1" ht="3.4" customHeight="1">
      <c r="A47" s="735"/>
      <c r="P47" s="721"/>
    </row>
    <row r="48" spans="1:19" s="458" customFormat="1" ht="13.15" customHeight="1">
      <c r="A48" s="735"/>
      <c r="B48" s="471" t="s">
        <v>1517</v>
      </c>
      <c r="C48" s="470" t="s">
        <v>3403</v>
      </c>
      <c r="D48" s="721"/>
      <c r="I48" s="777" t="s">
        <v>1994</v>
      </c>
      <c r="J48" s="471" t="s">
        <v>3316</v>
      </c>
      <c r="K48" s="485" t="s">
        <v>3539</v>
      </c>
      <c r="M48" s="721"/>
      <c r="N48" s="721"/>
      <c r="O48" s="721"/>
      <c r="P48" s="719"/>
      <c r="Q48" s="719"/>
      <c r="R48" s="719"/>
      <c r="S48" s="721"/>
    </row>
    <row r="49" spans="1:16" s="458" customFormat="1" ht="13.15" customHeight="1">
      <c r="A49" s="735"/>
      <c r="B49" s="716"/>
      <c r="C49" s="468" t="s">
        <v>3404</v>
      </c>
      <c r="D49" s="721"/>
      <c r="E49" s="721"/>
      <c r="H49" s="486">
        <f>SUM(H50:H51)</f>
        <v>64</v>
      </c>
      <c r="I49" s="778"/>
      <c r="J49" s="735"/>
      <c r="K49" s="468" t="s">
        <v>3540</v>
      </c>
      <c r="M49" s="721"/>
      <c r="N49" s="721"/>
      <c r="O49" s="721"/>
      <c r="P49" s="486">
        <f>'Part VI-Revenues &amp; Expenses'!$M$94</f>
        <v>66464</v>
      </c>
    </row>
    <row r="50" spans="1:16" s="458" customFormat="1" ht="13.15" customHeight="1">
      <c r="A50" s="735"/>
      <c r="B50" s="482"/>
      <c r="D50" s="487" t="s">
        <v>496</v>
      </c>
      <c r="E50" s="487"/>
      <c r="H50" s="486">
        <f>'Part VI-Revenues &amp; Expenses'!$M$58</f>
        <v>13</v>
      </c>
      <c r="I50" s="486">
        <f>'Part VI-Revenues &amp; Expenses'!$M$66</f>
        <v>0</v>
      </c>
      <c r="K50" s="468" t="s">
        <v>566</v>
      </c>
      <c r="M50" s="721"/>
      <c r="N50" s="721"/>
      <c r="O50" s="721"/>
      <c r="P50" s="486">
        <f>'Part VI-Revenues &amp; Expenses'!$M$95</f>
        <v>0</v>
      </c>
    </row>
    <row r="51" spans="1:16" s="458" customFormat="1" ht="13.15" customHeight="1">
      <c r="A51" s="735"/>
      <c r="D51" s="487" t="s">
        <v>2882</v>
      </c>
      <c r="E51" s="487"/>
      <c r="H51" s="486">
        <f>'Part VI-Revenues &amp; Expenses'!$M$57</f>
        <v>51</v>
      </c>
      <c r="I51" s="486">
        <f>'Part VI-Revenues &amp; Expenses'!$M$65</f>
        <v>0</v>
      </c>
      <c r="K51" s="468" t="s">
        <v>3618</v>
      </c>
      <c r="M51" s="721"/>
      <c r="N51" s="721"/>
      <c r="O51" s="721"/>
      <c r="P51" s="486">
        <f>+P49+P50</f>
        <v>66464</v>
      </c>
    </row>
    <row r="52" spans="1:16" s="458" customFormat="1" ht="13.15" customHeight="1">
      <c r="A52" s="735"/>
      <c r="C52" s="468" t="s">
        <v>567</v>
      </c>
      <c r="D52" s="721"/>
      <c r="E52" s="721"/>
      <c r="H52" s="486">
        <f>'Part VI-Revenues &amp; Expenses'!$M$60</f>
        <v>0</v>
      </c>
      <c r="J52" s="735"/>
      <c r="K52" s="468" t="s">
        <v>2271</v>
      </c>
      <c r="M52" s="721"/>
      <c r="N52" s="721"/>
      <c r="O52" s="721"/>
      <c r="P52" s="486">
        <f>'Part VI-Revenues &amp; Expenses'!$M$97</f>
        <v>0</v>
      </c>
    </row>
    <row r="53" spans="1:16" s="458" customFormat="1" ht="13.15" customHeight="1">
      <c r="A53" s="735"/>
      <c r="C53" s="468" t="s">
        <v>3781</v>
      </c>
      <c r="D53" s="721"/>
      <c r="E53" s="721"/>
      <c r="H53" s="486">
        <f>+H49+H52</f>
        <v>64</v>
      </c>
      <c r="J53" s="735"/>
      <c r="K53" s="468" t="s">
        <v>1996</v>
      </c>
      <c r="M53" s="721"/>
      <c r="N53" s="721"/>
      <c r="O53" s="721"/>
      <c r="P53" s="486">
        <f>+P51+P52</f>
        <v>66464</v>
      </c>
    </row>
    <row r="54" spans="1:16" s="458" customFormat="1" ht="13.15" customHeight="1">
      <c r="A54" s="735"/>
      <c r="C54" s="468" t="s">
        <v>3773</v>
      </c>
      <c r="D54" s="721"/>
      <c r="E54" s="721"/>
      <c r="H54" s="486">
        <f>'Part VI-Revenues &amp; Expenses'!$M$62</f>
        <v>0</v>
      </c>
      <c r="J54" s="735"/>
    </row>
    <row r="55" spans="1:16" s="458" customFormat="1" ht="13.15" customHeight="1">
      <c r="A55" s="735"/>
      <c r="C55" s="468" t="s">
        <v>2951</v>
      </c>
      <c r="D55" s="721"/>
      <c r="E55" s="721"/>
      <c r="H55" s="486">
        <f>+H53+H54</f>
        <v>64</v>
      </c>
      <c r="J55" s="721"/>
    </row>
    <row r="56" spans="1:16" s="458" customFormat="1" ht="3" customHeight="1">
      <c r="A56" s="735"/>
      <c r="I56" s="719"/>
      <c r="L56" s="719"/>
      <c r="M56" s="719"/>
      <c r="N56" s="721"/>
      <c r="P56" s="469"/>
    </row>
    <row r="57" spans="1:16" s="458" customFormat="1" ht="13.15" customHeight="1">
      <c r="A57" s="735"/>
      <c r="B57" s="735" t="s">
        <v>2901</v>
      </c>
      <c r="C57" s="470" t="s">
        <v>3711</v>
      </c>
      <c r="D57" s="487" t="s">
        <v>3121</v>
      </c>
      <c r="G57" s="721"/>
      <c r="H57" s="1552">
        <v>3</v>
      </c>
      <c r="K57" s="468" t="s">
        <v>1765</v>
      </c>
      <c r="O57" s="721"/>
      <c r="P57" s="1552">
        <v>1949</v>
      </c>
    </row>
    <row r="58" spans="1:16" s="458" customFormat="1" ht="13.15" customHeight="1">
      <c r="A58" s="735"/>
      <c r="B58" s="735"/>
      <c r="D58" s="716" t="s">
        <v>3122</v>
      </c>
      <c r="H58" s="1552">
        <v>1</v>
      </c>
      <c r="I58" s="721"/>
      <c r="K58" s="468" t="s">
        <v>369</v>
      </c>
      <c r="O58" s="721"/>
      <c r="P58" s="486">
        <f>+P53+P57</f>
        <v>68413</v>
      </c>
    </row>
    <row r="59" spans="1:16" s="458" customFormat="1" ht="13.15" customHeight="1">
      <c r="A59" s="735"/>
      <c r="B59" s="735"/>
      <c r="D59" s="716" t="s">
        <v>3123</v>
      </c>
      <c r="H59" s="486">
        <f>+H57+H58</f>
        <v>4</v>
      </c>
      <c r="I59" s="721"/>
    </row>
    <row r="60" spans="1:16" s="458" customFormat="1" ht="3" customHeight="1">
      <c r="A60" s="735"/>
      <c r="B60" s="735"/>
      <c r="C60" s="721"/>
      <c r="D60" s="721"/>
      <c r="E60" s="721"/>
      <c r="F60" s="721"/>
      <c r="G60" s="719"/>
      <c r="I60" s="468"/>
      <c r="J60" s="721"/>
      <c r="P60" s="469"/>
    </row>
    <row r="61" spans="1:16" s="458" customFormat="1" ht="13.15" customHeight="1">
      <c r="A61" s="735"/>
      <c r="B61" s="735" t="s">
        <v>2902</v>
      </c>
      <c r="C61" s="470" t="s">
        <v>1108</v>
      </c>
      <c r="D61" s="721"/>
      <c r="E61" s="721"/>
      <c r="F61" s="721"/>
      <c r="G61" s="721"/>
      <c r="H61" s="1552">
        <v>128</v>
      </c>
    </row>
    <row r="62" spans="1:16" s="458" customFormat="1" ht="9" customHeight="1">
      <c r="A62" s="735"/>
      <c r="B62" s="735"/>
      <c r="C62" s="468"/>
      <c r="D62" s="721"/>
      <c r="E62" s="721"/>
      <c r="F62" s="721"/>
      <c r="G62" s="719"/>
      <c r="H62" s="721"/>
      <c r="I62" s="468"/>
      <c r="J62" s="468"/>
      <c r="K62" s="721"/>
      <c r="P62" s="469"/>
    </row>
    <row r="63" spans="1:16" s="458" customFormat="1" ht="13.15" customHeight="1">
      <c r="A63" s="735" t="s">
        <v>973</v>
      </c>
      <c r="C63" s="488" t="s">
        <v>1841</v>
      </c>
      <c r="D63" s="488"/>
      <c r="E63" s="488"/>
      <c r="F63" s="721"/>
      <c r="G63" s="719"/>
      <c r="K63" s="721"/>
      <c r="P63" s="469"/>
    </row>
    <row r="64" spans="1:16" s="458" customFormat="1" ht="3" customHeight="1">
      <c r="A64" s="735"/>
      <c r="C64" s="715"/>
      <c r="D64" s="715"/>
      <c r="E64" s="715"/>
      <c r="F64" s="721"/>
      <c r="G64" s="719"/>
      <c r="K64" s="721"/>
      <c r="P64" s="469"/>
    </row>
    <row r="65" spans="1:16" s="458" customFormat="1" ht="13.15" customHeight="1">
      <c r="A65" s="735"/>
      <c r="B65" s="735" t="s">
        <v>3000</v>
      </c>
      <c r="C65" s="395" t="s">
        <v>2416</v>
      </c>
      <c r="D65" s="715"/>
      <c r="E65" s="715"/>
      <c r="F65" s="721"/>
      <c r="G65" s="719"/>
      <c r="H65" s="1553" t="s">
        <v>4030</v>
      </c>
      <c r="I65" s="1554"/>
      <c r="K65" s="776" t="s">
        <v>2804</v>
      </c>
      <c r="L65" s="776"/>
      <c r="N65" s="1442"/>
      <c r="O65" s="1443"/>
      <c r="P65" s="1444"/>
    </row>
    <row r="66" spans="1:16" s="458" customFormat="1" ht="3" customHeight="1">
      <c r="A66" s="735"/>
      <c r="B66" s="735"/>
      <c r="D66" s="716"/>
      <c r="E66" s="716"/>
      <c r="F66" s="716"/>
      <c r="G66" s="716"/>
      <c r="I66" s="719"/>
      <c r="K66" s="714"/>
      <c r="L66" s="714"/>
      <c r="M66" s="719"/>
      <c r="N66" s="721"/>
      <c r="P66" s="469"/>
    </row>
    <row r="67" spans="1:16" s="458" customFormat="1" ht="13.15" customHeight="1">
      <c r="A67" s="735"/>
      <c r="B67" s="735" t="s">
        <v>3112</v>
      </c>
      <c r="C67" s="470" t="s">
        <v>2152</v>
      </c>
      <c r="D67" s="721"/>
      <c r="E67" s="487"/>
      <c r="G67" s="489" t="s">
        <v>1371</v>
      </c>
      <c r="H67" s="1552">
        <v>4</v>
      </c>
      <c r="K67" s="776" t="s">
        <v>859</v>
      </c>
      <c r="L67" s="776"/>
      <c r="P67" s="490">
        <f>IF('Part VI-Revenues &amp; Expenses'!$M$63=0,0,$H67/'Part VI-Revenues &amp; Expenses'!$M$63)</f>
        <v>6.25E-2</v>
      </c>
    </row>
    <row r="68" spans="1:16" s="458" customFormat="1" ht="3" customHeight="1">
      <c r="A68" s="735"/>
      <c r="B68" s="735"/>
      <c r="D68" s="716"/>
      <c r="E68" s="716"/>
      <c r="F68" s="716"/>
      <c r="G68" s="716"/>
      <c r="I68" s="719"/>
      <c r="K68" s="714"/>
      <c r="L68" s="714"/>
      <c r="M68" s="719"/>
      <c r="P68" s="719"/>
    </row>
    <row r="69" spans="1:16" s="458" customFormat="1" ht="13.15" customHeight="1">
      <c r="A69" s="735"/>
      <c r="B69" s="735" t="s">
        <v>1517</v>
      </c>
      <c r="C69" s="470" t="s">
        <v>3030</v>
      </c>
      <c r="D69" s="487"/>
      <c r="E69" s="487"/>
      <c r="G69" s="489" t="s">
        <v>1371</v>
      </c>
      <c r="H69" s="1552">
        <v>2</v>
      </c>
      <c r="K69" s="776" t="s">
        <v>859</v>
      </c>
      <c r="L69" s="776"/>
      <c r="P69" s="490">
        <f>IF('Part VI-Revenues &amp; Expenses'!$M$63=0,0,$H69/'Part VI-Revenues &amp; Expenses'!$M$63)</f>
        <v>3.125E-2</v>
      </c>
    </row>
    <row r="70" spans="1:16" s="458" customFormat="1" ht="3" customHeight="1">
      <c r="A70" s="735"/>
      <c r="B70" s="735"/>
      <c r="D70" s="716"/>
      <c r="E70" s="716"/>
      <c r="F70" s="716"/>
      <c r="G70" s="716"/>
      <c r="I70" s="719"/>
      <c r="K70" s="714"/>
      <c r="L70" s="714"/>
      <c r="M70" s="719"/>
      <c r="P70" s="719"/>
    </row>
    <row r="71" spans="1:16" s="458" customFormat="1" ht="13.15" customHeight="1">
      <c r="A71" s="735"/>
      <c r="B71" s="735" t="s">
        <v>3316</v>
      </c>
      <c r="C71" s="470" t="s">
        <v>1971</v>
      </c>
      <c r="D71" s="487"/>
      <c r="E71" s="487"/>
      <c r="G71" s="489" t="s">
        <v>1972</v>
      </c>
      <c r="H71" s="1552">
        <v>0</v>
      </c>
      <c r="K71" s="776" t="s">
        <v>859</v>
      </c>
      <c r="L71" s="776"/>
      <c r="P71" s="490">
        <f>IF('Part VI-Revenues &amp; Expenses'!$M$63=0,0,$H71/'Part VI-Revenues &amp; Expenses'!$M$63)</f>
        <v>0</v>
      </c>
    </row>
    <row r="72" spans="1:16" s="458" customFormat="1" ht="9" customHeight="1">
      <c r="A72" s="735"/>
      <c r="B72" s="735"/>
      <c r="D72" s="716"/>
      <c r="E72" s="716"/>
      <c r="F72" s="716"/>
      <c r="G72" s="716"/>
      <c r="I72" s="719"/>
      <c r="J72" s="719"/>
      <c r="K72" s="719"/>
      <c r="L72" s="719"/>
      <c r="M72" s="719"/>
      <c r="N72" s="721"/>
      <c r="P72" s="469"/>
    </row>
    <row r="73" spans="1:16" s="458" customFormat="1" ht="13.15" customHeight="1">
      <c r="A73" s="491" t="s">
        <v>1708</v>
      </c>
      <c r="B73" s="735"/>
      <c r="C73" s="715" t="s">
        <v>3691</v>
      </c>
      <c r="D73" s="716"/>
      <c r="E73" s="716"/>
      <c r="F73" s="716"/>
      <c r="G73" s="716"/>
      <c r="H73" s="716"/>
      <c r="I73" s="719"/>
      <c r="M73" s="719"/>
      <c r="N73" s="721"/>
      <c r="P73" s="469"/>
    </row>
    <row r="74" spans="1:16" s="458" customFormat="1" ht="3" customHeight="1">
      <c r="A74" s="735"/>
      <c r="B74" s="735"/>
      <c r="C74" s="715"/>
      <c r="D74" s="716"/>
      <c r="E74" s="716"/>
      <c r="F74" s="716"/>
      <c r="L74" s="719"/>
      <c r="M74" s="719"/>
      <c r="N74" s="721"/>
      <c r="P74" s="469"/>
    </row>
    <row r="75" spans="1:16" s="458" customFormat="1" ht="13.15" customHeight="1">
      <c r="A75" s="735"/>
      <c r="B75" s="735" t="s">
        <v>3000</v>
      </c>
      <c r="C75" s="395" t="s">
        <v>3690</v>
      </c>
      <c r="D75" s="716"/>
      <c r="E75" s="716"/>
      <c r="F75" s="716"/>
      <c r="H75" s="1555" t="s">
        <v>1474</v>
      </c>
      <c r="I75" s="1556"/>
      <c r="J75" s="1557"/>
      <c r="M75" s="719"/>
      <c r="N75" s="721"/>
      <c r="P75" s="469"/>
    </row>
    <row r="76" spans="1:16" s="458" customFormat="1" ht="3" customHeight="1">
      <c r="A76" s="735"/>
      <c r="B76" s="735"/>
      <c r="D76" s="716"/>
      <c r="E76" s="716"/>
      <c r="F76" s="716"/>
      <c r="G76" s="716"/>
      <c r="I76" s="719"/>
      <c r="J76" s="719"/>
      <c r="K76" s="719"/>
      <c r="L76" s="719"/>
      <c r="M76" s="719"/>
      <c r="N76" s="721"/>
      <c r="P76" s="469"/>
    </row>
    <row r="77" spans="1:16" s="458" customFormat="1" ht="13.15" customHeight="1">
      <c r="B77" s="735" t="s">
        <v>3112</v>
      </c>
      <c r="C77" s="461" t="s">
        <v>2556</v>
      </c>
      <c r="K77" s="464" t="s">
        <v>1473</v>
      </c>
      <c r="N77" s="492"/>
      <c r="P77" s="1439"/>
    </row>
    <row r="78" spans="1:16" s="458" customFormat="1" ht="9" customHeight="1">
      <c r="A78" s="735"/>
      <c r="B78" s="735"/>
      <c r="C78" s="461"/>
      <c r="D78" s="716"/>
      <c r="E78" s="716"/>
      <c r="F78" s="716"/>
      <c r="G78" s="716"/>
      <c r="I78" s="719"/>
      <c r="J78" s="719"/>
      <c r="K78" s="719"/>
      <c r="L78" s="719"/>
      <c r="M78" s="719"/>
      <c r="N78" s="721"/>
      <c r="P78" s="469"/>
    </row>
    <row r="79" spans="1:16" s="458" customFormat="1" ht="13.15" customHeight="1">
      <c r="A79" s="491" t="s">
        <v>642</v>
      </c>
      <c r="B79" s="735"/>
      <c r="C79" s="715" t="s">
        <v>3187</v>
      </c>
      <c r="D79" s="716"/>
      <c r="E79" s="716"/>
      <c r="F79" s="716"/>
      <c r="G79" s="716"/>
      <c r="H79" s="716"/>
      <c r="I79" s="719"/>
      <c r="M79" s="719"/>
      <c r="N79" s="721"/>
      <c r="P79" s="469"/>
    </row>
    <row r="80" spans="1:16" s="458" customFormat="1" ht="3" customHeight="1">
      <c r="A80" s="735"/>
      <c r="B80" s="735"/>
      <c r="D80" s="716"/>
      <c r="E80" s="716"/>
      <c r="F80" s="716"/>
      <c r="G80" s="716"/>
      <c r="I80" s="719"/>
      <c r="J80" s="719"/>
      <c r="K80" s="719"/>
      <c r="L80" s="719"/>
      <c r="M80" s="719"/>
      <c r="N80" s="721"/>
      <c r="P80" s="469"/>
    </row>
    <row r="81" spans="1:16" s="458" customFormat="1" ht="13.15" customHeight="1">
      <c r="B81" s="735"/>
      <c r="C81" s="461"/>
      <c r="E81" s="1439" t="s">
        <v>139</v>
      </c>
      <c r="F81" s="487" t="s">
        <v>3913</v>
      </c>
      <c r="H81" s="1439" t="s">
        <v>3834</v>
      </c>
      <c r="I81" s="714" t="s">
        <v>3995</v>
      </c>
      <c r="K81" s="1439" t="s">
        <v>139</v>
      </c>
      <c r="L81" s="458" t="s">
        <v>291</v>
      </c>
    </row>
    <row r="82" spans="1:16" s="458" customFormat="1" ht="13.15" customHeight="1">
      <c r="A82" s="735"/>
      <c r="B82" s="735"/>
      <c r="D82" s="480"/>
      <c r="E82" s="1439" t="s">
        <v>139</v>
      </c>
      <c r="F82" s="714" t="s">
        <v>902</v>
      </c>
      <c r="H82" s="1439" t="s">
        <v>139</v>
      </c>
      <c r="I82" s="716" t="s">
        <v>3274</v>
      </c>
      <c r="K82" s="1439" t="s">
        <v>139</v>
      </c>
      <c r="L82" s="458" t="s">
        <v>400</v>
      </c>
    </row>
    <row r="83" spans="1:16" s="458" customFormat="1" ht="9" customHeight="1">
      <c r="A83" s="735"/>
      <c r="B83" s="735"/>
      <c r="D83" s="480"/>
      <c r="E83" s="721"/>
      <c r="I83" s="480"/>
      <c r="J83" s="468"/>
      <c r="K83" s="721"/>
      <c r="P83" s="469"/>
    </row>
    <row r="84" spans="1:16" s="458" customFormat="1" ht="13.15" customHeight="1">
      <c r="A84" s="491" t="s">
        <v>672</v>
      </c>
      <c r="B84" s="735"/>
      <c r="C84" s="485" t="s">
        <v>1839</v>
      </c>
      <c r="D84" s="721"/>
      <c r="E84" s="721"/>
      <c r="F84" s="721"/>
      <c r="G84" s="721"/>
      <c r="H84" s="721"/>
      <c r="I84" s="480"/>
      <c r="J84" s="468"/>
      <c r="K84" s="721"/>
      <c r="P84" s="469"/>
    </row>
    <row r="85" spans="1:16" s="458" customFormat="1" ht="3" customHeight="1">
      <c r="A85" s="491"/>
      <c r="B85" s="735"/>
      <c r="C85" s="485"/>
      <c r="D85" s="721"/>
      <c r="E85" s="721"/>
      <c r="F85" s="721"/>
      <c r="G85" s="721"/>
      <c r="H85" s="721"/>
      <c r="I85" s="480"/>
      <c r="J85" s="468"/>
      <c r="K85" s="721"/>
    </row>
    <row r="86" spans="1:16" s="458" customFormat="1" ht="13.15" customHeight="1">
      <c r="A86" s="735"/>
      <c r="B86" s="735"/>
      <c r="C86" s="468" t="s">
        <v>888</v>
      </c>
      <c r="D86" s="721"/>
      <c r="E86" s="1442"/>
      <c r="F86" s="1443"/>
      <c r="G86" s="1443"/>
      <c r="H86" s="1443"/>
      <c r="I86" s="1443"/>
      <c r="J86" s="1443"/>
      <c r="K86" s="1443"/>
      <c r="L86" s="1444"/>
      <c r="M86" s="789" t="s">
        <v>1085</v>
      </c>
      <c r="N86" s="789"/>
      <c r="O86" s="1558"/>
      <c r="P86" s="1559"/>
    </row>
    <row r="87" spans="1:16" s="458" customFormat="1" ht="13.15" customHeight="1">
      <c r="C87" s="464" t="s">
        <v>1670</v>
      </c>
      <c r="D87" s="472"/>
      <c r="E87" s="1442"/>
      <c r="F87" s="1443"/>
      <c r="G87" s="1443"/>
      <c r="H87" s="1443"/>
      <c r="I87" s="1443"/>
      <c r="J87" s="1443"/>
      <c r="K87" s="1443"/>
      <c r="L87" s="1444"/>
      <c r="M87" s="789" t="s">
        <v>1384</v>
      </c>
      <c r="N87" s="789"/>
      <c r="O87" s="1480"/>
      <c r="P87" s="1482"/>
    </row>
    <row r="88" spans="1:16" s="458" customFormat="1" ht="13.15" customHeight="1">
      <c r="C88" s="464" t="s">
        <v>1033</v>
      </c>
      <c r="E88" s="1442"/>
      <c r="F88" s="1190"/>
      <c r="G88" s="1191"/>
      <c r="H88" s="713" t="s">
        <v>3068</v>
      </c>
      <c r="I88" s="1439"/>
      <c r="J88" s="493" t="s">
        <v>3562</v>
      </c>
      <c r="K88" s="1476"/>
      <c r="L88" s="1191"/>
      <c r="M88" s="418"/>
      <c r="N88" s="418"/>
      <c r="O88" s="418"/>
      <c r="P88" s="418"/>
    </row>
    <row r="89" spans="1:16" s="458" customFormat="1" ht="13.15" customHeight="1">
      <c r="C89" s="458" t="s">
        <v>3180</v>
      </c>
      <c r="E89" s="1442"/>
      <c r="F89" s="1190"/>
      <c r="G89" s="1191"/>
      <c r="H89" s="719" t="s">
        <v>2997</v>
      </c>
      <c r="I89" s="1442"/>
      <c r="J89" s="1190"/>
      <c r="K89" s="1191"/>
      <c r="L89" s="732" t="s">
        <v>3110</v>
      </c>
      <c r="M89" s="1442"/>
      <c r="N89" s="1190"/>
      <c r="O89" s="1190"/>
      <c r="P89" s="1191"/>
    </row>
    <row r="90" spans="1:16" s="458" customFormat="1" ht="13.15" customHeight="1">
      <c r="C90" s="464" t="s">
        <v>3179</v>
      </c>
      <c r="E90" s="1473"/>
      <c r="F90" s="1474"/>
      <c r="G90" s="1475"/>
      <c r="H90" s="719" t="s">
        <v>2958</v>
      </c>
      <c r="I90" s="1479"/>
      <c r="J90" s="1191"/>
      <c r="K90" s="493" t="s">
        <v>2959</v>
      </c>
      <c r="L90" s="1479"/>
      <c r="M90" s="1191"/>
      <c r="N90" s="493" t="s">
        <v>2996</v>
      </c>
      <c r="O90" s="1479"/>
      <c r="P90" s="1191"/>
    </row>
    <row r="91" spans="1:16" s="458" customFormat="1" ht="3" customHeight="1">
      <c r="A91" s="735"/>
      <c r="B91" s="735"/>
      <c r="G91" s="480"/>
      <c r="H91" s="719"/>
      <c r="I91" s="719"/>
      <c r="M91" s="469"/>
    </row>
    <row r="92" spans="1:16" s="458" customFormat="1" ht="13.15" customHeight="1">
      <c r="A92" s="491" t="s">
        <v>601</v>
      </c>
      <c r="B92" s="735"/>
      <c r="C92" s="715" t="s">
        <v>2526</v>
      </c>
      <c r="D92" s="480"/>
      <c r="E92" s="480"/>
      <c r="F92" s="719"/>
      <c r="G92" s="719"/>
      <c r="H92" s="719"/>
      <c r="I92" s="719"/>
      <c r="J92" s="480"/>
      <c r="K92" s="719"/>
      <c r="L92" s="719"/>
      <c r="N92" s="721"/>
      <c r="O92" s="721"/>
      <c r="P92" s="469"/>
    </row>
    <row r="93" spans="1:16" s="458" customFormat="1" ht="3.4" customHeight="1">
      <c r="A93" s="491"/>
      <c r="B93" s="735"/>
      <c r="C93" s="715"/>
      <c r="D93" s="480"/>
      <c r="E93" s="480"/>
      <c r="F93" s="719"/>
      <c r="G93" s="719"/>
      <c r="H93" s="719"/>
      <c r="I93" s="719"/>
      <c r="J93" s="480"/>
      <c r="K93" s="719"/>
      <c r="L93" s="719"/>
      <c r="N93" s="721"/>
      <c r="O93" s="721"/>
      <c r="P93" s="469"/>
    </row>
    <row r="94" spans="1:16" s="458" customFormat="1" ht="13.15" customHeight="1">
      <c r="C94" s="487" t="s">
        <v>3361</v>
      </c>
      <c r="D94" s="494"/>
      <c r="E94" s="494"/>
      <c r="F94" s="494"/>
      <c r="G94" s="494"/>
      <c r="H94" s="494"/>
      <c r="I94" s="494"/>
      <c r="J94" s="494"/>
      <c r="K94" s="494"/>
      <c r="L94" s="494"/>
      <c r="M94" s="494"/>
      <c r="N94" s="494"/>
      <c r="O94" s="494"/>
      <c r="P94" s="494"/>
    </row>
    <row r="95" spans="1:16" s="458" customFormat="1" ht="4.9000000000000004" customHeight="1">
      <c r="A95" s="735"/>
      <c r="B95" s="735"/>
      <c r="C95" s="495"/>
      <c r="D95" s="495"/>
      <c r="E95" s="495"/>
      <c r="F95" s="495"/>
      <c r="G95" s="495"/>
      <c r="H95" s="495"/>
      <c r="I95" s="495"/>
      <c r="J95" s="495"/>
      <c r="K95" s="495"/>
      <c r="L95" s="495"/>
      <c r="M95" s="495"/>
      <c r="N95" s="495"/>
      <c r="O95" s="495"/>
      <c r="P95" s="495"/>
    </row>
    <row r="96" spans="1:16" s="458" customFormat="1" ht="13.15" customHeight="1">
      <c r="A96" s="735"/>
      <c r="B96" s="735" t="s">
        <v>3000</v>
      </c>
      <c r="C96" s="715" t="s">
        <v>2153</v>
      </c>
      <c r="D96" s="716"/>
      <c r="E96" s="716"/>
      <c r="F96" s="719"/>
      <c r="G96" s="719"/>
      <c r="H96" s="1477">
        <v>1</v>
      </c>
      <c r="N96" s="721"/>
      <c r="O96" s="721"/>
    </row>
    <row r="97" spans="1:16" s="458" customFormat="1" ht="3.4" customHeight="1">
      <c r="A97" s="735"/>
      <c r="B97" s="735"/>
      <c r="C97" s="495"/>
      <c r="D97" s="495"/>
      <c r="E97" s="495"/>
      <c r="F97" s="495"/>
      <c r="G97" s="495"/>
      <c r="H97" s="495"/>
      <c r="J97" s="495"/>
      <c r="M97" s="495"/>
      <c r="N97" s="495"/>
      <c r="O97" s="495"/>
    </row>
    <row r="98" spans="1:16" s="458" customFormat="1" ht="13.15" customHeight="1">
      <c r="A98" s="735"/>
      <c r="B98" s="735" t="s">
        <v>3112</v>
      </c>
      <c r="C98" s="715" t="s">
        <v>653</v>
      </c>
      <c r="D98" s="716"/>
      <c r="E98" s="716"/>
      <c r="F98" s="719"/>
      <c r="G98" s="719"/>
      <c r="H98" s="1560">
        <v>752409</v>
      </c>
      <c r="J98" s="480"/>
      <c r="K98" s="714"/>
      <c r="N98" s="721"/>
    </row>
    <row r="99" spans="1:16" s="458" customFormat="1" ht="3.4" customHeight="1">
      <c r="A99" s="735"/>
      <c r="B99" s="735"/>
      <c r="C99" s="495"/>
      <c r="D99" s="495"/>
      <c r="E99" s="495"/>
      <c r="F99" s="495"/>
      <c r="G99" s="495"/>
      <c r="H99" s="495"/>
      <c r="I99" s="495"/>
      <c r="J99" s="495"/>
      <c r="K99" s="495"/>
      <c r="M99" s="495"/>
      <c r="N99" s="495"/>
      <c r="O99" s="495"/>
      <c r="P99" s="495"/>
    </row>
    <row r="100" spans="1:16" s="458" customFormat="1" ht="13.15" customHeight="1">
      <c r="B100" s="735" t="s">
        <v>1517</v>
      </c>
      <c r="C100" s="715" t="s">
        <v>528</v>
      </c>
      <c r="D100" s="716"/>
      <c r="E100" s="716"/>
      <c r="F100" s="719"/>
      <c r="G100" s="719"/>
      <c r="H100" s="719"/>
      <c r="I100" s="719"/>
      <c r="J100" s="480"/>
      <c r="K100" s="719"/>
      <c r="L100" s="719"/>
      <c r="N100" s="721"/>
      <c r="O100" s="721"/>
    </row>
    <row r="101" spans="1:16" s="458" customFormat="1" ht="13.15" customHeight="1">
      <c r="B101" s="735"/>
      <c r="C101" s="716" t="s">
        <v>3379</v>
      </c>
      <c r="D101" s="716"/>
      <c r="F101" s="716" t="s">
        <v>1783</v>
      </c>
      <c r="G101" s="719"/>
      <c r="H101" s="719"/>
      <c r="I101" s="719"/>
      <c r="J101" s="716" t="s">
        <v>3379</v>
      </c>
      <c r="K101" s="716"/>
      <c r="M101" s="716" t="s">
        <v>1783</v>
      </c>
      <c r="N101" s="719"/>
      <c r="O101" s="719"/>
      <c r="P101" s="719"/>
    </row>
    <row r="102" spans="1:16" s="458" customFormat="1" ht="13.15" customHeight="1">
      <c r="A102" s="735"/>
      <c r="B102" s="735"/>
      <c r="C102" s="1561" t="s">
        <v>4034</v>
      </c>
      <c r="D102" s="1562"/>
      <c r="E102" s="1562"/>
      <c r="F102" s="1562" t="s">
        <v>4036</v>
      </c>
      <c r="G102" s="1562"/>
      <c r="H102" s="1562"/>
      <c r="I102" s="1563"/>
      <c r="J102" s="1561">
        <v>8</v>
      </c>
      <c r="K102" s="1562"/>
      <c r="L102" s="1562"/>
      <c r="M102" s="1562"/>
      <c r="N102" s="1562"/>
      <c r="O102" s="1562"/>
      <c r="P102" s="1563"/>
    </row>
    <row r="103" spans="1:16" s="458" customFormat="1" ht="13.15" customHeight="1">
      <c r="A103" s="735"/>
      <c r="B103" s="735"/>
      <c r="C103" s="1564" t="s">
        <v>4094</v>
      </c>
      <c r="D103" s="1565"/>
      <c r="E103" s="1565"/>
      <c r="F103" s="1565" t="s">
        <v>4095</v>
      </c>
      <c r="G103" s="1565"/>
      <c r="H103" s="1565"/>
      <c r="I103" s="1566"/>
      <c r="J103" s="1564">
        <v>9</v>
      </c>
      <c r="K103" s="1565"/>
      <c r="L103" s="1565"/>
      <c r="M103" s="1565"/>
      <c r="N103" s="1565"/>
      <c r="O103" s="1565"/>
      <c r="P103" s="1566"/>
    </row>
    <row r="104" spans="1:16" s="458" customFormat="1" ht="13.15" customHeight="1">
      <c r="A104" s="735"/>
      <c r="B104" s="735"/>
      <c r="C104" s="1564" t="s">
        <v>4035</v>
      </c>
      <c r="D104" s="1565"/>
      <c r="E104" s="1565"/>
      <c r="F104" s="1565" t="s">
        <v>4036</v>
      </c>
      <c r="G104" s="1565"/>
      <c r="H104" s="1565"/>
      <c r="I104" s="1566"/>
      <c r="J104" s="1564">
        <v>10</v>
      </c>
      <c r="K104" s="1565"/>
      <c r="L104" s="1565"/>
      <c r="M104" s="1565"/>
      <c r="N104" s="1565"/>
      <c r="O104" s="1565"/>
      <c r="P104" s="1566"/>
    </row>
    <row r="105" spans="1:16" s="458" customFormat="1" ht="13.15" customHeight="1">
      <c r="A105" s="735"/>
      <c r="B105" s="735"/>
      <c r="C105" s="1564" t="s">
        <v>4096</v>
      </c>
      <c r="D105" s="1565"/>
      <c r="E105" s="1565"/>
      <c r="F105" s="1565" t="s">
        <v>4095</v>
      </c>
      <c r="G105" s="1565"/>
      <c r="H105" s="1565"/>
      <c r="I105" s="1566"/>
      <c r="J105" s="1564">
        <v>11</v>
      </c>
      <c r="K105" s="1565"/>
      <c r="L105" s="1565"/>
      <c r="M105" s="1565"/>
      <c r="N105" s="1565"/>
      <c r="O105" s="1565"/>
      <c r="P105" s="1566"/>
    </row>
    <row r="106" spans="1:16" s="458" customFormat="1" ht="13.15" customHeight="1">
      <c r="A106" s="735"/>
      <c r="B106" s="735"/>
      <c r="C106" s="1564">
        <v>5</v>
      </c>
      <c r="D106" s="1565"/>
      <c r="E106" s="1565"/>
      <c r="F106" s="1565"/>
      <c r="G106" s="1565"/>
      <c r="H106" s="1565"/>
      <c r="I106" s="1566"/>
      <c r="J106" s="1564">
        <v>12</v>
      </c>
      <c r="K106" s="1565"/>
      <c r="L106" s="1565"/>
      <c r="M106" s="1565"/>
      <c r="N106" s="1565"/>
      <c r="O106" s="1565"/>
      <c r="P106" s="1566"/>
    </row>
    <row r="107" spans="1:16" s="458" customFormat="1" ht="13.15" customHeight="1">
      <c r="A107" s="735"/>
      <c r="B107" s="735"/>
      <c r="C107" s="1564">
        <v>6</v>
      </c>
      <c r="D107" s="1565"/>
      <c r="E107" s="1565"/>
      <c r="F107" s="1565"/>
      <c r="G107" s="1565"/>
      <c r="H107" s="1565"/>
      <c r="I107" s="1566"/>
      <c r="J107" s="1564">
        <v>13</v>
      </c>
      <c r="K107" s="1565"/>
      <c r="L107" s="1565"/>
      <c r="M107" s="1565"/>
      <c r="N107" s="1565"/>
      <c r="O107" s="1565"/>
      <c r="P107" s="1566"/>
    </row>
    <row r="108" spans="1:16" s="458" customFormat="1" ht="13.15" customHeight="1">
      <c r="A108" s="735"/>
      <c r="B108" s="735"/>
      <c r="C108" s="1567">
        <v>7</v>
      </c>
      <c r="D108" s="1568"/>
      <c r="E108" s="1568"/>
      <c r="F108" s="1568"/>
      <c r="G108" s="1568"/>
      <c r="H108" s="1568"/>
      <c r="I108" s="1569"/>
      <c r="J108" s="1567">
        <v>14</v>
      </c>
      <c r="K108" s="1568"/>
      <c r="L108" s="1568"/>
      <c r="M108" s="1568"/>
      <c r="N108" s="1568"/>
      <c r="O108" s="1568"/>
      <c r="P108" s="1569"/>
    </row>
    <row r="109" spans="1:16" s="458" customFormat="1" ht="4.9000000000000004" customHeight="1">
      <c r="A109" s="735"/>
      <c r="B109" s="735"/>
      <c r="C109" s="495"/>
      <c r="D109" s="495"/>
      <c r="E109" s="495"/>
      <c r="F109" s="495"/>
      <c r="G109" s="495"/>
      <c r="H109" s="495"/>
      <c r="I109" s="495"/>
      <c r="J109" s="495"/>
      <c r="K109" s="495"/>
      <c r="L109" s="495"/>
      <c r="M109" s="495"/>
      <c r="N109" s="495"/>
      <c r="O109" s="495"/>
      <c r="P109" s="495"/>
    </row>
    <row r="110" spans="1:16" s="458" customFormat="1" ht="13.15" customHeight="1">
      <c r="A110" s="735"/>
      <c r="B110" s="735" t="s">
        <v>3316</v>
      </c>
      <c r="C110" s="775" t="s">
        <v>2797</v>
      </c>
      <c r="D110" s="775"/>
      <c r="E110" s="775"/>
      <c r="F110" s="775"/>
      <c r="G110" s="775"/>
      <c r="H110" s="775"/>
      <c r="I110" s="775"/>
      <c r="J110" s="775"/>
      <c r="K110" s="775"/>
      <c r="L110" s="775"/>
      <c r="M110" s="775"/>
      <c r="N110" s="775"/>
      <c r="O110" s="775"/>
      <c r="P110" s="775"/>
    </row>
    <row r="111" spans="1:16" s="458" customFormat="1" ht="13.15" customHeight="1">
      <c r="A111" s="735"/>
      <c r="B111" s="735"/>
      <c r="C111" s="775"/>
      <c r="D111" s="775"/>
      <c r="E111" s="775"/>
      <c r="F111" s="775"/>
      <c r="G111" s="775"/>
      <c r="H111" s="775"/>
      <c r="I111" s="775"/>
      <c r="J111" s="775"/>
      <c r="K111" s="775"/>
      <c r="L111" s="775"/>
      <c r="M111" s="775"/>
      <c r="N111" s="775"/>
      <c r="O111" s="775"/>
      <c r="P111" s="775"/>
    </row>
    <row r="112" spans="1:16" s="458" customFormat="1" ht="13.15" customHeight="1">
      <c r="B112" s="735"/>
      <c r="C112" s="716" t="s">
        <v>3379</v>
      </c>
      <c r="D112" s="716"/>
      <c r="F112" s="716" t="s">
        <v>1783</v>
      </c>
      <c r="G112" s="719"/>
      <c r="H112" s="719"/>
      <c r="I112" s="719"/>
      <c r="J112" s="716" t="s">
        <v>3379</v>
      </c>
      <c r="K112" s="716"/>
      <c r="M112" s="716" t="s">
        <v>1783</v>
      </c>
      <c r="N112" s="719"/>
      <c r="O112" s="719"/>
      <c r="P112" s="719"/>
    </row>
    <row r="113" spans="1:16" s="458" customFormat="1" ht="13.15" customHeight="1">
      <c r="A113" s="735"/>
      <c r="B113" s="735"/>
      <c r="C113" s="1561" t="s">
        <v>4034</v>
      </c>
      <c r="D113" s="1562"/>
      <c r="E113" s="1562"/>
      <c r="F113" s="1562" t="s">
        <v>4037</v>
      </c>
      <c r="G113" s="1562"/>
      <c r="H113" s="1562"/>
      <c r="I113" s="1563"/>
      <c r="J113" s="1561">
        <v>8</v>
      </c>
      <c r="K113" s="1562"/>
      <c r="L113" s="1562"/>
      <c r="M113" s="1562"/>
      <c r="N113" s="1562"/>
      <c r="O113" s="1562"/>
      <c r="P113" s="1563"/>
    </row>
    <row r="114" spans="1:16" s="458" customFormat="1" ht="13.15" customHeight="1">
      <c r="A114" s="735"/>
      <c r="B114" s="735"/>
      <c r="C114" s="1564" t="s">
        <v>4094</v>
      </c>
      <c r="D114" s="1565"/>
      <c r="E114" s="1565"/>
      <c r="F114" s="1565" t="s">
        <v>4094</v>
      </c>
      <c r="G114" s="1565"/>
      <c r="H114" s="1565"/>
      <c r="I114" s="1566"/>
      <c r="J114" s="1564">
        <v>9</v>
      </c>
      <c r="K114" s="1565"/>
      <c r="L114" s="1565"/>
      <c r="M114" s="1565"/>
      <c r="N114" s="1565"/>
      <c r="O114" s="1565"/>
      <c r="P114" s="1566"/>
    </row>
    <row r="115" spans="1:16" s="458" customFormat="1" ht="13.15" customHeight="1">
      <c r="A115" s="735"/>
      <c r="B115" s="735"/>
      <c r="C115" s="1564" t="s">
        <v>4035</v>
      </c>
      <c r="D115" s="1565"/>
      <c r="E115" s="1565"/>
      <c r="F115" s="1565" t="s">
        <v>4037</v>
      </c>
      <c r="G115" s="1565"/>
      <c r="H115" s="1565"/>
      <c r="I115" s="1566"/>
      <c r="J115" s="1564">
        <v>10</v>
      </c>
      <c r="K115" s="1565"/>
      <c r="L115" s="1565"/>
      <c r="M115" s="1565"/>
      <c r="N115" s="1565"/>
      <c r="O115" s="1565"/>
      <c r="P115" s="1566"/>
    </row>
    <row r="116" spans="1:16" s="458" customFormat="1" ht="13.15" customHeight="1">
      <c r="A116" s="735"/>
      <c r="B116" s="735"/>
      <c r="C116" s="1564" t="s">
        <v>4096</v>
      </c>
      <c r="D116" s="1565"/>
      <c r="E116" s="1565"/>
      <c r="F116" s="1565" t="s">
        <v>4095</v>
      </c>
      <c r="G116" s="1565"/>
      <c r="H116" s="1565"/>
      <c r="I116" s="1566"/>
      <c r="J116" s="1564">
        <v>11</v>
      </c>
      <c r="K116" s="1565"/>
      <c r="L116" s="1565"/>
      <c r="M116" s="1565"/>
      <c r="N116" s="1565"/>
      <c r="O116" s="1565"/>
      <c r="P116" s="1566"/>
    </row>
    <row r="117" spans="1:16" s="458" customFormat="1" ht="13.15" customHeight="1">
      <c r="A117" s="735"/>
      <c r="B117" s="735"/>
      <c r="C117" s="1564">
        <v>5</v>
      </c>
      <c r="D117" s="1565"/>
      <c r="E117" s="1565"/>
      <c r="F117" s="1565"/>
      <c r="G117" s="1565"/>
      <c r="H117" s="1565"/>
      <c r="I117" s="1566"/>
      <c r="J117" s="1564">
        <v>12</v>
      </c>
      <c r="K117" s="1565"/>
      <c r="L117" s="1565"/>
      <c r="M117" s="1565"/>
      <c r="N117" s="1565"/>
      <c r="O117" s="1565"/>
      <c r="P117" s="1566"/>
    </row>
    <row r="118" spans="1:16" s="458" customFormat="1" ht="13.15" customHeight="1">
      <c r="A118" s="735"/>
      <c r="B118" s="735"/>
      <c r="C118" s="1564">
        <v>6</v>
      </c>
      <c r="D118" s="1565"/>
      <c r="E118" s="1565"/>
      <c r="F118" s="1565"/>
      <c r="G118" s="1565"/>
      <c r="H118" s="1565"/>
      <c r="I118" s="1566"/>
      <c r="J118" s="1564">
        <v>13</v>
      </c>
      <c r="K118" s="1565"/>
      <c r="L118" s="1565"/>
      <c r="M118" s="1565"/>
      <c r="N118" s="1565"/>
      <c r="O118" s="1565"/>
      <c r="P118" s="1566"/>
    </row>
    <row r="119" spans="1:16" s="458" customFormat="1" ht="13.15" customHeight="1">
      <c r="A119" s="735"/>
      <c r="B119" s="735"/>
      <c r="C119" s="1567">
        <v>7</v>
      </c>
      <c r="D119" s="1568"/>
      <c r="E119" s="1568"/>
      <c r="F119" s="1568"/>
      <c r="G119" s="1568"/>
      <c r="H119" s="1568"/>
      <c r="I119" s="1569"/>
      <c r="J119" s="1567">
        <v>14</v>
      </c>
      <c r="K119" s="1568"/>
      <c r="L119" s="1568"/>
      <c r="M119" s="1568"/>
      <c r="N119" s="1568"/>
      <c r="O119" s="1568"/>
      <c r="P119" s="1569"/>
    </row>
    <row r="120" spans="1:16" s="458" customFormat="1" ht="6.4" customHeight="1">
      <c r="A120" s="735"/>
      <c r="B120" s="735"/>
      <c r="C120" s="716"/>
      <c r="D120" s="716"/>
      <c r="E120" s="716"/>
      <c r="F120" s="719"/>
      <c r="G120" s="719"/>
      <c r="H120" s="719"/>
      <c r="I120" s="719"/>
      <c r="J120" s="480"/>
      <c r="K120" s="719"/>
      <c r="L120" s="719"/>
      <c r="N120" s="721"/>
      <c r="O120" s="721"/>
      <c r="P120" s="469"/>
    </row>
    <row r="121" spans="1:16" s="458" customFormat="1" ht="13.15" customHeight="1">
      <c r="A121" s="491" t="s">
        <v>602</v>
      </c>
      <c r="B121" s="735"/>
      <c r="C121" s="488" t="s">
        <v>3789</v>
      </c>
      <c r="D121" s="488"/>
      <c r="E121" s="488"/>
      <c r="F121" s="488"/>
      <c r="H121" s="1439" t="s">
        <v>139</v>
      </c>
      <c r="M121" s="719"/>
      <c r="N121" s="721"/>
      <c r="O121" s="721"/>
      <c r="P121" s="469"/>
    </row>
    <row r="122" spans="1:16" s="458" customFormat="1" ht="3" customHeight="1">
      <c r="A122" s="491"/>
      <c r="B122" s="735"/>
      <c r="C122" s="715"/>
      <c r="D122" s="715"/>
      <c r="E122" s="715"/>
      <c r="F122" s="715"/>
      <c r="G122" s="719"/>
      <c r="M122" s="719"/>
      <c r="N122" s="721"/>
      <c r="O122" s="721"/>
    </row>
    <row r="123" spans="1:16" s="458" customFormat="1" ht="13.15" customHeight="1">
      <c r="A123" s="735"/>
      <c r="B123" s="735" t="s">
        <v>3000</v>
      </c>
      <c r="C123" s="465" t="s">
        <v>2871</v>
      </c>
      <c r="H123" s="1439" t="s">
        <v>139</v>
      </c>
      <c r="M123" s="719"/>
      <c r="N123" s="721"/>
      <c r="O123" s="721"/>
      <c r="P123" s="469"/>
    </row>
    <row r="124" spans="1:16" s="458" customFormat="1" ht="13.15" customHeight="1">
      <c r="A124" s="735"/>
      <c r="B124" s="735"/>
      <c r="C124" s="716" t="s">
        <v>3791</v>
      </c>
      <c r="D124" s="716"/>
      <c r="E124" s="716"/>
      <c r="F124" s="719"/>
      <c r="H124" s="1570"/>
      <c r="N124" s="721"/>
      <c r="O124" s="721"/>
      <c r="P124" s="469"/>
    </row>
    <row r="125" spans="1:16" s="458" customFormat="1" ht="13.15" customHeight="1">
      <c r="A125" s="735"/>
      <c r="B125" s="735"/>
      <c r="C125" s="496" t="s">
        <v>2870</v>
      </c>
      <c r="D125" s="464"/>
      <c r="H125" s="1442"/>
      <c r="I125" s="1444"/>
      <c r="P125" s="469"/>
    </row>
    <row r="126" spans="1:16" s="458" customFormat="1" ht="13.15" customHeight="1">
      <c r="A126" s="735"/>
      <c r="B126" s="735"/>
      <c r="C126" s="716" t="s">
        <v>3792</v>
      </c>
      <c r="D126" s="716"/>
      <c r="E126" s="716"/>
      <c r="F126" s="719"/>
      <c r="H126" s="1570"/>
      <c r="K126" s="418" t="s">
        <v>3587</v>
      </c>
      <c r="O126" s="1442" t="s">
        <v>766</v>
      </c>
      <c r="P126" s="1444"/>
    </row>
    <row r="127" spans="1:16" s="458" customFormat="1" ht="13.15" customHeight="1">
      <c r="A127" s="735"/>
      <c r="B127" s="735"/>
      <c r="C127" s="716" t="s">
        <v>3790</v>
      </c>
      <c r="F127" s="719"/>
      <c r="H127" s="1477"/>
      <c r="K127" s="418" t="s">
        <v>3643</v>
      </c>
      <c r="O127" s="1442" t="s">
        <v>766</v>
      </c>
      <c r="P127" s="1444"/>
    </row>
    <row r="128" spans="1:16" s="458" customFormat="1" ht="13.15" customHeight="1">
      <c r="A128" s="735"/>
      <c r="B128" s="735"/>
      <c r="C128" s="716" t="s">
        <v>3498</v>
      </c>
      <c r="D128" s="716"/>
      <c r="E128" s="716"/>
      <c r="F128" s="719"/>
      <c r="H128" s="1558"/>
      <c r="I128" s="1559"/>
      <c r="N128" s="721"/>
      <c r="O128" s="721"/>
      <c r="P128" s="469"/>
    </row>
    <row r="129" spans="1:16" s="458" customFormat="1" ht="3" customHeight="1">
      <c r="A129" s="735"/>
      <c r="B129" s="735"/>
      <c r="C129" s="716"/>
      <c r="D129" s="716"/>
      <c r="E129" s="716"/>
      <c r="F129" s="719"/>
      <c r="N129" s="721"/>
      <c r="O129" s="721"/>
      <c r="P129" s="469"/>
    </row>
    <row r="130" spans="1:16" s="458" customFormat="1" ht="13.15" customHeight="1">
      <c r="A130" s="735"/>
      <c r="B130" s="735" t="s">
        <v>3112</v>
      </c>
      <c r="C130" s="715" t="s">
        <v>3950</v>
      </c>
      <c r="D130" s="716"/>
      <c r="E130" s="716"/>
      <c r="F130" s="719"/>
      <c r="H130" s="1477" t="s">
        <v>139</v>
      </c>
      <c r="N130" s="721"/>
      <c r="O130" s="721"/>
      <c r="P130" s="469"/>
    </row>
    <row r="131" spans="1:16" s="458" customFormat="1" ht="3" customHeight="1">
      <c r="A131" s="735"/>
      <c r="B131" s="735"/>
      <c r="C131" s="716"/>
      <c r="D131" s="716"/>
      <c r="E131" s="716"/>
      <c r="F131" s="719"/>
      <c r="G131" s="719"/>
      <c r="M131" s="719"/>
      <c r="N131" s="721"/>
      <c r="O131" s="721"/>
      <c r="P131" s="469"/>
    </row>
    <row r="132" spans="1:16" s="458" customFormat="1" ht="13.15" customHeight="1">
      <c r="A132" s="735"/>
      <c r="B132" s="735" t="s">
        <v>1517</v>
      </c>
      <c r="C132" s="715" t="s">
        <v>1346</v>
      </c>
      <c r="D132" s="716"/>
      <c r="E132" s="716"/>
      <c r="F132" s="719"/>
      <c r="G132" s="719"/>
      <c r="N132" s="721"/>
      <c r="O132" s="721"/>
      <c r="P132" s="469"/>
    </row>
    <row r="133" spans="1:16" s="458" customFormat="1" ht="13.15" customHeight="1">
      <c r="A133" s="735"/>
      <c r="B133" s="735"/>
      <c r="C133" s="716" t="s">
        <v>1109</v>
      </c>
      <c r="D133" s="716"/>
      <c r="E133" s="716"/>
      <c r="F133" s="719"/>
      <c r="G133" s="719"/>
      <c r="H133" s="1477" t="s">
        <v>139</v>
      </c>
      <c r="K133" s="716" t="s">
        <v>2557</v>
      </c>
      <c r="L133" s="716"/>
      <c r="M133" s="719"/>
      <c r="N133" s="719"/>
      <c r="O133" s="1477" t="s">
        <v>139</v>
      </c>
      <c r="P133" s="469"/>
    </row>
    <row r="134" spans="1:16" s="458" customFormat="1" ht="13.15" customHeight="1">
      <c r="A134" s="735"/>
      <c r="B134" s="735"/>
      <c r="C134" s="716" t="s">
        <v>1110</v>
      </c>
      <c r="D134" s="716"/>
      <c r="E134" s="716"/>
      <c r="F134" s="719"/>
      <c r="G134" s="719"/>
      <c r="H134" s="1477" t="s">
        <v>139</v>
      </c>
      <c r="J134" s="716"/>
      <c r="K134" s="716"/>
      <c r="L134" s="716"/>
      <c r="M134" s="719"/>
      <c r="N134" s="719"/>
      <c r="O134" s="719"/>
      <c r="P134" s="469"/>
    </row>
    <row r="135" spans="1:16" s="458" customFormat="1" ht="6" customHeight="1">
      <c r="A135" s="735"/>
      <c r="B135" s="735"/>
      <c r="C135" s="716"/>
      <c r="D135" s="716"/>
      <c r="E135" s="716"/>
      <c r="F135" s="719"/>
      <c r="G135" s="719"/>
      <c r="H135" s="719"/>
      <c r="I135" s="719"/>
      <c r="J135" s="480"/>
      <c r="K135" s="719"/>
      <c r="L135" s="719"/>
      <c r="N135" s="721"/>
      <c r="O135" s="721"/>
      <c r="P135" s="469"/>
    </row>
    <row r="136" spans="1:16" s="458" customFormat="1" ht="13.15" customHeight="1">
      <c r="A136" s="491" t="s">
        <v>603</v>
      </c>
      <c r="B136" s="735"/>
      <c r="C136" s="488" t="s">
        <v>1840</v>
      </c>
      <c r="D136" s="488"/>
      <c r="E136" s="488"/>
      <c r="F136" s="488"/>
      <c r="G136" s="719"/>
      <c r="H136" s="719"/>
      <c r="I136" s="719"/>
      <c r="J136" s="480"/>
      <c r="K136" s="719"/>
      <c r="L136" s="719"/>
      <c r="N136" s="721"/>
      <c r="O136" s="721"/>
      <c r="P136" s="469"/>
    </row>
    <row r="137" spans="1:16" s="458" customFormat="1" ht="1.9" customHeight="1">
      <c r="A137" s="491"/>
      <c r="B137" s="735"/>
      <c r="C137" s="715"/>
      <c r="D137" s="715"/>
      <c r="E137" s="715"/>
      <c r="F137" s="715"/>
      <c r="G137" s="719"/>
      <c r="H137" s="719"/>
      <c r="I137" s="719"/>
      <c r="J137" s="480"/>
      <c r="K137" s="719"/>
      <c r="L137" s="719"/>
      <c r="N137" s="721"/>
      <c r="O137" s="721"/>
    </row>
    <row r="138" spans="1:16" s="458" customFormat="1" ht="13.15" customHeight="1">
      <c r="A138" s="735"/>
      <c r="B138" s="735" t="s">
        <v>3000</v>
      </c>
      <c r="C138" s="479" t="s">
        <v>2883</v>
      </c>
      <c r="F138" s="719"/>
      <c r="G138" s="719"/>
      <c r="H138" s="719"/>
      <c r="I138" s="719"/>
      <c r="J138" s="480"/>
      <c r="K138" s="719"/>
      <c r="L138" s="719"/>
      <c r="N138" s="721"/>
      <c r="O138" s="721"/>
      <c r="P138" s="469"/>
    </row>
    <row r="139" spans="1:16" s="458" customFormat="1" ht="12.4" customHeight="1">
      <c r="A139" s="735"/>
      <c r="B139" s="735"/>
      <c r="C139" s="487" t="s">
        <v>2333</v>
      </c>
      <c r="D139" s="480"/>
      <c r="E139" s="480"/>
      <c r="F139" s="719"/>
      <c r="G139" s="719"/>
      <c r="H139" s="719"/>
      <c r="I139" s="719"/>
      <c r="K139" s="1477" t="s">
        <v>139</v>
      </c>
      <c r="N139" s="721"/>
      <c r="O139" s="721"/>
      <c r="P139" s="469"/>
    </row>
    <row r="140" spans="1:16" s="458" customFormat="1" ht="12.4" customHeight="1">
      <c r="A140" s="735"/>
      <c r="B140" s="735"/>
      <c r="C140" s="458" t="s">
        <v>1125</v>
      </c>
      <c r="K140" s="1552"/>
      <c r="L140" s="464" t="s">
        <v>2953</v>
      </c>
      <c r="P140" s="497">
        <f>IF('Part VI-Revenues &amp; Expenses'!$M$61=0,0,$K140/'Part VI-Revenues &amp; Expenses'!$M$61)</f>
        <v>0</v>
      </c>
    </row>
    <row r="141" spans="1:16" s="458" customFormat="1" ht="12.4" customHeight="1">
      <c r="A141" s="735"/>
      <c r="B141" s="735"/>
      <c r="C141" s="458" t="s">
        <v>3395</v>
      </c>
      <c r="K141" s="1552"/>
      <c r="L141" s="464" t="s">
        <v>2953</v>
      </c>
      <c r="P141" s="497">
        <f>IF('Part VI-Revenues &amp; Expenses'!$M$61=0,0,$K141/'Part VI-Revenues &amp; Expenses'!$M$61)</f>
        <v>0</v>
      </c>
    </row>
    <row r="142" spans="1:16" s="458" customFormat="1" ht="12.4" customHeight="1">
      <c r="A142" s="735"/>
      <c r="B142" s="735"/>
      <c r="C142" s="458" t="s">
        <v>2954</v>
      </c>
      <c r="E142" s="1442"/>
      <c r="F142" s="1443"/>
      <c r="G142" s="1443"/>
      <c r="H142" s="1443"/>
      <c r="I142" s="1443"/>
      <c r="J142" s="1443"/>
      <c r="K142" s="1444"/>
      <c r="L142" s="498" t="s">
        <v>2955</v>
      </c>
      <c r="M142" s="1442"/>
      <c r="N142" s="1443"/>
      <c r="O142" s="1443"/>
      <c r="P142" s="1444"/>
    </row>
    <row r="143" spans="1:16" s="458" customFormat="1" ht="12.4" customHeight="1">
      <c r="A143" s="735"/>
      <c r="B143" s="735"/>
      <c r="C143" s="464" t="s">
        <v>3067</v>
      </c>
      <c r="D143" s="472"/>
      <c r="E143" s="1442"/>
      <c r="F143" s="1443"/>
      <c r="G143" s="1443"/>
      <c r="H143" s="1443"/>
      <c r="I143" s="1443"/>
      <c r="J143" s="1443"/>
      <c r="K143" s="1571"/>
      <c r="L143" s="714" t="s">
        <v>2956</v>
      </c>
      <c r="M143" s="1480"/>
      <c r="N143" s="1481"/>
      <c r="O143" s="1481"/>
      <c r="P143" s="1482"/>
    </row>
    <row r="144" spans="1:16" s="458" customFormat="1" ht="12.4" customHeight="1">
      <c r="A144" s="735"/>
      <c r="B144" s="735"/>
      <c r="C144" s="464" t="s">
        <v>1033</v>
      </c>
      <c r="E144" s="1442"/>
      <c r="F144" s="1443"/>
      <c r="G144" s="1443"/>
      <c r="H144" s="1444"/>
      <c r="I144" s="493" t="s">
        <v>3562</v>
      </c>
      <c r="J144" s="1476"/>
      <c r="K144" s="1529"/>
      <c r="L144" s="498" t="s">
        <v>2959</v>
      </c>
      <c r="M144" s="1473"/>
      <c r="N144" s="1474"/>
      <c r="O144" s="1475"/>
    </row>
    <row r="145" spans="1:16" s="458" customFormat="1" ht="12.4" customHeight="1">
      <c r="A145" s="735"/>
      <c r="B145" s="735"/>
      <c r="C145" s="464" t="s">
        <v>2957</v>
      </c>
      <c r="E145" s="1473"/>
      <c r="F145" s="1474"/>
      <c r="G145" s="1475"/>
      <c r="H145" s="499" t="s">
        <v>2958</v>
      </c>
      <c r="I145" s="1473"/>
      <c r="J145" s="1474"/>
      <c r="K145" s="1475"/>
      <c r="L145" s="500" t="s">
        <v>2996</v>
      </c>
      <c r="M145" s="1473"/>
      <c r="N145" s="1474"/>
      <c r="O145" s="1475"/>
    </row>
    <row r="146" spans="1:16" s="458" customFormat="1" ht="1.9" customHeight="1">
      <c r="A146" s="735"/>
      <c r="B146" s="735"/>
      <c r="C146" s="464"/>
      <c r="E146" s="501"/>
      <c r="F146" s="501"/>
      <c r="G146" s="501"/>
      <c r="H146" s="719"/>
      <c r="I146" s="501"/>
      <c r="J146" s="501"/>
      <c r="K146" s="719"/>
      <c r="L146" s="501"/>
      <c r="M146" s="501"/>
      <c r="N146" s="719"/>
      <c r="O146" s="501"/>
      <c r="P146" s="501"/>
    </row>
    <row r="147" spans="1:16" s="458" customFormat="1" ht="12.4" customHeight="1">
      <c r="A147" s="735"/>
      <c r="B147" s="735" t="s">
        <v>3112</v>
      </c>
      <c r="C147" s="715" t="s">
        <v>2321</v>
      </c>
      <c r="D147" s="715"/>
      <c r="E147" s="715"/>
      <c r="F147" s="715"/>
      <c r="G147" s="715"/>
      <c r="I147" s="1477"/>
      <c r="J147" s="800" t="s">
        <v>1647</v>
      </c>
      <c r="K147" s="801"/>
      <c r="L147" s="1477" t="s">
        <v>31</v>
      </c>
      <c r="M147" s="797" t="s">
        <v>3552</v>
      </c>
      <c r="N147" s="798"/>
      <c r="O147" s="799"/>
      <c r="P147" s="1570" t="s">
        <v>31</v>
      </c>
    </row>
    <row r="148" spans="1:16" s="458" customFormat="1" ht="1.9" customHeight="1">
      <c r="A148" s="735"/>
      <c r="B148" s="735"/>
      <c r="C148" s="715"/>
      <c r="D148" s="715"/>
      <c r="E148" s="461"/>
      <c r="F148" s="715"/>
      <c r="G148" s="715"/>
      <c r="J148" s="468"/>
      <c r="K148" s="502"/>
      <c r="M148" s="721"/>
      <c r="O148" s="719"/>
      <c r="P148" s="469"/>
    </row>
    <row r="149" spans="1:16" s="458" customFormat="1" ht="12.4" customHeight="1">
      <c r="A149" s="735"/>
      <c r="B149" s="735" t="s">
        <v>1517</v>
      </c>
      <c r="C149" s="715" t="s">
        <v>2924</v>
      </c>
      <c r="D149" s="715"/>
      <c r="E149" s="715"/>
      <c r="F149" s="715"/>
      <c r="G149" s="715"/>
      <c r="I149" s="1477" t="s">
        <v>139</v>
      </c>
      <c r="L149" s="418"/>
      <c r="M149" s="418"/>
      <c r="P149" s="469"/>
    </row>
    <row r="150" spans="1:16" s="458" customFormat="1" ht="1.9" customHeight="1">
      <c r="A150" s="735"/>
      <c r="B150" s="735"/>
      <c r="C150" s="464"/>
      <c r="E150" s="501"/>
      <c r="F150" s="501"/>
      <c r="G150" s="501"/>
      <c r="H150" s="719"/>
      <c r="I150" s="501"/>
      <c r="J150" s="501"/>
      <c r="K150" s="719"/>
      <c r="L150" s="501"/>
      <c r="M150" s="501"/>
      <c r="N150" s="719"/>
      <c r="O150" s="501"/>
      <c r="P150" s="501"/>
    </row>
    <row r="151" spans="1:16" s="458" customFormat="1" ht="12.4" customHeight="1">
      <c r="A151" s="735"/>
      <c r="B151" s="735" t="s">
        <v>3316</v>
      </c>
      <c r="C151" s="791" t="s">
        <v>2995</v>
      </c>
      <c r="D151" s="791"/>
      <c r="E151" s="791"/>
      <c r="F151" s="791"/>
      <c r="G151" s="715"/>
      <c r="I151" s="1477" t="s">
        <v>139</v>
      </c>
    </row>
    <row r="152" spans="1:16" s="458" customFormat="1" ht="12.4" customHeight="1">
      <c r="B152" s="735"/>
      <c r="C152" s="790" t="s">
        <v>2248</v>
      </c>
      <c r="D152" s="790"/>
      <c r="E152" s="715"/>
      <c r="F152" s="715"/>
      <c r="G152" s="715"/>
      <c r="I152" s="1572"/>
    </row>
    <row r="153" spans="1:16" s="458" customFormat="1" ht="12.4" customHeight="1">
      <c r="A153" s="735"/>
      <c r="B153" s="735"/>
      <c r="C153" s="776" t="s">
        <v>1372</v>
      </c>
      <c r="D153" s="776"/>
      <c r="E153" s="461"/>
      <c r="F153" s="715"/>
      <c r="G153" s="715"/>
      <c r="I153" s="1572"/>
      <c r="K153" s="468"/>
      <c r="P153" s="469"/>
    </row>
    <row r="154" spans="1:16" s="458" customFormat="1" ht="12.4" customHeight="1">
      <c r="B154" s="735"/>
      <c r="C154" s="776" t="s">
        <v>2949</v>
      </c>
      <c r="D154" s="776"/>
      <c r="E154" s="461"/>
      <c r="F154" s="715"/>
      <c r="G154" s="715"/>
      <c r="I154" s="503" t="str">
        <f>IF(I152="","",I153/I152)</f>
        <v/>
      </c>
      <c r="K154" s="468"/>
      <c r="M154" s="721"/>
      <c r="P154" s="469"/>
    </row>
    <row r="155" spans="1:16" s="458" customFormat="1" ht="1.9" customHeight="1">
      <c r="A155" s="735"/>
      <c r="B155" s="735"/>
      <c r="C155" s="715"/>
      <c r="D155" s="715"/>
      <c r="E155" s="461"/>
      <c r="F155" s="715"/>
      <c r="G155" s="715"/>
      <c r="H155" s="502"/>
      <c r="J155" s="468"/>
      <c r="K155" s="480"/>
      <c r="M155" s="721"/>
      <c r="O155" s="719"/>
      <c r="P155" s="469"/>
    </row>
    <row r="156" spans="1:16" s="458" customFormat="1" ht="13.15" customHeight="1">
      <c r="A156" s="735"/>
      <c r="B156" s="735" t="s">
        <v>2901</v>
      </c>
      <c r="C156" s="395" t="s">
        <v>2322</v>
      </c>
      <c r="D156" s="716"/>
      <c r="E156" s="716"/>
      <c r="F156" s="716"/>
      <c r="G156" s="716"/>
      <c r="H156" s="719"/>
      <c r="J156" s="468"/>
      <c r="K156" s="480"/>
      <c r="M156" s="721"/>
      <c r="O156" s="719"/>
      <c r="P156" s="469"/>
    </row>
    <row r="157" spans="1:16" s="458" customFormat="1" ht="12.4" customHeight="1">
      <c r="A157" s="735"/>
      <c r="B157" s="735"/>
      <c r="C157" s="721" t="s">
        <v>3430</v>
      </c>
      <c r="D157" s="470"/>
      <c r="E157" s="721"/>
      <c r="F157" s="721"/>
      <c r="I157" s="1477" t="s">
        <v>139</v>
      </c>
      <c r="L157" s="721" t="s">
        <v>3429</v>
      </c>
      <c r="P157" s="1477" t="s">
        <v>139</v>
      </c>
    </row>
    <row r="158" spans="1:16" s="458" customFormat="1" ht="12.4" customHeight="1">
      <c r="A158" s="735"/>
      <c r="B158" s="735"/>
      <c r="C158" s="721" t="s">
        <v>3534</v>
      </c>
      <c r="I158" s="1477" t="s">
        <v>139</v>
      </c>
      <c r="L158" s="721" t="s">
        <v>2409</v>
      </c>
      <c r="P158" s="1477" t="s">
        <v>139</v>
      </c>
    </row>
    <row r="159" spans="1:16" s="458" customFormat="1" ht="12.4" customHeight="1">
      <c r="A159" s="735"/>
      <c r="C159" s="721" t="s">
        <v>2135</v>
      </c>
      <c r="D159" s="505"/>
      <c r="I159" s="1477" t="s">
        <v>139</v>
      </c>
      <c r="L159" s="721" t="s">
        <v>2529</v>
      </c>
      <c r="P159" s="1477" t="s">
        <v>139</v>
      </c>
    </row>
    <row r="160" spans="1:16" s="458" customFormat="1" ht="12.4" customHeight="1">
      <c r="A160" s="735"/>
      <c r="B160" s="735"/>
      <c r="C160" s="721" t="s">
        <v>2408</v>
      </c>
      <c r="D160" s="470"/>
      <c r="E160" s="721"/>
      <c r="F160" s="721"/>
      <c r="I160" s="1477" t="s">
        <v>3834</v>
      </c>
      <c r="K160" s="470"/>
      <c r="L160" s="721" t="s">
        <v>2435</v>
      </c>
      <c r="M160" s="721"/>
      <c r="P160" s="1477" t="s">
        <v>139</v>
      </c>
    </row>
    <row r="161" spans="1:16" s="458" customFormat="1" ht="12.4" customHeight="1">
      <c r="A161" s="735"/>
      <c r="B161" s="735"/>
      <c r="C161" s="721" t="s">
        <v>2533</v>
      </c>
      <c r="D161" s="470"/>
      <c r="E161" s="721"/>
      <c r="F161" s="721"/>
      <c r="I161" s="1477" t="s">
        <v>139</v>
      </c>
      <c r="K161" s="470"/>
      <c r="L161" s="721"/>
      <c r="M161" s="721"/>
    </row>
    <row r="162" spans="1:16" s="458" customFormat="1" ht="12.4" customHeight="1">
      <c r="A162" s="735"/>
      <c r="B162" s="461"/>
      <c r="C162" s="721" t="s">
        <v>2969</v>
      </c>
      <c r="D162" s="470"/>
      <c r="I162" s="1477" t="s">
        <v>139</v>
      </c>
      <c r="J162" s="504" t="s">
        <v>3586</v>
      </c>
      <c r="O162" s="1573"/>
      <c r="P162" s="1574"/>
    </row>
    <row r="163" spans="1:16" s="458" customFormat="1" ht="12.4" customHeight="1">
      <c r="A163" s="735"/>
      <c r="B163" s="735"/>
      <c r="C163" s="721" t="s">
        <v>3597</v>
      </c>
      <c r="E163" s="1553"/>
      <c r="F163" s="1575"/>
      <c r="G163" s="1575"/>
      <c r="H163" s="1554"/>
      <c r="I163" s="1477" t="s">
        <v>139</v>
      </c>
    </row>
    <row r="164" spans="1:16" s="458" customFormat="1" ht="1.9" customHeight="1">
      <c r="A164" s="735"/>
      <c r="B164" s="735"/>
      <c r="P164" s="468"/>
    </row>
    <row r="165" spans="1:16" s="458" customFormat="1" ht="13.15" customHeight="1">
      <c r="B165" s="735" t="s">
        <v>2902</v>
      </c>
      <c r="C165" s="465" t="s">
        <v>1240</v>
      </c>
    </row>
    <row r="166" spans="1:16" s="458" customFormat="1" ht="12.4" customHeight="1">
      <c r="A166" s="735"/>
      <c r="B166" s="735"/>
      <c r="C166" s="464" t="s">
        <v>1045</v>
      </c>
      <c r="D166" s="716"/>
      <c r="E166" s="716"/>
      <c r="F166" s="719"/>
      <c r="G166" s="719"/>
      <c r="I166" s="1558"/>
      <c r="J166" s="1559"/>
      <c r="N166" s="721"/>
      <c r="O166" s="721"/>
      <c r="P166" s="469"/>
    </row>
    <row r="167" spans="1:16" s="458" customFormat="1" ht="12.4" customHeight="1">
      <c r="A167" s="735"/>
      <c r="B167" s="735"/>
      <c r="C167" s="464" t="s">
        <v>403</v>
      </c>
      <c r="D167" s="716"/>
      <c r="E167" s="716"/>
      <c r="F167" s="719"/>
      <c r="G167" s="719"/>
      <c r="I167" s="1558"/>
      <c r="J167" s="1559"/>
      <c r="N167" s="721"/>
      <c r="O167" s="721"/>
      <c r="P167" s="469"/>
    </row>
    <row r="168" spans="1:16" s="458" customFormat="1" ht="12.4" customHeight="1">
      <c r="A168" s="735"/>
      <c r="B168" s="735"/>
      <c r="C168" s="464" t="s">
        <v>3709</v>
      </c>
      <c r="D168" s="716"/>
      <c r="E168" s="716"/>
      <c r="F168" s="719"/>
      <c r="G168" s="719"/>
      <c r="I168" s="1558">
        <v>41639</v>
      </c>
      <c r="J168" s="1559"/>
      <c r="N168" s="721"/>
      <c r="O168" s="721"/>
      <c r="P168" s="469"/>
    </row>
    <row r="169" spans="1:16" s="458" customFormat="1" ht="1.9" customHeight="1">
      <c r="B169" s="461"/>
      <c r="C169" s="721"/>
      <c r="H169" s="721"/>
      <c r="L169" s="482"/>
      <c r="M169" s="482"/>
      <c r="N169" s="482"/>
      <c r="O169" s="482"/>
      <c r="P169" s="466"/>
    </row>
    <row r="170" spans="1:16" ht="12" customHeight="1">
      <c r="A170" s="491" t="s">
        <v>2891</v>
      </c>
      <c r="C170" s="491" t="s">
        <v>953</v>
      </c>
      <c r="K170" s="491" t="s">
        <v>3648</v>
      </c>
      <c r="L170" s="491" t="s">
        <v>224</v>
      </c>
    </row>
    <row r="171" spans="1:16" ht="38.65" customHeight="1">
      <c r="A171" s="1290" t="s">
        <v>57</v>
      </c>
      <c r="B171" s="1349"/>
      <c r="C171" s="1349"/>
      <c r="D171" s="1349"/>
      <c r="E171" s="1349"/>
      <c r="F171" s="1349"/>
      <c r="G171" s="1349"/>
      <c r="H171" s="1349"/>
      <c r="I171" s="1349"/>
      <c r="J171" s="1350"/>
      <c r="K171" s="1293"/>
      <c r="L171" s="1351"/>
      <c r="M171" s="1351"/>
      <c r="N171" s="1351"/>
      <c r="O171" s="1351"/>
      <c r="P171" s="1352"/>
    </row>
    <row r="172" spans="1:16" ht="38.65" customHeight="1">
      <c r="A172" s="1294" t="s">
        <v>4097</v>
      </c>
      <c r="B172" s="1353"/>
      <c r="C172" s="1353"/>
      <c r="D172" s="1353"/>
      <c r="E172" s="1353"/>
      <c r="F172" s="1353"/>
      <c r="G172" s="1353"/>
      <c r="H172" s="1353"/>
      <c r="I172" s="1353"/>
      <c r="J172" s="1354"/>
      <c r="K172" s="1297"/>
      <c r="L172" s="1355"/>
      <c r="M172" s="1355"/>
      <c r="N172" s="1355"/>
      <c r="O172" s="1355"/>
      <c r="P172" s="1356"/>
    </row>
    <row r="173" spans="1:16" ht="38.65" customHeight="1">
      <c r="A173" s="1298" t="s">
        <v>4105</v>
      </c>
      <c r="B173" s="1357"/>
      <c r="C173" s="1357"/>
      <c r="D173" s="1357"/>
      <c r="E173" s="1357"/>
      <c r="F173" s="1357"/>
      <c r="G173" s="1357"/>
      <c r="H173" s="1357"/>
      <c r="I173" s="1357"/>
      <c r="J173" s="1358"/>
      <c r="K173" s="1301"/>
      <c r="L173" s="1359"/>
      <c r="M173" s="1359"/>
      <c r="N173" s="1359"/>
      <c r="O173" s="1359"/>
      <c r="P173" s="1360"/>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3068</v>
      </c>
      <c r="C182" s="623" t="s">
        <v>2128</v>
      </c>
      <c r="D182" s="623" t="s">
        <v>2129</v>
      </c>
      <c r="E182" s="623" t="s">
        <v>2235</v>
      </c>
      <c r="F182" s="623" t="s">
        <v>2010</v>
      </c>
      <c r="G182" s="623" t="s">
        <v>669</v>
      </c>
      <c r="H182" s="624" t="s">
        <v>2018</v>
      </c>
      <c r="I182" s="625"/>
      <c r="J182" s="623" t="s">
        <v>3755</v>
      </c>
      <c r="K182" s="623"/>
      <c r="L182" s="626"/>
      <c r="M182" s="627"/>
      <c r="N182" s="627" t="s">
        <v>1033</v>
      </c>
      <c r="O182" s="628" t="s">
        <v>1034</v>
      </c>
      <c r="P182" s="627" t="s">
        <v>3296</v>
      </c>
      <c r="Q182" s="611"/>
      <c r="S182" s="611"/>
      <c r="T182" s="629" t="s">
        <v>742</v>
      </c>
      <c r="U182" s="628" t="s">
        <v>1034</v>
      </c>
      <c r="V182" s="611"/>
      <c r="W182" s="611"/>
      <c r="X182" s="611"/>
      <c r="Y182" s="611"/>
      <c r="Z182" s="611"/>
      <c r="AA182" s="611"/>
    </row>
    <row r="183" spans="1:27" ht="12" customHeight="1">
      <c r="A183" s="611"/>
      <c r="B183" s="507" t="s">
        <v>1442</v>
      </c>
      <c r="C183" s="507" t="s">
        <v>2236</v>
      </c>
      <c r="D183" s="507" t="s">
        <v>2237</v>
      </c>
      <c r="E183" s="630" t="s">
        <v>2130</v>
      </c>
      <c r="F183" s="630"/>
      <c r="G183" s="631" t="s">
        <v>2167</v>
      </c>
      <c r="H183" s="632" t="s">
        <v>667</v>
      </c>
      <c r="I183" s="633"/>
      <c r="J183" s="634" t="s">
        <v>2417</v>
      </c>
      <c r="K183" s="635"/>
      <c r="L183" s="626"/>
      <c r="M183" s="627"/>
      <c r="N183" s="636" t="s">
        <v>3756</v>
      </c>
      <c r="O183" s="636" t="s">
        <v>3258</v>
      </c>
      <c r="P183" s="507" t="s">
        <v>2535</v>
      </c>
      <c r="Q183" s="611"/>
      <c r="S183" s="611"/>
      <c r="T183" s="636" t="s">
        <v>1978</v>
      </c>
      <c r="U183" s="636" t="s">
        <v>1748</v>
      </c>
      <c r="V183" s="611"/>
      <c r="W183" s="611"/>
      <c r="X183" s="611"/>
      <c r="Y183" s="611"/>
      <c r="Z183" s="611"/>
      <c r="AA183" s="611"/>
    </row>
    <row r="184" spans="1:27" ht="12" customHeight="1">
      <c r="A184" s="611"/>
      <c r="B184" s="507" t="s">
        <v>1443</v>
      </c>
      <c r="C184" s="507" t="s">
        <v>2656</v>
      </c>
      <c r="D184" s="507" t="s">
        <v>2237</v>
      </c>
      <c r="E184" s="630" t="s">
        <v>2657</v>
      </c>
      <c r="F184" s="630"/>
      <c r="G184" s="631" t="s">
        <v>2168</v>
      </c>
      <c r="H184" s="632" t="s">
        <v>667</v>
      </c>
      <c r="I184" s="633"/>
      <c r="J184" s="634" t="s">
        <v>2330</v>
      </c>
      <c r="K184" s="635"/>
      <c r="L184" s="626"/>
      <c r="M184" s="627"/>
      <c r="N184" s="636" t="s">
        <v>2329</v>
      </c>
      <c r="O184" s="636" t="s">
        <v>3873</v>
      </c>
      <c r="P184" s="507" t="s">
        <v>2536</v>
      </c>
      <c r="Q184" s="611"/>
      <c r="S184" s="611"/>
      <c r="T184" s="636" t="s">
        <v>884</v>
      </c>
      <c r="U184" s="636" t="s">
        <v>262</v>
      </c>
      <c r="V184" s="611"/>
      <c r="W184" s="611"/>
      <c r="X184" s="611"/>
      <c r="Y184" s="611"/>
      <c r="Z184" s="611"/>
      <c r="AA184" s="611"/>
    </row>
    <row r="185" spans="1:27" ht="12" customHeight="1">
      <c r="A185" s="611"/>
      <c r="B185" s="507" t="s">
        <v>1444</v>
      </c>
      <c r="C185" s="507" t="s">
        <v>2658</v>
      </c>
      <c r="D185" s="507" t="s">
        <v>2237</v>
      </c>
      <c r="E185" s="630" t="s">
        <v>2659</v>
      </c>
      <c r="F185" s="630"/>
      <c r="G185" s="631" t="s">
        <v>2169</v>
      </c>
      <c r="H185" s="632" t="s">
        <v>667</v>
      </c>
      <c r="I185" s="633"/>
      <c r="J185" s="634" t="s">
        <v>820</v>
      </c>
      <c r="K185" s="635"/>
      <c r="L185" s="626"/>
      <c r="M185" s="627"/>
      <c r="N185" s="636" t="s">
        <v>1552</v>
      </c>
      <c r="O185" s="636" t="s">
        <v>2006</v>
      </c>
      <c r="P185" s="507" t="s">
        <v>2537</v>
      </c>
      <c r="Q185" s="611"/>
      <c r="S185" s="611"/>
      <c r="T185" s="636" t="s">
        <v>1498</v>
      </c>
      <c r="U185" s="636" t="s">
        <v>1831</v>
      </c>
      <c r="V185" s="611"/>
      <c r="W185" s="611"/>
      <c r="X185" s="611"/>
      <c r="Y185" s="611"/>
      <c r="Z185" s="611"/>
      <c r="AA185" s="611"/>
    </row>
    <row r="186" spans="1:27" ht="12" customHeight="1">
      <c r="A186" s="611"/>
      <c r="B186" s="507" t="s">
        <v>1445</v>
      </c>
      <c r="C186" s="507" t="s">
        <v>2660</v>
      </c>
      <c r="D186" s="507" t="s">
        <v>2237</v>
      </c>
      <c r="E186" s="637" t="s">
        <v>2661</v>
      </c>
      <c r="F186" s="637"/>
      <c r="G186" s="631" t="s">
        <v>2170</v>
      </c>
      <c r="H186" s="632" t="s">
        <v>668</v>
      </c>
      <c r="I186" s="638"/>
      <c r="J186" s="634" t="s">
        <v>3344</v>
      </c>
      <c r="K186" s="635"/>
      <c r="L186" s="626"/>
      <c r="M186" s="627"/>
      <c r="N186" s="636" t="s">
        <v>821</v>
      </c>
      <c r="O186" s="636" t="s">
        <v>4023</v>
      </c>
      <c r="P186" s="507" t="s">
        <v>2538</v>
      </c>
      <c r="Q186" s="611"/>
      <c r="S186" s="611"/>
      <c r="T186" s="636" t="s">
        <v>2314</v>
      </c>
      <c r="U186" s="636" t="s">
        <v>4022</v>
      </c>
      <c r="V186" s="611"/>
      <c r="W186" s="611"/>
      <c r="X186" s="611"/>
      <c r="Y186" s="611"/>
      <c r="Z186" s="611"/>
      <c r="AA186" s="611"/>
    </row>
    <row r="187" spans="1:27" ht="12" customHeight="1">
      <c r="A187" s="611"/>
      <c r="B187" s="507" t="s">
        <v>1446</v>
      </c>
      <c r="C187" s="507" t="s">
        <v>2662</v>
      </c>
      <c r="D187" s="507" t="s">
        <v>2191</v>
      </c>
      <c r="E187" s="637" t="s">
        <v>258</v>
      </c>
      <c r="F187" s="637"/>
      <c r="G187" s="631" t="s">
        <v>2028</v>
      </c>
      <c r="H187" s="632" t="s">
        <v>667</v>
      </c>
      <c r="I187" s="638"/>
      <c r="J187" s="634" t="s">
        <v>3346</v>
      </c>
      <c r="K187" s="635"/>
      <c r="L187" s="626"/>
      <c r="M187" s="627"/>
      <c r="N187" s="636" t="s">
        <v>3345</v>
      </c>
      <c r="O187" s="636" t="s">
        <v>361</v>
      </c>
      <c r="P187" s="507" t="s">
        <v>2539</v>
      </c>
      <c r="Q187" s="611"/>
      <c r="S187" s="611"/>
      <c r="T187" s="636" t="s">
        <v>2855</v>
      </c>
      <c r="U187" s="636" t="s">
        <v>103</v>
      </c>
      <c r="V187" s="611"/>
      <c r="W187" s="611"/>
      <c r="X187" s="611"/>
      <c r="Y187" s="611"/>
      <c r="Z187" s="611"/>
      <c r="AA187" s="611"/>
    </row>
    <row r="188" spans="1:27" ht="12" customHeight="1">
      <c r="A188" s="611"/>
      <c r="B188" s="507" t="s">
        <v>1447</v>
      </c>
      <c r="C188" s="507" t="s">
        <v>1896</v>
      </c>
      <c r="D188" s="507" t="s">
        <v>2003</v>
      </c>
      <c r="E188" s="630" t="s">
        <v>2004</v>
      </c>
      <c r="F188" s="630"/>
      <c r="G188" s="631" t="s">
        <v>2745</v>
      </c>
      <c r="H188" s="632" t="s">
        <v>667</v>
      </c>
      <c r="I188" s="633"/>
      <c r="J188" s="634" t="s">
        <v>3348</v>
      </c>
      <c r="K188" s="635"/>
      <c r="L188" s="626"/>
      <c r="M188" s="627"/>
      <c r="N188" s="636" t="s">
        <v>3347</v>
      </c>
      <c r="O188" s="636" t="s">
        <v>191</v>
      </c>
      <c r="P188" s="507" t="s">
        <v>2540</v>
      </c>
      <c r="Q188" s="611"/>
      <c r="S188" s="611"/>
      <c r="T188" s="636" t="s">
        <v>3264</v>
      </c>
      <c r="U188" s="636" t="s">
        <v>99</v>
      </c>
      <c r="V188" s="611"/>
      <c r="W188" s="611"/>
      <c r="X188" s="611"/>
      <c r="Y188" s="611"/>
      <c r="Z188" s="611"/>
      <c r="AA188" s="611"/>
    </row>
    <row r="189" spans="1:27" ht="12" customHeight="1">
      <c r="A189" s="611"/>
      <c r="B189" s="507" t="s">
        <v>1448</v>
      </c>
      <c r="C189" s="507" t="s">
        <v>2005</v>
      </c>
      <c r="D189" s="507" t="s">
        <v>2191</v>
      </c>
      <c r="E189" s="637" t="s">
        <v>1538</v>
      </c>
      <c r="F189" s="637"/>
      <c r="G189" s="631" t="s">
        <v>3974</v>
      </c>
      <c r="H189" s="632" t="s">
        <v>668</v>
      </c>
      <c r="I189" s="638"/>
      <c r="J189" s="634" t="s">
        <v>3350</v>
      </c>
      <c r="K189" s="635"/>
      <c r="L189" s="626"/>
      <c r="M189" s="627"/>
      <c r="N189" s="636" t="s">
        <v>3349</v>
      </c>
      <c r="O189" s="636" t="s">
        <v>105</v>
      </c>
      <c r="P189" s="507" t="s">
        <v>2541</v>
      </c>
      <c r="Q189" s="611"/>
      <c r="S189" s="611"/>
      <c r="T189" s="636" t="s">
        <v>520</v>
      </c>
      <c r="U189" s="636" t="s">
        <v>103</v>
      </c>
      <c r="V189" s="611"/>
      <c r="W189" s="611"/>
      <c r="X189" s="611"/>
      <c r="Y189" s="611"/>
      <c r="Z189" s="611"/>
      <c r="AA189" s="611"/>
    </row>
    <row r="190" spans="1:27" ht="12" customHeight="1">
      <c r="A190" s="611"/>
      <c r="B190" s="507" t="s">
        <v>1449</v>
      </c>
      <c r="C190" s="507" t="s">
        <v>2006</v>
      </c>
      <c r="D190" s="507" t="s">
        <v>2003</v>
      </c>
      <c r="E190" s="637" t="s">
        <v>1538</v>
      </c>
      <c r="F190" s="637"/>
      <c r="G190" s="631" t="s">
        <v>3974</v>
      </c>
      <c r="H190" s="632" t="s">
        <v>668</v>
      </c>
      <c r="I190" s="638"/>
      <c r="J190" s="634" t="s">
        <v>3352</v>
      </c>
      <c r="K190" s="635"/>
      <c r="L190" s="626"/>
      <c r="M190" s="627"/>
      <c r="N190" s="636" t="s">
        <v>3351</v>
      </c>
      <c r="O190" s="636" t="s">
        <v>2280</v>
      </c>
      <c r="P190" s="507" t="s">
        <v>2542</v>
      </c>
      <c r="Q190" s="631"/>
      <c r="S190" s="611"/>
      <c r="T190" s="611"/>
      <c r="U190" s="611"/>
      <c r="V190" s="611"/>
      <c r="W190" s="611"/>
      <c r="X190" s="611"/>
      <c r="Y190" s="611"/>
      <c r="Z190" s="611"/>
      <c r="AA190" s="611"/>
    </row>
    <row r="191" spans="1:27" ht="12" customHeight="1">
      <c r="A191" s="611"/>
      <c r="B191" s="507" t="s">
        <v>1450</v>
      </c>
      <c r="C191" s="507" t="s">
        <v>2278</v>
      </c>
      <c r="D191" s="507" t="s">
        <v>2237</v>
      </c>
      <c r="E191" s="630" t="s">
        <v>2279</v>
      </c>
      <c r="F191" s="630"/>
      <c r="G191" s="631" t="s">
        <v>3975</v>
      </c>
      <c r="H191" s="632" t="s">
        <v>667</v>
      </c>
      <c r="I191" s="633"/>
      <c r="J191" s="634" t="s">
        <v>3235</v>
      </c>
      <c r="K191" s="639"/>
      <c r="L191" s="626"/>
      <c r="M191" s="627"/>
      <c r="N191" s="636" t="s">
        <v>2661</v>
      </c>
      <c r="O191" s="636" t="s">
        <v>1780</v>
      </c>
      <c r="P191" s="507" t="s">
        <v>2543</v>
      </c>
      <c r="Q191" s="631"/>
      <c r="S191" s="611"/>
      <c r="T191" s="611"/>
      <c r="U191" s="611"/>
      <c r="V191" s="611"/>
      <c r="W191" s="611"/>
      <c r="X191" s="611"/>
      <c r="Y191" s="611"/>
      <c r="Z191" s="611"/>
      <c r="AA191" s="611"/>
    </row>
    <row r="192" spans="1:27" ht="12" customHeight="1">
      <c r="A192" s="611"/>
      <c r="B192" s="507" t="s">
        <v>1451</v>
      </c>
      <c r="C192" s="507" t="s">
        <v>2280</v>
      </c>
      <c r="D192" s="507" t="s">
        <v>2237</v>
      </c>
      <c r="E192" s="630" t="s">
        <v>2281</v>
      </c>
      <c r="F192" s="630"/>
      <c r="G192" s="631" t="s">
        <v>3976</v>
      </c>
      <c r="H192" s="632" t="s">
        <v>667</v>
      </c>
      <c r="I192" s="633"/>
      <c r="J192" s="634" t="s">
        <v>187</v>
      </c>
      <c r="K192" s="639"/>
      <c r="L192" s="507"/>
      <c r="M192" s="627"/>
      <c r="N192" s="636" t="s">
        <v>3236</v>
      </c>
      <c r="O192" s="636" t="s">
        <v>758</v>
      </c>
      <c r="P192" s="507" t="s">
        <v>2418</v>
      </c>
      <c r="Q192" s="631"/>
      <c r="S192" s="611"/>
      <c r="T192" s="611"/>
      <c r="U192" s="611"/>
      <c r="V192" s="611"/>
      <c r="W192" s="611"/>
      <c r="X192" s="611"/>
      <c r="Y192" s="611"/>
      <c r="Z192" s="611"/>
      <c r="AA192" s="611"/>
    </row>
    <row r="193" spans="1:27" ht="12" customHeight="1">
      <c r="A193" s="611"/>
      <c r="B193" s="507" t="s">
        <v>1452</v>
      </c>
      <c r="C193" s="507" t="s">
        <v>2282</v>
      </c>
      <c r="D193" s="507" t="s">
        <v>2191</v>
      </c>
      <c r="E193" s="637" t="s">
        <v>2283</v>
      </c>
      <c r="F193" s="637"/>
      <c r="G193" s="631" t="s">
        <v>3977</v>
      </c>
      <c r="H193" s="632" t="s">
        <v>668</v>
      </c>
      <c r="I193" s="638"/>
      <c r="J193" s="634" t="s">
        <v>189</v>
      </c>
      <c r="K193" s="639"/>
      <c r="L193" s="626"/>
      <c r="M193" s="627"/>
      <c r="N193" s="636" t="s">
        <v>188</v>
      </c>
      <c r="O193" s="636" t="s">
        <v>2088</v>
      </c>
      <c r="P193" s="507" t="s">
        <v>2419</v>
      </c>
      <c r="Q193" s="631"/>
      <c r="S193" s="611"/>
      <c r="T193" s="611"/>
      <c r="U193" s="611"/>
      <c r="V193" s="611"/>
      <c r="W193" s="611"/>
      <c r="X193" s="611"/>
      <c r="Y193" s="611"/>
      <c r="Z193" s="611"/>
      <c r="AA193" s="611"/>
    </row>
    <row r="194" spans="1:27" ht="12" customHeight="1">
      <c r="A194" s="611"/>
      <c r="B194" s="507" t="s">
        <v>1453</v>
      </c>
      <c r="C194" s="507" t="s">
        <v>2284</v>
      </c>
      <c r="D194" s="507" t="s">
        <v>2237</v>
      </c>
      <c r="E194" s="637" t="s">
        <v>2285</v>
      </c>
      <c r="F194" s="637"/>
      <c r="G194" s="631" t="s">
        <v>3894</v>
      </c>
      <c r="H194" s="632" t="s">
        <v>667</v>
      </c>
      <c r="I194" s="638"/>
      <c r="J194" s="634" t="s">
        <v>795</v>
      </c>
      <c r="K194" s="635"/>
      <c r="L194" s="626"/>
      <c r="M194" s="627"/>
      <c r="N194" s="636" t="s">
        <v>190</v>
      </c>
      <c r="O194" s="636" t="s">
        <v>3752</v>
      </c>
      <c r="P194" s="507" t="s">
        <v>2420</v>
      </c>
      <c r="Q194" s="631"/>
      <c r="S194" s="611"/>
      <c r="T194" s="611"/>
      <c r="U194" s="611"/>
      <c r="V194" s="611"/>
      <c r="W194" s="611"/>
      <c r="X194" s="611"/>
      <c r="Y194" s="611"/>
      <c r="Z194" s="611"/>
      <c r="AA194" s="611"/>
    </row>
    <row r="195" spans="1:27" ht="12" customHeight="1">
      <c r="A195" s="611"/>
      <c r="B195" s="507" t="s">
        <v>1454</v>
      </c>
      <c r="C195" s="507" t="s">
        <v>2286</v>
      </c>
      <c r="D195" s="507" t="s">
        <v>2237</v>
      </c>
      <c r="E195" s="630" t="s">
        <v>108</v>
      </c>
      <c r="F195" s="630"/>
      <c r="G195" s="631" t="s">
        <v>3895</v>
      </c>
      <c r="H195" s="632" t="s">
        <v>668</v>
      </c>
      <c r="I195" s="633"/>
      <c r="J195" s="634" t="s">
        <v>797</v>
      </c>
      <c r="K195" s="635"/>
      <c r="L195" s="626"/>
      <c r="M195" s="627"/>
      <c r="N195" s="636" t="s">
        <v>796</v>
      </c>
      <c r="O195" s="636" t="s">
        <v>2658</v>
      </c>
      <c r="P195" s="507" t="s">
        <v>2421</v>
      </c>
      <c r="Q195" s="631"/>
      <c r="S195" s="611"/>
      <c r="T195" s="611"/>
      <c r="U195" s="611"/>
      <c r="V195" s="611"/>
      <c r="W195" s="611"/>
      <c r="X195" s="611"/>
      <c r="Y195" s="611"/>
      <c r="Z195" s="611"/>
      <c r="AA195" s="611"/>
    </row>
    <row r="196" spans="1:27" ht="12" customHeight="1">
      <c r="A196" s="611"/>
      <c r="B196" s="507" t="s">
        <v>1455</v>
      </c>
      <c r="C196" s="507" t="s">
        <v>2287</v>
      </c>
      <c r="D196" s="507" t="s">
        <v>2237</v>
      </c>
      <c r="E196" s="630" t="s">
        <v>2859</v>
      </c>
      <c r="F196" s="630"/>
      <c r="G196" s="631" t="s">
        <v>3896</v>
      </c>
      <c r="H196" s="632" t="s">
        <v>668</v>
      </c>
      <c r="I196" s="633"/>
      <c r="J196" s="634" t="s">
        <v>675</v>
      </c>
      <c r="K196" s="635"/>
      <c r="L196" s="626"/>
      <c r="M196" s="627"/>
      <c r="N196" s="636" t="s">
        <v>674</v>
      </c>
      <c r="O196" s="636" t="s">
        <v>2127</v>
      </c>
      <c r="P196" s="507" t="s">
        <v>2422</v>
      </c>
      <c r="Q196" s="631"/>
      <c r="S196" s="611"/>
      <c r="T196" s="611"/>
      <c r="U196" s="611"/>
      <c r="V196" s="611"/>
      <c r="W196" s="611"/>
      <c r="X196" s="611"/>
      <c r="Y196" s="611"/>
      <c r="Z196" s="611"/>
      <c r="AA196" s="611"/>
    </row>
    <row r="197" spans="1:27" ht="12" customHeight="1">
      <c r="A197" s="611"/>
      <c r="B197" s="507" t="s">
        <v>1456</v>
      </c>
      <c r="C197" s="507" t="s">
        <v>2288</v>
      </c>
      <c r="D197" s="507" t="s">
        <v>2237</v>
      </c>
      <c r="E197" s="637" t="s">
        <v>2289</v>
      </c>
      <c r="F197" s="637"/>
      <c r="G197" s="631" t="s">
        <v>2095</v>
      </c>
      <c r="H197" s="632" t="s">
        <v>668</v>
      </c>
      <c r="I197" s="638"/>
      <c r="J197" s="634" t="s">
        <v>677</v>
      </c>
      <c r="K197" s="635"/>
      <c r="L197" s="626"/>
      <c r="M197" s="627"/>
      <c r="N197" s="636" t="s">
        <v>676</v>
      </c>
      <c r="O197" s="636" t="s">
        <v>191</v>
      </c>
      <c r="P197" s="507" t="s">
        <v>2423</v>
      </c>
      <c r="Q197" s="631"/>
      <c r="S197" s="611"/>
      <c r="T197" s="611"/>
      <c r="U197" s="611"/>
      <c r="V197" s="611"/>
      <c r="W197" s="611"/>
      <c r="X197" s="611"/>
      <c r="Y197" s="611"/>
      <c r="Z197" s="611"/>
      <c r="AA197" s="611"/>
    </row>
    <row r="198" spans="1:27" ht="12" customHeight="1">
      <c r="A198" s="611"/>
      <c r="B198" s="507" t="s">
        <v>1457</v>
      </c>
      <c r="C198" s="507" t="s">
        <v>2290</v>
      </c>
      <c r="D198" s="507" t="s">
        <v>2237</v>
      </c>
      <c r="E198" s="637" t="s">
        <v>2291</v>
      </c>
      <c r="F198" s="637"/>
      <c r="G198" s="631" t="s">
        <v>3993</v>
      </c>
      <c r="H198" s="632" t="s">
        <v>667</v>
      </c>
      <c r="I198" s="638"/>
      <c r="J198" s="634" t="s">
        <v>3321</v>
      </c>
      <c r="K198" s="635"/>
      <c r="L198" s="626"/>
      <c r="M198" s="627"/>
      <c r="N198" s="636" t="s">
        <v>678</v>
      </c>
      <c r="O198" s="636" t="s">
        <v>284</v>
      </c>
      <c r="P198" s="507" t="s">
        <v>2424</v>
      </c>
      <c r="Q198" s="631"/>
      <c r="S198" s="611"/>
      <c r="T198" s="611"/>
      <c r="U198" s="611"/>
      <c r="V198" s="611"/>
      <c r="W198" s="611"/>
      <c r="X198" s="611"/>
      <c r="Y198" s="611"/>
      <c r="Z198" s="611"/>
      <c r="AA198" s="611"/>
    </row>
    <row r="199" spans="1:27" ht="12" customHeight="1">
      <c r="A199" s="611"/>
      <c r="B199" s="507" t="s">
        <v>1458</v>
      </c>
      <c r="C199" s="507" t="s">
        <v>2292</v>
      </c>
      <c r="D199" s="507" t="s">
        <v>2191</v>
      </c>
      <c r="E199" s="637" t="s">
        <v>1539</v>
      </c>
      <c r="F199" s="637"/>
      <c r="G199" s="631" t="s">
        <v>3994</v>
      </c>
      <c r="H199" s="632" t="s">
        <v>668</v>
      </c>
      <c r="I199" s="638"/>
      <c r="J199" s="634" t="s">
        <v>3323</v>
      </c>
      <c r="K199" s="635"/>
      <c r="L199" s="626"/>
      <c r="M199" s="627"/>
      <c r="N199" s="636" t="s">
        <v>3322</v>
      </c>
      <c r="O199" s="636" t="s">
        <v>3874</v>
      </c>
      <c r="P199" s="507" t="s">
        <v>2425</v>
      </c>
      <c r="Q199" s="631"/>
      <c r="S199" s="611"/>
      <c r="T199" s="611"/>
      <c r="U199" s="611"/>
      <c r="V199" s="611"/>
      <c r="W199" s="611"/>
      <c r="X199" s="611"/>
      <c r="Y199" s="611"/>
      <c r="Z199" s="611"/>
      <c r="AA199" s="611"/>
    </row>
    <row r="200" spans="1:27" ht="12" customHeight="1">
      <c r="A200" s="611"/>
      <c r="B200" s="507" t="s">
        <v>1459</v>
      </c>
      <c r="C200" s="507" t="s">
        <v>2187</v>
      </c>
      <c r="D200" s="507" t="s">
        <v>2191</v>
      </c>
      <c r="E200" s="637" t="s">
        <v>1538</v>
      </c>
      <c r="F200" s="637"/>
      <c r="G200" s="631" t="s">
        <v>1946</v>
      </c>
      <c r="H200" s="632" t="s">
        <v>668</v>
      </c>
      <c r="I200" s="638"/>
      <c r="J200" s="634" t="s">
        <v>485</v>
      </c>
      <c r="K200" s="635"/>
      <c r="L200" s="626"/>
      <c r="M200" s="627"/>
      <c r="N200" s="636" t="s">
        <v>2798</v>
      </c>
      <c r="O200" s="636" t="s">
        <v>3163</v>
      </c>
      <c r="P200" s="507" t="s">
        <v>2426</v>
      </c>
      <c r="Q200" s="631"/>
      <c r="S200" s="611"/>
      <c r="T200" s="611"/>
      <c r="U200" s="611"/>
      <c r="V200" s="611"/>
      <c r="W200" s="611"/>
      <c r="X200" s="611"/>
      <c r="Y200" s="611"/>
      <c r="Z200" s="611"/>
      <c r="AA200" s="611"/>
    </row>
    <row r="201" spans="1:27" ht="12" customHeight="1">
      <c r="A201" s="611"/>
      <c r="B201" s="507" t="s">
        <v>1460</v>
      </c>
      <c r="C201" s="507" t="s">
        <v>2188</v>
      </c>
      <c r="D201" s="507" t="s">
        <v>2237</v>
      </c>
      <c r="E201" s="630" t="s">
        <v>2189</v>
      </c>
      <c r="F201" s="630"/>
      <c r="G201" s="631" t="s">
        <v>1947</v>
      </c>
      <c r="H201" s="632" t="s">
        <v>667</v>
      </c>
      <c r="I201" s="633"/>
      <c r="J201" s="634" t="s">
        <v>393</v>
      </c>
      <c r="K201" s="635"/>
      <c r="L201" s="626"/>
      <c r="M201" s="627"/>
      <c r="N201" s="636" t="s">
        <v>392</v>
      </c>
      <c r="O201" s="636" t="s">
        <v>3163</v>
      </c>
      <c r="P201" s="507" t="s">
        <v>2427</v>
      </c>
      <c r="Q201" s="631"/>
      <c r="S201" s="611"/>
      <c r="T201" s="611"/>
      <c r="U201" s="611"/>
      <c r="V201" s="611"/>
      <c r="W201" s="611"/>
      <c r="X201" s="611"/>
      <c r="Y201" s="611"/>
      <c r="Z201" s="611"/>
      <c r="AA201" s="611"/>
    </row>
    <row r="202" spans="1:27" ht="12" customHeight="1">
      <c r="A202" s="611"/>
      <c r="B202" s="507" t="s">
        <v>1461</v>
      </c>
      <c r="C202" s="507" t="s">
        <v>2190</v>
      </c>
      <c r="D202" s="507" t="s">
        <v>2237</v>
      </c>
      <c r="E202" s="637" t="s">
        <v>1232</v>
      </c>
      <c r="F202" s="637"/>
      <c r="G202" s="631" t="s">
        <v>1948</v>
      </c>
      <c r="H202" s="632" t="s">
        <v>667</v>
      </c>
      <c r="I202" s="638"/>
      <c r="J202" s="634" t="s">
        <v>3848</v>
      </c>
      <c r="K202" s="635"/>
      <c r="L202" s="626"/>
      <c r="M202" s="627"/>
      <c r="N202" s="636" t="s">
        <v>3849</v>
      </c>
      <c r="O202" s="636" t="s">
        <v>4027</v>
      </c>
      <c r="P202" s="507" t="s">
        <v>2428</v>
      </c>
      <c r="Q202" s="631"/>
      <c r="S202" s="611"/>
      <c r="T202" s="611"/>
      <c r="U202" s="611"/>
      <c r="V202" s="611"/>
      <c r="W202" s="611"/>
      <c r="X202" s="611"/>
      <c r="Y202" s="611"/>
      <c r="Z202" s="611"/>
      <c r="AA202" s="611"/>
    </row>
    <row r="203" spans="1:27" ht="12" customHeight="1">
      <c r="A203" s="611"/>
      <c r="B203" s="507" t="s">
        <v>1462</v>
      </c>
      <c r="C203" s="507" t="s">
        <v>1233</v>
      </c>
      <c r="D203" s="507" t="s">
        <v>2237</v>
      </c>
      <c r="E203" s="630" t="s">
        <v>1234</v>
      </c>
      <c r="F203" s="630"/>
      <c r="G203" s="631" t="s">
        <v>2734</v>
      </c>
      <c r="H203" s="632" t="s">
        <v>667</v>
      </c>
      <c r="I203" s="633"/>
      <c r="J203" s="634" t="s">
        <v>4014</v>
      </c>
      <c r="K203" s="635"/>
      <c r="L203" s="626"/>
      <c r="M203" s="627"/>
      <c r="N203" s="636" t="s">
        <v>4015</v>
      </c>
      <c r="O203" s="636" t="s">
        <v>1825</v>
      </c>
      <c r="P203" s="507" t="s">
        <v>2429</v>
      </c>
      <c r="Q203" s="631"/>
      <c r="S203" s="611"/>
      <c r="T203" s="611"/>
      <c r="U203" s="611"/>
      <c r="V203" s="611"/>
      <c r="W203" s="611"/>
      <c r="X203" s="611"/>
      <c r="Y203" s="611"/>
      <c r="Z203" s="611"/>
      <c r="AA203" s="611"/>
    </row>
    <row r="204" spans="1:27" ht="12" customHeight="1">
      <c r="A204" s="611"/>
      <c r="B204" s="507" t="s">
        <v>1463</v>
      </c>
      <c r="C204" s="507" t="s">
        <v>1235</v>
      </c>
      <c r="D204" s="507" t="s">
        <v>2191</v>
      </c>
      <c r="E204" s="637" t="s">
        <v>1538</v>
      </c>
      <c r="F204" s="637"/>
      <c r="G204" s="631" t="s">
        <v>3974</v>
      </c>
      <c r="H204" s="632" t="s">
        <v>668</v>
      </c>
      <c r="I204" s="638"/>
      <c r="J204" s="634" t="s">
        <v>4016</v>
      </c>
      <c r="K204" s="635"/>
      <c r="L204" s="626"/>
      <c r="M204" s="627"/>
      <c r="N204" s="636" t="s">
        <v>4017</v>
      </c>
      <c r="O204" s="636" t="s">
        <v>354</v>
      </c>
      <c r="P204" s="507" t="s">
        <v>2430</v>
      </c>
      <c r="Q204" s="631"/>
      <c r="S204" s="611"/>
      <c r="T204" s="611"/>
      <c r="U204" s="611"/>
      <c r="V204" s="611"/>
      <c r="W204" s="611"/>
      <c r="X204" s="611"/>
      <c r="Y204" s="611"/>
      <c r="Z204" s="611"/>
      <c r="AA204" s="611"/>
    </row>
    <row r="205" spans="1:27" ht="12" customHeight="1">
      <c r="A205" s="611"/>
      <c r="B205" s="507" t="s">
        <v>1464</v>
      </c>
      <c r="C205" s="507" t="s">
        <v>2414</v>
      </c>
      <c r="D205" s="507" t="s">
        <v>2003</v>
      </c>
      <c r="E205" s="637" t="s">
        <v>2415</v>
      </c>
      <c r="F205" s="637"/>
      <c r="G205" s="631" t="s">
        <v>2840</v>
      </c>
      <c r="H205" s="632" t="s">
        <v>668</v>
      </c>
      <c r="I205" s="638"/>
      <c r="J205" s="634" t="s">
        <v>4018</v>
      </c>
      <c r="K205" s="635"/>
      <c r="L205" s="626"/>
      <c r="M205" s="627"/>
      <c r="N205" s="636" t="s">
        <v>4019</v>
      </c>
      <c r="O205" s="636" t="s">
        <v>3871</v>
      </c>
      <c r="P205" s="507" t="s">
        <v>2431</v>
      </c>
      <c r="Q205" s="631"/>
      <c r="S205" s="611"/>
      <c r="T205" s="611"/>
      <c r="U205" s="611"/>
      <c r="V205" s="611"/>
      <c r="W205" s="611"/>
      <c r="X205" s="611"/>
      <c r="Y205" s="611"/>
      <c r="Z205" s="611"/>
      <c r="AA205" s="611"/>
    </row>
    <row r="206" spans="1:27" ht="12" customHeight="1">
      <c r="A206" s="611"/>
      <c r="B206" s="507" t="s">
        <v>1465</v>
      </c>
      <c r="C206" s="507" t="s">
        <v>259</v>
      </c>
      <c r="D206" s="507" t="s">
        <v>2237</v>
      </c>
      <c r="E206" s="630" t="s">
        <v>260</v>
      </c>
      <c r="F206" s="630"/>
      <c r="G206" s="631" t="s">
        <v>2842</v>
      </c>
      <c r="H206" s="632" t="s">
        <v>667</v>
      </c>
      <c r="I206" s="633"/>
      <c r="J206" s="634" t="s">
        <v>3943</v>
      </c>
      <c r="K206" s="635"/>
      <c r="L206" s="626"/>
      <c r="M206" s="627"/>
      <c r="N206" s="636" t="s">
        <v>3944</v>
      </c>
      <c r="O206" s="636" t="s">
        <v>2188</v>
      </c>
      <c r="P206" s="507" t="s">
        <v>2432</v>
      </c>
      <c r="Q206" s="631"/>
      <c r="S206" s="611"/>
      <c r="T206" s="611"/>
      <c r="U206" s="611"/>
      <c r="V206" s="611"/>
      <c r="W206" s="611"/>
      <c r="X206" s="611"/>
      <c r="Y206" s="611"/>
      <c r="Z206" s="611"/>
      <c r="AA206" s="611"/>
    </row>
    <row r="207" spans="1:27" ht="12" customHeight="1">
      <c r="A207" s="611"/>
      <c r="B207" s="507" t="s">
        <v>1466</v>
      </c>
      <c r="C207" s="507" t="s">
        <v>261</v>
      </c>
      <c r="D207" s="507" t="s">
        <v>2237</v>
      </c>
      <c r="E207" s="637" t="s">
        <v>2289</v>
      </c>
      <c r="F207" s="637"/>
      <c r="G207" s="631" t="s">
        <v>2095</v>
      </c>
      <c r="H207" s="632" t="s">
        <v>668</v>
      </c>
      <c r="I207" s="638"/>
      <c r="J207" s="634" t="s">
        <v>3945</v>
      </c>
      <c r="K207" s="635"/>
      <c r="L207" s="626"/>
      <c r="M207" s="627"/>
      <c r="N207" s="636" t="s">
        <v>4013</v>
      </c>
      <c r="O207" s="636" t="s">
        <v>3981</v>
      </c>
      <c r="P207" s="507" t="s">
        <v>2433</v>
      </c>
      <c r="Q207" s="631"/>
      <c r="S207" s="611"/>
      <c r="T207" s="611"/>
      <c r="U207" s="611"/>
      <c r="V207" s="611"/>
      <c r="W207" s="611"/>
      <c r="X207" s="611"/>
      <c r="Y207" s="611"/>
      <c r="Z207" s="611"/>
      <c r="AA207" s="611"/>
    </row>
    <row r="208" spans="1:27" ht="12" customHeight="1">
      <c r="A208" s="611"/>
      <c r="B208" s="507" t="s">
        <v>2056</v>
      </c>
      <c r="C208" s="507" t="s">
        <v>262</v>
      </c>
      <c r="D208" s="507" t="s">
        <v>2191</v>
      </c>
      <c r="E208" s="637" t="s">
        <v>263</v>
      </c>
      <c r="F208" s="637"/>
      <c r="G208" s="631" t="s">
        <v>2843</v>
      </c>
      <c r="H208" s="632" t="s">
        <v>668</v>
      </c>
      <c r="I208" s="638"/>
      <c r="J208" s="634" t="s">
        <v>3946</v>
      </c>
      <c r="K208" s="635"/>
      <c r="L208" s="626"/>
      <c r="M208" s="627"/>
      <c r="N208" s="636" t="s">
        <v>4033</v>
      </c>
      <c r="O208" s="636" t="s">
        <v>2937</v>
      </c>
      <c r="P208" s="507" t="s">
        <v>2552</v>
      </c>
      <c r="Q208" s="631"/>
      <c r="S208" s="611"/>
      <c r="T208" s="611"/>
      <c r="U208" s="611"/>
      <c r="V208" s="611"/>
      <c r="W208" s="611"/>
      <c r="X208" s="611"/>
      <c r="Y208" s="611"/>
      <c r="Z208" s="611"/>
      <c r="AA208" s="611"/>
    </row>
    <row r="209" spans="1:27" ht="12" customHeight="1">
      <c r="A209" s="611"/>
      <c r="B209" s="507" t="s">
        <v>2057</v>
      </c>
      <c r="C209" s="507" t="s">
        <v>264</v>
      </c>
      <c r="D209" s="507" t="s">
        <v>2003</v>
      </c>
      <c r="E209" s="630" t="s">
        <v>265</v>
      </c>
      <c r="F209" s="630"/>
      <c r="G209" s="631" t="s">
        <v>2844</v>
      </c>
      <c r="H209" s="632" t="s">
        <v>667</v>
      </c>
      <c r="I209" s="633"/>
      <c r="J209" s="634" t="s">
        <v>4032</v>
      </c>
      <c r="K209" s="635"/>
      <c r="L209" s="626"/>
      <c r="M209" s="627"/>
      <c r="N209" s="636" t="s">
        <v>461</v>
      </c>
      <c r="O209" s="636" t="s">
        <v>460</v>
      </c>
      <c r="P209" s="1576" t="s">
        <v>1426</v>
      </c>
      <c r="Q209" s="611"/>
      <c r="S209" s="611"/>
      <c r="T209" s="611"/>
      <c r="U209" s="611"/>
      <c r="V209" s="611"/>
      <c r="W209" s="611"/>
      <c r="X209" s="611"/>
      <c r="Y209" s="611"/>
      <c r="Z209" s="611"/>
      <c r="AA209" s="611"/>
    </row>
    <row r="210" spans="1:27" ht="12" customHeight="1">
      <c r="A210" s="611"/>
      <c r="B210" s="507" t="s">
        <v>2058</v>
      </c>
      <c r="C210" s="507" t="s">
        <v>459</v>
      </c>
      <c r="D210" s="507" t="s">
        <v>2003</v>
      </c>
      <c r="E210" s="637" t="s">
        <v>1538</v>
      </c>
      <c r="F210" s="637"/>
      <c r="G210" s="631" t="s">
        <v>3974</v>
      </c>
      <c r="H210" s="632" t="s">
        <v>668</v>
      </c>
      <c r="I210" s="638"/>
      <c r="J210" s="634" t="s">
        <v>661</v>
      </c>
      <c r="K210" s="635"/>
      <c r="L210" s="626"/>
      <c r="M210" s="627"/>
      <c r="N210" s="636" t="s">
        <v>2126</v>
      </c>
      <c r="O210" s="636" t="s">
        <v>2127</v>
      </c>
      <c r="P210" s="507" t="s">
        <v>2692</v>
      </c>
      <c r="Q210" s="631"/>
      <c r="S210" s="611"/>
      <c r="T210" s="611"/>
      <c r="U210" s="611"/>
      <c r="V210" s="611"/>
      <c r="W210" s="611"/>
      <c r="X210" s="611"/>
      <c r="Y210" s="611"/>
      <c r="Z210" s="611"/>
      <c r="AA210" s="611"/>
    </row>
    <row r="211" spans="1:27" ht="12" customHeight="1">
      <c r="A211" s="611"/>
      <c r="B211" s="507" t="s">
        <v>2059</v>
      </c>
      <c r="C211" s="507" t="s">
        <v>460</v>
      </c>
      <c r="D211" s="507" t="s">
        <v>2191</v>
      </c>
      <c r="E211" s="630" t="s">
        <v>3189</v>
      </c>
      <c r="F211" s="630"/>
      <c r="G211" s="631" t="s">
        <v>1127</v>
      </c>
      <c r="H211" s="632" t="s">
        <v>668</v>
      </c>
      <c r="I211" s="633"/>
      <c r="J211" s="634" t="s">
        <v>662</v>
      </c>
      <c r="K211" s="635"/>
      <c r="L211" s="507"/>
      <c r="M211" s="627"/>
      <c r="N211" s="636" t="s">
        <v>1549</v>
      </c>
      <c r="O211" s="636" t="s">
        <v>204</v>
      </c>
      <c r="P211" s="507" t="s">
        <v>2693</v>
      </c>
      <c r="Q211" s="631"/>
      <c r="S211" s="611"/>
      <c r="T211" s="611"/>
      <c r="U211" s="611"/>
      <c r="V211" s="611"/>
      <c r="W211" s="611"/>
      <c r="X211" s="611"/>
      <c r="Y211" s="611"/>
      <c r="Z211" s="611"/>
      <c r="AA211" s="611"/>
    </row>
    <row r="212" spans="1:27" ht="12" customHeight="1">
      <c r="A212" s="611"/>
      <c r="B212" s="507" t="s">
        <v>2060</v>
      </c>
      <c r="C212" s="507" t="s">
        <v>3868</v>
      </c>
      <c r="D212" s="507" t="s">
        <v>2237</v>
      </c>
      <c r="E212" s="630" t="s">
        <v>3869</v>
      </c>
      <c r="F212" s="630"/>
      <c r="G212" s="631" t="s">
        <v>1128</v>
      </c>
      <c r="H212" s="632" t="s">
        <v>667</v>
      </c>
      <c r="I212" s="633"/>
      <c r="J212" s="634" t="s">
        <v>1548</v>
      </c>
      <c r="K212" s="639"/>
      <c r="L212" s="626"/>
      <c r="M212" s="627"/>
      <c r="N212" s="636" t="s">
        <v>3413</v>
      </c>
      <c r="O212" s="636" t="s">
        <v>2005</v>
      </c>
      <c r="P212" s="507" t="s">
        <v>2694</v>
      </c>
      <c r="Q212" s="631"/>
      <c r="S212" s="611"/>
      <c r="T212" s="611"/>
      <c r="U212" s="611"/>
      <c r="V212" s="611"/>
      <c r="W212" s="611"/>
      <c r="X212" s="611"/>
      <c r="Y212" s="611"/>
      <c r="Z212" s="611"/>
      <c r="AA212" s="611"/>
    </row>
    <row r="213" spans="1:27" ht="12" customHeight="1">
      <c r="A213" s="611"/>
      <c r="B213" s="507" t="s">
        <v>2061</v>
      </c>
      <c r="C213" s="507" t="s">
        <v>3870</v>
      </c>
      <c r="D213" s="507" t="s">
        <v>2191</v>
      </c>
      <c r="E213" s="637" t="s">
        <v>1538</v>
      </c>
      <c r="F213" s="637"/>
      <c r="G213" s="631" t="s">
        <v>3974</v>
      </c>
      <c r="H213" s="632" t="s">
        <v>668</v>
      </c>
      <c r="I213" s="638"/>
      <c r="J213" s="634" t="s">
        <v>1550</v>
      </c>
      <c r="K213" s="639"/>
      <c r="L213" s="626"/>
      <c r="M213" s="627"/>
      <c r="N213" s="636" t="s">
        <v>2293</v>
      </c>
      <c r="O213" s="636" t="s">
        <v>1750</v>
      </c>
      <c r="P213" s="1576" t="s">
        <v>1426</v>
      </c>
      <c r="Q213" s="611"/>
      <c r="S213" s="611"/>
      <c r="T213" s="611"/>
      <c r="U213" s="611"/>
      <c r="V213" s="611"/>
      <c r="W213" s="611"/>
      <c r="X213" s="611"/>
      <c r="Y213" s="611"/>
      <c r="Z213" s="611"/>
      <c r="AA213" s="611"/>
    </row>
    <row r="214" spans="1:27" ht="12" customHeight="1">
      <c r="A214" s="611"/>
      <c r="B214" s="507" t="s">
        <v>2062</v>
      </c>
      <c r="C214" s="507" t="s">
        <v>3871</v>
      </c>
      <c r="D214" s="507" t="s">
        <v>2237</v>
      </c>
      <c r="E214" s="630" t="s">
        <v>3872</v>
      </c>
      <c r="F214" s="630"/>
      <c r="G214" s="631" t="s">
        <v>1129</v>
      </c>
      <c r="H214" s="632" t="s">
        <v>667</v>
      </c>
      <c r="I214" s="633"/>
      <c r="J214" s="634" t="s">
        <v>3414</v>
      </c>
      <c r="K214" s="639"/>
      <c r="L214" s="626"/>
      <c r="M214" s="627"/>
      <c r="N214" s="636" t="s">
        <v>3416</v>
      </c>
      <c r="O214" s="636" t="s">
        <v>3873</v>
      </c>
      <c r="P214" s="507" t="s">
        <v>2695</v>
      </c>
      <c r="Q214" s="631"/>
      <c r="S214" s="611"/>
      <c r="T214" s="611"/>
      <c r="U214" s="611"/>
      <c r="V214" s="611"/>
      <c r="W214" s="611"/>
      <c r="X214" s="611"/>
      <c r="Y214" s="611"/>
      <c r="Z214" s="611"/>
      <c r="AA214" s="611"/>
    </row>
    <row r="215" spans="1:27" ht="12" customHeight="1">
      <c r="A215" s="611"/>
      <c r="B215" s="507" t="s">
        <v>2063</v>
      </c>
      <c r="C215" s="507" t="s">
        <v>3873</v>
      </c>
      <c r="D215" s="507" t="s">
        <v>2003</v>
      </c>
      <c r="E215" s="637" t="s">
        <v>1538</v>
      </c>
      <c r="F215" s="637"/>
      <c r="G215" s="631" t="s">
        <v>3974</v>
      </c>
      <c r="H215" s="632" t="s">
        <v>668</v>
      </c>
      <c r="I215" s="638"/>
      <c r="J215" s="634" t="s">
        <v>3415</v>
      </c>
      <c r="K215" s="639"/>
      <c r="L215" s="626"/>
      <c r="M215" s="627"/>
      <c r="N215" s="636" t="s">
        <v>3124</v>
      </c>
      <c r="O215" s="636" t="s">
        <v>3384</v>
      </c>
      <c r="P215" s="507" t="s">
        <v>2696</v>
      </c>
      <c r="Q215" s="631"/>
      <c r="S215" s="611"/>
      <c r="T215" s="611"/>
      <c r="U215" s="611"/>
      <c r="V215" s="611"/>
      <c r="W215" s="611"/>
      <c r="X215" s="611"/>
      <c r="Y215" s="611"/>
      <c r="Z215" s="611"/>
      <c r="AA215" s="611"/>
    </row>
    <row r="216" spans="1:27" ht="12" customHeight="1">
      <c r="A216" s="611"/>
      <c r="B216" s="507" t="s">
        <v>2064</v>
      </c>
      <c r="C216" s="507" t="s">
        <v>3874</v>
      </c>
      <c r="D216" s="507" t="s">
        <v>2237</v>
      </c>
      <c r="E216" s="630" t="s">
        <v>3875</v>
      </c>
      <c r="F216" s="630"/>
      <c r="G216" s="631" t="s">
        <v>1130</v>
      </c>
      <c r="H216" s="632" t="s">
        <v>667</v>
      </c>
      <c r="I216" s="633"/>
      <c r="J216" s="634" t="s">
        <v>3417</v>
      </c>
      <c r="K216" s="639"/>
      <c r="L216" s="626"/>
      <c r="M216" s="627"/>
      <c r="N216" s="636" t="s">
        <v>3304</v>
      </c>
      <c r="O216" s="636" t="s">
        <v>437</v>
      </c>
      <c r="P216" s="507" t="s">
        <v>2697</v>
      </c>
      <c r="Q216" s="631"/>
      <c r="S216" s="611"/>
      <c r="T216" s="611"/>
      <c r="U216" s="611"/>
      <c r="V216" s="611"/>
      <c r="W216" s="611"/>
      <c r="X216" s="611"/>
      <c r="Y216" s="611"/>
      <c r="Z216" s="611"/>
      <c r="AA216" s="611"/>
    </row>
    <row r="217" spans="1:27" ht="12" customHeight="1">
      <c r="A217" s="611"/>
      <c r="B217" s="507" t="s">
        <v>2065</v>
      </c>
      <c r="C217" s="507" t="s">
        <v>3876</v>
      </c>
      <c r="D217" s="507" t="s">
        <v>2237</v>
      </c>
      <c r="E217" s="630" t="s">
        <v>4021</v>
      </c>
      <c r="F217" s="630"/>
      <c r="G217" s="631" t="s">
        <v>1131</v>
      </c>
      <c r="H217" s="632" t="s">
        <v>667</v>
      </c>
      <c r="I217" s="633"/>
      <c r="J217" s="634" t="s">
        <v>3307</v>
      </c>
      <c r="K217" s="639"/>
      <c r="L217" s="626"/>
      <c r="M217" s="627"/>
      <c r="N217" s="636" t="s">
        <v>3308</v>
      </c>
      <c r="O217" s="636" t="s">
        <v>1258</v>
      </c>
      <c r="P217" s="507" t="s">
        <v>2698</v>
      </c>
      <c r="Q217" s="631"/>
      <c r="S217" s="611"/>
      <c r="T217" s="611"/>
      <c r="U217" s="611"/>
      <c r="V217" s="611"/>
      <c r="W217" s="611"/>
      <c r="X217" s="611"/>
      <c r="Y217" s="611"/>
      <c r="Z217" s="611"/>
      <c r="AA217" s="611"/>
    </row>
    <row r="218" spans="1:27" ht="12" customHeight="1">
      <c r="A218" s="611"/>
      <c r="B218" s="507" t="s">
        <v>2066</v>
      </c>
      <c r="C218" s="507" t="s">
        <v>4022</v>
      </c>
      <c r="D218" s="507" t="s">
        <v>2191</v>
      </c>
      <c r="E218" s="637" t="s">
        <v>1539</v>
      </c>
      <c r="F218" s="637"/>
      <c r="G218" s="631" t="s">
        <v>3994</v>
      </c>
      <c r="H218" s="632" t="s">
        <v>668</v>
      </c>
      <c r="I218" s="638"/>
      <c r="J218" s="634" t="s">
        <v>3309</v>
      </c>
      <c r="K218" s="639"/>
      <c r="L218" s="626"/>
      <c r="M218" s="627"/>
      <c r="N218" s="636" t="s">
        <v>3310</v>
      </c>
      <c r="O218" s="636" t="s">
        <v>2405</v>
      </c>
      <c r="P218" s="507" t="s">
        <v>2699</v>
      </c>
      <c r="Q218" s="631"/>
      <c r="S218" s="611"/>
      <c r="T218" s="611"/>
      <c r="U218" s="611"/>
      <c r="V218" s="611"/>
      <c r="W218" s="611"/>
      <c r="X218" s="611"/>
      <c r="Y218" s="611"/>
      <c r="Z218" s="611"/>
      <c r="AA218" s="611"/>
    </row>
    <row r="219" spans="1:27" ht="12" customHeight="1">
      <c r="A219" s="611"/>
      <c r="B219" s="507" t="s">
        <v>2067</v>
      </c>
      <c r="C219" s="507" t="s">
        <v>4023</v>
      </c>
      <c r="D219" s="507" t="s">
        <v>2237</v>
      </c>
      <c r="E219" s="630" t="s">
        <v>4024</v>
      </c>
      <c r="F219" s="630"/>
      <c r="G219" s="631" t="s">
        <v>1132</v>
      </c>
      <c r="H219" s="632" t="s">
        <v>667</v>
      </c>
      <c r="I219" s="633"/>
      <c r="J219" s="634" t="s">
        <v>3311</v>
      </c>
      <c r="K219" s="639"/>
      <c r="L219" s="626"/>
      <c r="M219" s="627"/>
      <c r="N219" s="636" t="s">
        <v>3312</v>
      </c>
      <c r="O219" s="636" t="s">
        <v>204</v>
      </c>
      <c r="P219" s="507" t="s">
        <v>2700</v>
      </c>
      <c r="Q219" s="631"/>
      <c r="S219" s="611"/>
      <c r="T219" s="611"/>
      <c r="U219" s="611"/>
      <c r="V219" s="611"/>
      <c r="W219" s="611"/>
      <c r="X219" s="611"/>
      <c r="Y219" s="611"/>
      <c r="Z219" s="611"/>
      <c r="AA219" s="611"/>
    </row>
    <row r="220" spans="1:27" ht="12" customHeight="1">
      <c r="A220" s="611"/>
      <c r="B220" s="507" t="s">
        <v>2068</v>
      </c>
      <c r="C220" s="507" t="s">
        <v>4025</v>
      </c>
      <c r="D220" s="507" t="s">
        <v>2191</v>
      </c>
      <c r="E220" s="637" t="s">
        <v>1538</v>
      </c>
      <c r="F220" s="637"/>
      <c r="G220" s="631" t="s">
        <v>3974</v>
      </c>
      <c r="H220" s="632" t="s">
        <v>668</v>
      </c>
      <c r="I220" s="638"/>
      <c r="J220" s="634" t="s">
        <v>3313</v>
      </c>
      <c r="K220" s="639"/>
      <c r="L220" s="626"/>
      <c r="M220" s="627"/>
      <c r="N220" s="636" t="s">
        <v>2662</v>
      </c>
      <c r="O220" s="636" t="s">
        <v>284</v>
      </c>
      <c r="P220" s="507" t="s">
        <v>2559</v>
      </c>
      <c r="Q220" s="631"/>
      <c r="S220" s="611"/>
      <c r="T220" s="611"/>
      <c r="U220" s="611"/>
      <c r="V220" s="611"/>
      <c r="W220" s="611"/>
      <c r="X220" s="611"/>
      <c r="Y220" s="611"/>
      <c r="Z220" s="611"/>
      <c r="AA220" s="611"/>
    </row>
    <row r="221" spans="1:27" ht="12" customHeight="1">
      <c r="A221" s="611"/>
      <c r="B221" s="507" t="s">
        <v>2069</v>
      </c>
      <c r="C221" s="507" t="s">
        <v>4026</v>
      </c>
      <c r="D221" s="507" t="s">
        <v>2191</v>
      </c>
      <c r="E221" s="637" t="s">
        <v>2283</v>
      </c>
      <c r="F221" s="637"/>
      <c r="G221" s="631" t="s">
        <v>3977</v>
      </c>
      <c r="H221" s="632" t="s">
        <v>668</v>
      </c>
      <c r="I221" s="638"/>
      <c r="J221" s="634" t="s">
        <v>3841</v>
      </c>
      <c r="K221" s="639"/>
      <c r="L221" s="626"/>
      <c r="M221" s="627"/>
      <c r="N221" s="636" t="s">
        <v>3842</v>
      </c>
      <c r="O221" s="636" t="s">
        <v>459</v>
      </c>
      <c r="P221" s="507" t="s">
        <v>2560</v>
      </c>
      <c r="Q221" s="631"/>
      <c r="S221" s="611"/>
      <c r="T221" s="611"/>
      <c r="U221" s="611"/>
      <c r="V221" s="611"/>
      <c r="W221" s="611"/>
      <c r="X221" s="611"/>
      <c r="Y221" s="611"/>
      <c r="Z221" s="611"/>
      <c r="AA221" s="611"/>
    </row>
    <row r="222" spans="1:27" ht="12" customHeight="1">
      <c r="A222" s="611"/>
      <c r="B222" s="507" t="s">
        <v>2070</v>
      </c>
      <c r="C222" s="507" t="s">
        <v>4027</v>
      </c>
      <c r="D222" s="507" t="s">
        <v>2237</v>
      </c>
      <c r="E222" s="630" t="s">
        <v>201</v>
      </c>
      <c r="F222" s="630"/>
      <c r="G222" s="631" t="s">
        <v>1133</v>
      </c>
      <c r="H222" s="632" t="s">
        <v>667</v>
      </c>
      <c r="I222" s="633"/>
      <c r="J222" s="634" t="s">
        <v>1854</v>
      </c>
      <c r="K222" s="639"/>
      <c r="L222" s="626"/>
      <c r="M222" s="627"/>
      <c r="N222" s="636" t="s">
        <v>1855</v>
      </c>
      <c r="O222" s="636" t="s">
        <v>758</v>
      </c>
      <c r="P222" s="507" t="s">
        <v>2561</v>
      </c>
      <c r="Q222" s="631"/>
      <c r="S222" s="611"/>
      <c r="T222" s="611"/>
      <c r="U222" s="611"/>
      <c r="V222" s="611"/>
      <c r="W222" s="611"/>
      <c r="X222" s="611"/>
      <c r="Y222" s="611"/>
      <c r="Z222" s="611"/>
      <c r="AA222" s="611"/>
    </row>
    <row r="223" spans="1:27" ht="12" customHeight="1">
      <c r="A223" s="611"/>
      <c r="B223" s="507" t="s">
        <v>2071</v>
      </c>
      <c r="C223" s="507" t="s">
        <v>202</v>
      </c>
      <c r="D223" s="507" t="s">
        <v>2003</v>
      </c>
      <c r="E223" s="637" t="s">
        <v>2415</v>
      </c>
      <c r="F223" s="637"/>
      <c r="G223" s="631" t="s">
        <v>2840</v>
      </c>
      <c r="H223" s="632" t="s">
        <v>668</v>
      </c>
      <c r="I223" s="638"/>
      <c r="J223" s="634" t="s">
        <v>3129</v>
      </c>
      <c r="K223" s="639"/>
      <c r="L223" s="626"/>
      <c r="M223" s="627"/>
      <c r="N223" s="636" t="s">
        <v>2006</v>
      </c>
      <c r="O223" s="636" t="s">
        <v>437</v>
      </c>
      <c r="P223" s="507" t="s">
        <v>2562</v>
      </c>
      <c r="Q223" s="631"/>
      <c r="S223" s="611"/>
      <c r="T223" s="611"/>
      <c r="U223" s="611"/>
      <c r="V223" s="611"/>
      <c r="W223" s="611"/>
      <c r="X223" s="611"/>
      <c r="Y223" s="611"/>
      <c r="Z223" s="611"/>
      <c r="AA223" s="611"/>
    </row>
    <row r="224" spans="1:27" ht="12" customHeight="1">
      <c r="A224" s="611"/>
      <c r="B224" s="507" t="s">
        <v>2072</v>
      </c>
      <c r="C224" s="507" t="s">
        <v>203</v>
      </c>
      <c r="D224" s="507" t="s">
        <v>2003</v>
      </c>
      <c r="E224" s="637" t="s">
        <v>1538</v>
      </c>
      <c r="F224" s="637"/>
      <c r="G224" s="631" t="s">
        <v>3974</v>
      </c>
      <c r="H224" s="632" t="s">
        <v>668</v>
      </c>
      <c r="I224" s="638"/>
      <c r="J224" s="634" t="s">
        <v>112</v>
      </c>
      <c r="K224" s="639"/>
      <c r="L224" s="626"/>
      <c r="M224" s="627"/>
      <c r="N224" s="636" t="s">
        <v>113</v>
      </c>
      <c r="O224" s="636" t="s">
        <v>2791</v>
      </c>
      <c r="P224" s="507" t="s">
        <v>2563</v>
      </c>
      <c r="Q224" s="631"/>
      <c r="S224" s="611"/>
      <c r="T224" s="611"/>
      <c r="U224" s="611"/>
      <c r="V224" s="611"/>
      <c r="W224" s="611"/>
      <c r="X224" s="611"/>
      <c r="Y224" s="611"/>
      <c r="Z224" s="611"/>
      <c r="AA224" s="611"/>
    </row>
    <row r="225" spans="1:27" ht="12" customHeight="1">
      <c r="A225" s="611"/>
      <c r="B225" s="507" t="s">
        <v>2073</v>
      </c>
      <c r="C225" s="507" t="s">
        <v>204</v>
      </c>
      <c r="D225" s="507" t="s">
        <v>2237</v>
      </c>
      <c r="E225" s="630" t="s">
        <v>205</v>
      </c>
      <c r="F225" s="630"/>
      <c r="G225" s="631" t="s">
        <v>1257</v>
      </c>
      <c r="H225" s="632" t="s">
        <v>667</v>
      </c>
      <c r="I225" s="633"/>
      <c r="J225" s="634" t="s">
        <v>3485</v>
      </c>
      <c r="K225" s="639"/>
      <c r="L225" s="626"/>
      <c r="M225" s="627"/>
      <c r="N225" s="636" t="s">
        <v>3486</v>
      </c>
      <c r="O225" s="636" t="s">
        <v>2236</v>
      </c>
      <c r="P225" s="507" t="s">
        <v>2831</v>
      </c>
      <c r="Q225" s="631"/>
      <c r="S225" s="611"/>
      <c r="T225" s="611"/>
      <c r="U225" s="611"/>
      <c r="V225" s="611"/>
      <c r="W225" s="611"/>
      <c r="X225" s="611"/>
      <c r="Y225" s="611"/>
      <c r="Z225" s="611"/>
      <c r="AA225" s="611"/>
    </row>
    <row r="226" spans="1:27" ht="12" customHeight="1">
      <c r="A226" s="611"/>
      <c r="B226" s="507" t="s">
        <v>2074</v>
      </c>
      <c r="C226" s="507" t="s">
        <v>206</v>
      </c>
      <c r="D226" s="507" t="s">
        <v>2191</v>
      </c>
      <c r="E226" s="637" t="s">
        <v>1538</v>
      </c>
      <c r="F226" s="637"/>
      <c r="G226" s="631" t="s">
        <v>3974</v>
      </c>
      <c r="H226" s="632" t="s">
        <v>668</v>
      </c>
      <c r="I226" s="638"/>
      <c r="J226" s="634" t="s">
        <v>3487</v>
      </c>
      <c r="K226" s="639"/>
      <c r="L226" s="626"/>
      <c r="M226" s="627"/>
      <c r="N226" s="636" t="s">
        <v>3488</v>
      </c>
      <c r="O226" s="636" t="s">
        <v>3652</v>
      </c>
      <c r="P226" s="507" t="s">
        <v>2701</v>
      </c>
      <c r="Q226" s="631"/>
      <c r="S226" s="611"/>
      <c r="T226" s="611"/>
      <c r="U226" s="611"/>
      <c r="V226" s="611"/>
      <c r="W226" s="611"/>
      <c r="X226" s="611"/>
      <c r="Y226" s="611"/>
      <c r="Z226" s="611"/>
      <c r="AA226" s="611"/>
    </row>
    <row r="227" spans="1:27" ht="12" customHeight="1">
      <c r="A227" s="611"/>
      <c r="B227" s="507" t="s">
        <v>2075</v>
      </c>
      <c r="C227" s="507" t="s">
        <v>207</v>
      </c>
      <c r="D227" s="507" t="s">
        <v>2237</v>
      </c>
      <c r="E227" s="630" t="s">
        <v>1777</v>
      </c>
      <c r="F227" s="630"/>
      <c r="G227" s="631" t="s">
        <v>3231</v>
      </c>
      <c r="H227" s="632" t="s">
        <v>667</v>
      </c>
      <c r="I227" s="633"/>
      <c r="J227" s="634" t="s">
        <v>3489</v>
      </c>
      <c r="K227" s="639"/>
      <c r="L227" s="626"/>
      <c r="M227" s="627"/>
      <c r="N227" s="507" t="s">
        <v>3962</v>
      </c>
      <c r="O227" s="507" t="s">
        <v>1258</v>
      </c>
      <c r="P227" s="1577" t="s">
        <v>3295</v>
      </c>
      <c r="Q227" s="631"/>
      <c r="R227" s="434"/>
      <c r="S227" s="507"/>
      <c r="T227" s="611"/>
      <c r="U227" s="611"/>
      <c r="V227" s="611"/>
      <c r="W227" s="611"/>
      <c r="X227" s="611"/>
      <c r="Y227" s="611"/>
      <c r="Z227" s="611"/>
      <c r="AA227" s="611"/>
    </row>
    <row r="228" spans="1:27" ht="12" customHeight="1">
      <c r="A228" s="611"/>
      <c r="B228" s="507" t="s">
        <v>2076</v>
      </c>
      <c r="C228" s="507" t="s">
        <v>1778</v>
      </c>
      <c r="D228" s="507" t="s">
        <v>2237</v>
      </c>
      <c r="E228" s="630" t="s">
        <v>1779</v>
      </c>
      <c r="F228" s="630"/>
      <c r="G228" s="631" t="s">
        <v>3232</v>
      </c>
      <c r="H228" s="632" t="s">
        <v>667</v>
      </c>
      <c r="I228" s="633"/>
      <c r="J228" s="634" t="s">
        <v>3338</v>
      </c>
      <c r="K228" s="639"/>
      <c r="L228" s="626"/>
      <c r="M228" s="627"/>
      <c r="N228" s="636" t="s">
        <v>3490</v>
      </c>
      <c r="O228" s="636" t="s">
        <v>283</v>
      </c>
      <c r="P228" s="507" t="s">
        <v>2702</v>
      </c>
      <c r="Q228" s="631"/>
      <c r="R228" s="434"/>
      <c r="S228" s="507"/>
      <c r="T228" s="611"/>
      <c r="U228" s="611"/>
      <c r="V228" s="611"/>
      <c r="W228" s="611"/>
      <c r="X228" s="611"/>
      <c r="Y228" s="611"/>
      <c r="Z228" s="611"/>
      <c r="AA228" s="611"/>
    </row>
    <row r="229" spans="1:27" ht="12" customHeight="1">
      <c r="A229" s="611"/>
      <c r="B229" s="507" t="s">
        <v>2077</v>
      </c>
      <c r="C229" s="507" t="s">
        <v>1780</v>
      </c>
      <c r="D229" s="507" t="s">
        <v>2237</v>
      </c>
      <c r="E229" s="637" t="s">
        <v>2661</v>
      </c>
      <c r="F229" s="637"/>
      <c r="G229" s="631" t="s">
        <v>2170</v>
      </c>
      <c r="H229" s="632" t="s">
        <v>668</v>
      </c>
      <c r="I229" s="638"/>
      <c r="J229" s="634" t="s">
        <v>2805</v>
      </c>
      <c r="K229" s="639"/>
      <c r="L229" s="626"/>
      <c r="M229" s="627"/>
      <c r="N229" s="636" t="s">
        <v>2915</v>
      </c>
      <c r="O229" s="636" t="s">
        <v>3876</v>
      </c>
      <c r="P229" s="507" t="s">
        <v>2703</v>
      </c>
      <c r="Q229" s="631"/>
      <c r="R229" s="434"/>
      <c r="S229" s="507"/>
      <c r="T229" s="611"/>
      <c r="U229" s="611"/>
      <c r="V229" s="611"/>
      <c r="W229" s="611"/>
      <c r="X229" s="611"/>
      <c r="Y229" s="611"/>
      <c r="Z229" s="611"/>
      <c r="AA229" s="611"/>
    </row>
    <row r="230" spans="1:27" ht="12" customHeight="1">
      <c r="A230" s="611"/>
      <c r="B230" s="507" t="s">
        <v>2078</v>
      </c>
      <c r="C230" s="507" t="s">
        <v>1478</v>
      </c>
      <c r="D230" s="507" t="s">
        <v>2191</v>
      </c>
      <c r="E230" s="637" t="s">
        <v>1538</v>
      </c>
      <c r="F230" s="637"/>
      <c r="G230" s="631" t="s">
        <v>3974</v>
      </c>
      <c r="H230" s="632" t="s">
        <v>668</v>
      </c>
      <c r="I230" s="638"/>
      <c r="J230" s="634" t="s">
        <v>2654</v>
      </c>
      <c r="K230" s="639"/>
      <c r="L230" s="626"/>
      <c r="M230" s="627"/>
      <c r="N230" s="636" t="s">
        <v>2806</v>
      </c>
      <c r="O230" s="636" t="s">
        <v>2005</v>
      </c>
      <c r="P230" s="507" t="s">
        <v>2704</v>
      </c>
      <c r="Q230" s="631"/>
      <c r="R230" s="434"/>
      <c r="S230" s="507"/>
      <c r="T230" s="611"/>
      <c r="U230" s="611"/>
      <c r="V230" s="611"/>
      <c r="W230" s="611"/>
      <c r="X230" s="611"/>
      <c r="Y230" s="611"/>
      <c r="Z230" s="611"/>
      <c r="AA230" s="611"/>
    </row>
    <row r="231" spans="1:27" ht="12" customHeight="1">
      <c r="A231" s="611"/>
      <c r="B231" s="507" t="s">
        <v>2079</v>
      </c>
      <c r="C231" s="507" t="s">
        <v>1479</v>
      </c>
      <c r="D231" s="507" t="s">
        <v>2237</v>
      </c>
      <c r="E231" s="630" t="s">
        <v>1565</v>
      </c>
      <c r="F231" s="630"/>
      <c r="G231" s="631" t="s">
        <v>3233</v>
      </c>
      <c r="H231" s="632" t="s">
        <v>667</v>
      </c>
      <c r="I231" s="633"/>
      <c r="J231" s="634" t="s">
        <v>3478</v>
      </c>
      <c r="K231" s="639"/>
      <c r="L231" s="626"/>
      <c r="M231" s="627"/>
      <c r="N231" s="636" t="s">
        <v>2655</v>
      </c>
      <c r="O231" s="636" t="s">
        <v>3135</v>
      </c>
      <c r="P231" s="507" t="s">
        <v>2705</v>
      </c>
      <c r="Q231" s="611"/>
      <c r="S231" s="611"/>
      <c r="T231" s="611"/>
      <c r="U231" s="611"/>
      <c r="V231" s="611"/>
      <c r="W231" s="611"/>
      <c r="X231" s="611"/>
      <c r="Y231" s="611"/>
      <c r="Z231" s="611"/>
      <c r="AA231" s="611"/>
    </row>
    <row r="232" spans="1:27" ht="12" customHeight="1">
      <c r="A232" s="611"/>
      <c r="B232" s="507" t="s">
        <v>2080</v>
      </c>
      <c r="C232" s="507" t="s">
        <v>1480</v>
      </c>
      <c r="D232" s="507" t="s">
        <v>2237</v>
      </c>
      <c r="E232" s="630" t="s">
        <v>2859</v>
      </c>
      <c r="F232" s="630"/>
      <c r="G232" s="631" t="s">
        <v>3896</v>
      </c>
      <c r="H232" s="632" t="s">
        <v>668</v>
      </c>
      <c r="I232" s="633"/>
      <c r="J232" s="634" t="s">
        <v>3364</v>
      </c>
      <c r="K232" s="639"/>
      <c r="L232" s="626"/>
      <c r="M232" s="627"/>
      <c r="N232" s="636" t="s">
        <v>1427</v>
      </c>
      <c r="O232" s="636" t="s">
        <v>3978</v>
      </c>
      <c r="P232" s="1576" t="s">
        <v>1426</v>
      </c>
      <c r="Q232" s="611"/>
      <c r="S232" s="611"/>
      <c r="T232" s="611"/>
      <c r="U232" s="611"/>
      <c r="V232" s="611"/>
      <c r="W232" s="611"/>
      <c r="X232" s="611"/>
      <c r="Y232" s="611"/>
      <c r="Z232" s="611"/>
      <c r="AA232" s="611"/>
    </row>
    <row r="233" spans="1:27" ht="12" customHeight="1">
      <c r="A233" s="611"/>
      <c r="B233" s="507" t="s">
        <v>2081</v>
      </c>
      <c r="C233" s="507" t="s">
        <v>1482</v>
      </c>
      <c r="D233" s="507" t="s">
        <v>2237</v>
      </c>
      <c r="E233" s="637" t="s">
        <v>2289</v>
      </c>
      <c r="F233" s="637"/>
      <c r="G233" s="631" t="s">
        <v>2095</v>
      </c>
      <c r="H233" s="632" t="s">
        <v>668</v>
      </c>
      <c r="I233" s="638"/>
      <c r="J233" s="634" t="s">
        <v>3804</v>
      </c>
      <c r="K233" s="635"/>
      <c r="L233" s="626"/>
      <c r="M233" s="627"/>
      <c r="N233" s="636" t="s">
        <v>3365</v>
      </c>
      <c r="O233" s="636" t="s">
        <v>3980</v>
      </c>
      <c r="P233" s="507" t="s">
        <v>2706</v>
      </c>
      <c r="Q233" s="631"/>
      <c r="S233" s="611"/>
      <c r="T233" s="611"/>
      <c r="U233" s="611"/>
      <c r="V233" s="611"/>
      <c r="W233" s="611"/>
      <c r="X233" s="611"/>
      <c r="Y233" s="611"/>
      <c r="Z233" s="611"/>
      <c r="AA233" s="611"/>
    </row>
    <row r="234" spans="1:27" ht="12" customHeight="1">
      <c r="A234" s="611"/>
      <c r="B234" s="640"/>
      <c r="C234" s="507" t="s">
        <v>1483</v>
      </c>
      <c r="D234" s="507" t="s">
        <v>2191</v>
      </c>
      <c r="E234" s="630" t="s">
        <v>1484</v>
      </c>
      <c r="F234" s="630"/>
      <c r="G234" s="631" t="s">
        <v>2192</v>
      </c>
      <c r="H234" s="632" t="s">
        <v>667</v>
      </c>
      <c r="I234" s="633"/>
      <c r="J234" s="634" t="s">
        <v>3806</v>
      </c>
      <c r="K234" s="635"/>
      <c r="L234" s="626"/>
      <c r="M234" s="627"/>
      <c r="N234" s="636" t="s">
        <v>3805</v>
      </c>
      <c r="O234" s="636" t="s">
        <v>1822</v>
      </c>
      <c r="P234" s="507" t="s">
        <v>2707</v>
      </c>
      <c r="Q234" s="631"/>
      <c r="S234" s="611"/>
      <c r="T234" s="611"/>
      <c r="U234" s="611"/>
      <c r="V234" s="611"/>
      <c r="W234" s="611"/>
      <c r="X234" s="611"/>
      <c r="Y234" s="611"/>
      <c r="Z234" s="611"/>
      <c r="AA234" s="611"/>
    </row>
    <row r="235" spans="1:27" ht="12" customHeight="1">
      <c r="A235" s="611"/>
      <c r="B235" s="640"/>
      <c r="C235" s="507" t="s">
        <v>3585</v>
      </c>
      <c r="D235" s="507" t="s">
        <v>2237</v>
      </c>
      <c r="E235" s="630" t="s">
        <v>3651</v>
      </c>
      <c r="F235" s="630"/>
      <c r="G235" s="631" t="s">
        <v>2193</v>
      </c>
      <c r="H235" s="632" t="s">
        <v>667</v>
      </c>
      <c r="I235" s="633"/>
      <c r="J235" s="634" t="s">
        <v>3808</v>
      </c>
      <c r="K235" s="635"/>
      <c r="L235" s="626"/>
      <c r="M235" s="627"/>
      <c r="N235" s="507" t="s">
        <v>3963</v>
      </c>
      <c r="O235" s="507" t="s">
        <v>350</v>
      </c>
      <c r="P235" s="1577" t="s">
        <v>3295</v>
      </c>
      <c r="Q235" s="631"/>
      <c r="S235" s="611"/>
      <c r="T235" s="611"/>
      <c r="U235" s="611"/>
      <c r="V235" s="611"/>
      <c r="W235" s="611"/>
      <c r="X235" s="611"/>
      <c r="Y235" s="611"/>
      <c r="Z235" s="611"/>
      <c r="AA235" s="611"/>
    </row>
    <row r="236" spans="1:27" ht="12" customHeight="1">
      <c r="A236" s="611"/>
      <c r="B236" s="640"/>
      <c r="C236" s="507" t="s">
        <v>3652</v>
      </c>
      <c r="D236" s="507" t="s">
        <v>2237</v>
      </c>
      <c r="E236" s="630" t="s">
        <v>1218</v>
      </c>
      <c r="F236" s="630"/>
      <c r="G236" s="631" t="s">
        <v>2194</v>
      </c>
      <c r="H236" s="632" t="s">
        <v>667</v>
      </c>
      <c r="I236" s="633"/>
      <c r="J236" s="634" t="s">
        <v>3720</v>
      </c>
      <c r="K236" s="635"/>
      <c r="L236" s="626"/>
      <c r="M236" s="627"/>
      <c r="N236" s="636" t="s">
        <v>3807</v>
      </c>
      <c r="O236" s="636" t="s">
        <v>2938</v>
      </c>
      <c r="P236" s="507" t="s">
        <v>2708</v>
      </c>
      <c r="Q236" s="631"/>
      <c r="S236" s="611"/>
      <c r="T236" s="611"/>
      <c r="U236" s="611"/>
      <c r="V236" s="611"/>
      <c r="W236" s="611"/>
      <c r="X236" s="611"/>
      <c r="Y236" s="611"/>
      <c r="Z236" s="611"/>
      <c r="AA236" s="611"/>
    </row>
    <row r="237" spans="1:27" ht="12" customHeight="1">
      <c r="A237" s="611"/>
      <c r="B237" s="640"/>
      <c r="C237" s="507" t="s">
        <v>1219</v>
      </c>
      <c r="D237" s="507" t="s">
        <v>2003</v>
      </c>
      <c r="E237" s="630" t="s">
        <v>1220</v>
      </c>
      <c r="F237" s="630"/>
      <c r="G237" s="631" t="s">
        <v>2195</v>
      </c>
      <c r="H237" s="632" t="s">
        <v>667</v>
      </c>
      <c r="I237" s="633"/>
      <c r="J237" s="634" t="s">
        <v>3721</v>
      </c>
      <c r="K237" s="635"/>
      <c r="L237" s="626"/>
      <c r="M237" s="627"/>
      <c r="N237" s="636" t="s">
        <v>3809</v>
      </c>
      <c r="O237" s="636" t="s">
        <v>1479</v>
      </c>
      <c r="P237" s="507" t="s">
        <v>2709</v>
      </c>
      <c r="Q237" s="631"/>
      <c r="S237" s="611"/>
      <c r="T237" s="611"/>
      <c r="U237" s="611"/>
      <c r="V237" s="611"/>
      <c r="W237" s="611"/>
      <c r="X237" s="611"/>
      <c r="Y237" s="611"/>
      <c r="Z237" s="611"/>
      <c r="AA237" s="611"/>
    </row>
    <row r="238" spans="1:27" ht="12" customHeight="1">
      <c r="A238" s="611"/>
      <c r="B238" s="640"/>
      <c r="C238" s="507" t="s">
        <v>1221</v>
      </c>
      <c r="D238" s="507" t="s">
        <v>2191</v>
      </c>
      <c r="E238" s="637" t="s">
        <v>1538</v>
      </c>
      <c r="F238" s="637"/>
      <c r="G238" s="631" t="s">
        <v>3974</v>
      </c>
      <c r="H238" s="632" t="s">
        <v>668</v>
      </c>
      <c r="I238" s="638"/>
      <c r="J238" s="634" t="s">
        <v>3563</v>
      </c>
      <c r="K238" s="635"/>
      <c r="L238" s="626"/>
      <c r="M238" s="627"/>
      <c r="N238" s="636" t="s">
        <v>3722</v>
      </c>
      <c r="O238" s="636" t="s">
        <v>261</v>
      </c>
      <c r="P238" s="507" t="s">
        <v>2836</v>
      </c>
      <c r="Q238" s="631"/>
      <c r="S238" s="611"/>
      <c r="T238" s="611"/>
      <c r="U238" s="611"/>
      <c r="V238" s="611"/>
      <c r="W238" s="611"/>
      <c r="X238" s="611"/>
      <c r="Y238" s="611"/>
      <c r="Z238" s="611"/>
      <c r="AA238" s="611"/>
    </row>
    <row r="239" spans="1:27" ht="12" customHeight="1">
      <c r="A239" s="611"/>
      <c r="B239" s="640"/>
      <c r="C239" s="507" t="s">
        <v>1097</v>
      </c>
      <c r="D239" s="507" t="s">
        <v>2003</v>
      </c>
      <c r="E239" s="637" t="s">
        <v>3328</v>
      </c>
      <c r="F239" s="637"/>
      <c r="G239" s="631" t="s">
        <v>2054</v>
      </c>
      <c r="H239" s="632" t="s">
        <v>668</v>
      </c>
      <c r="I239" s="638"/>
      <c r="J239" s="634" t="s">
        <v>1202</v>
      </c>
      <c r="K239" s="635"/>
      <c r="L239" s="626"/>
      <c r="M239" s="627"/>
      <c r="N239" s="636" t="s">
        <v>3564</v>
      </c>
      <c r="O239" s="636" t="s">
        <v>1219</v>
      </c>
      <c r="P239" s="507" t="s">
        <v>2571</v>
      </c>
      <c r="Q239" s="631"/>
      <c r="S239" s="611"/>
      <c r="T239" s="611"/>
      <c r="U239" s="611"/>
      <c r="V239" s="611"/>
      <c r="W239" s="611"/>
      <c r="X239" s="611"/>
      <c r="Y239" s="611"/>
      <c r="Z239" s="611"/>
      <c r="AA239" s="611"/>
    </row>
    <row r="240" spans="1:27" ht="12" customHeight="1">
      <c r="A240" s="611"/>
      <c r="B240" s="640"/>
      <c r="C240" s="507" t="s">
        <v>1098</v>
      </c>
      <c r="D240" s="507" t="s">
        <v>2003</v>
      </c>
      <c r="E240" s="637" t="s">
        <v>1538</v>
      </c>
      <c r="F240" s="637"/>
      <c r="G240" s="631" t="s">
        <v>3974</v>
      </c>
      <c r="H240" s="632" t="s">
        <v>668</v>
      </c>
      <c r="I240" s="638"/>
      <c r="J240" s="634" t="s">
        <v>1204</v>
      </c>
      <c r="K240" s="635"/>
      <c r="L240" s="626"/>
      <c r="M240" s="627"/>
      <c r="N240" s="636" t="s">
        <v>1203</v>
      </c>
      <c r="O240" s="636" t="s">
        <v>3868</v>
      </c>
      <c r="P240" s="507" t="s">
        <v>2572</v>
      </c>
      <c r="Q240" s="631"/>
      <c r="S240" s="611"/>
      <c r="T240" s="611"/>
      <c r="U240" s="611"/>
      <c r="V240" s="611"/>
      <c r="W240" s="611"/>
      <c r="X240" s="611"/>
      <c r="Y240" s="611"/>
      <c r="Z240" s="611"/>
      <c r="AA240" s="611"/>
    </row>
    <row r="241" spans="1:27" ht="12" customHeight="1">
      <c r="A241" s="611"/>
      <c r="B241" s="640"/>
      <c r="C241" s="507" t="s">
        <v>1099</v>
      </c>
      <c r="D241" s="507" t="s">
        <v>2003</v>
      </c>
      <c r="E241" s="637" t="s">
        <v>1100</v>
      </c>
      <c r="F241" s="637"/>
      <c r="G241" s="631" t="s">
        <v>2055</v>
      </c>
      <c r="H241" s="632" t="s">
        <v>667</v>
      </c>
      <c r="I241" s="638"/>
      <c r="J241" s="634" t="s">
        <v>1338</v>
      </c>
      <c r="K241" s="635"/>
      <c r="L241" s="626"/>
      <c r="M241" s="627"/>
      <c r="N241" s="636" t="s">
        <v>1205</v>
      </c>
      <c r="O241" s="636" t="s">
        <v>1750</v>
      </c>
      <c r="P241" s="507" t="s">
        <v>2573</v>
      </c>
      <c r="Q241" s="631"/>
      <c r="S241" s="611"/>
      <c r="T241" s="611"/>
      <c r="U241" s="611"/>
      <c r="V241" s="611"/>
      <c r="W241" s="611"/>
      <c r="X241" s="611"/>
      <c r="Y241" s="611"/>
      <c r="Z241" s="611"/>
      <c r="AA241" s="611"/>
    </row>
    <row r="242" spans="1:27" ht="12" customHeight="1">
      <c r="A242" s="611"/>
      <c r="B242" s="640"/>
      <c r="C242" s="507" t="s">
        <v>2127</v>
      </c>
      <c r="D242" s="507" t="s">
        <v>2191</v>
      </c>
      <c r="E242" s="637" t="s">
        <v>1538</v>
      </c>
      <c r="F242" s="637"/>
      <c r="G242" s="631" t="s">
        <v>3974</v>
      </c>
      <c r="H242" s="632" t="s">
        <v>668</v>
      </c>
      <c r="I242" s="638"/>
      <c r="J242" s="634" t="s">
        <v>1340</v>
      </c>
      <c r="K242" s="635"/>
      <c r="L242" s="626"/>
      <c r="M242" s="627"/>
      <c r="N242" s="636" t="s">
        <v>1339</v>
      </c>
      <c r="O242" s="636" t="s">
        <v>3980</v>
      </c>
      <c r="P242" s="507" t="s">
        <v>2574</v>
      </c>
      <c r="Q242" s="631"/>
      <c r="S242" s="611"/>
      <c r="T242" s="611"/>
      <c r="U242" s="611"/>
      <c r="V242" s="611"/>
      <c r="W242" s="611"/>
      <c r="X242" s="611"/>
      <c r="Y242" s="611"/>
      <c r="Z242" s="611"/>
      <c r="AA242" s="611"/>
    </row>
    <row r="243" spans="1:27" ht="12" customHeight="1">
      <c r="A243" s="611"/>
      <c r="B243" s="640"/>
      <c r="C243" s="507" t="s">
        <v>1101</v>
      </c>
      <c r="D243" s="507" t="s">
        <v>2003</v>
      </c>
      <c r="E243" s="630" t="s">
        <v>1102</v>
      </c>
      <c r="F243" s="630"/>
      <c r="G243" s="631" t="s">
        <v>533</v>
      </c>
      <c r="H243" s="632" t="s">
        <v>667</v>
      </c>
      <c r="I243" s="633"/>
      <c r="J243" s="634" t="s">
        <v>3465</v>
      </c>
      <c r="K243" s="635"/>
      <c r="L243" s="626"/>
      <c r="M243" s="627"/>
      <c r="N243" s="507" t="s">
        <v>3964</v>
      </c>
      <c r="O243" s="507" t="s">
        <v>3870</v>
      </c>
      <c r="P243" s="1577" t="s">
        <v>3295</v>
      </c>
      <c r="Q243" s="631"/>
      <c r="S243" s="611"/>
      <c r="T243" s="611"/>
      <c r="U243" s="611"/>
      <c r="V243" s="611"/>
      <c r="W243" s="611"/>
      <c r="X243" s="611"/>
      <c r="Y243" s="611"/>
      <c r="Z243" s="611"/>
      <c r="AA243" s="611"/>
    </row>
    <row r="244" spans="1:27" ht="12" customHeight="1">
      <c r="A244" s="611"/>
      <c r="B244" s="640"/>
      <c r="C244" s="507" t="s">
        <v>1103</v>
      </c>
      <c r="D244" s="507" t="s">
        <v>2191</v>
      </c>
      <c r="E244" s="637" t="s">
        <v>1348</v>
      </c>
      <c r="F244" s="637"/>
      <c r="G244" s="631" t="s">
        <v>534</v>
      </c>
      <c r="H244" s="632" t="s">
        <v>667</v>
      </c>
      <c r="I244" s="638"/>
      <c r="J244" s="634" t="s">
        <v>3466</v>
      </c>
      <c r="K244" s="635"/>
      <c r="L244" s="626"/>
      <c r="M244" s="627"/>
      <c r="N244" s="636" t="s">
        <v>3467</v>
      </c>
      <c r="O244" s="636" t="s">
        <v>2791</v>
      </c>
      <c r="P244" s="507" t="s">
        <v>2575</v>
      </c>
      <c r="Q244" s="631"/>
      <c r="S244" s="611"/>
      <c r="T244" s="611"/>
      <c r="U244" s="611"/>
      <c r="V244" s="611"/>
      <c r="W244" s="611"/>
      <c r="X244" s="611"/>
      <c r="Y244" s="611"/>
      <c r="Z244" s="611"/>
      <c r="AA244" s="611"/>
    </row>
    <row r="245" spans="1:27" ht="12" customHeight="1">
      <c r="A245" s="611"/>
      <c r="B245" s="640"/>
      <c r="C245" s="507" t="s">
        <v>1349</v>
      </c>
      <c r="D245" s="507" t="s">
        <v>2237</v>
      </c>
      <c r="E245" s="630" t="s">
        <v>108</v>
      </c>
      <c r="F245" s="630"/>
      <c r="G245" s="631" t="s">
        <v>3895</v>
      </c>
      <c r="H245" s="632" t="s">
        <v>668</v>
      </c>
      <c r="I245" s="633"/>
      <c r="J245" s="634" t="s">
        <v>3556</v>
      </c>
      <c r="K245" s="635"/>
      <c r="L245" s="626"/>
      <c r="M245" s="627"/>
      <c r="N245" s="636" t="s">
        <v>3557</v>
      </c>
      <c r="O245" s="636" t="s">
        <v>3900</v>
      </c>
      <c r="P245" s="507" t="s">
        <v>2576</v>
      </c>
      <c r="Q245" s="631"/>
      <c r="S245" s="611"/>
      <c r="T245" s="611"/>
      <c r="U245" s="611"/>
      <c r="V245" s="611"/>
      <c r="W245" s="611"/>
      <c r="X245" s="611"/>
      <c r="Y245" s="611"/>
      <c r="Z245" s="611"/>
      <c r="AA245" s="611"/>
    </row>
    <row r="246" spans="1:27" ht="12" customHeight="1">
      <c r="A246" s="611"/>
      <c r="B246" s="640"/>
      <c r="C246" s="507" t="s">
        <v>1350</v>
      </c>
      <c r="D246" s="507" t="s">
        <v>2003</v>
      </c>
      <c r="E246" s="630" t="s">
        <v>1351</v>
      </c>
      <c r="F246" s="630"/>
      <c r="G246" s="631" t="s">
        <v>535</v>
      </c>
      <c r="H246" s="632" t="s">
        <v>667</v>
      </c>
      <c r="I246" s="633"/>
      <c r="J246" s="634" t="s">
        <v>1150</v>
      </c>
      <c r="K246" s="635"/>
      <c r="L246" s="626"/>
      <c r="M246" s="627"/>
      <c r="N246" s="636" t="s">
        <v>1048</v>
      </c>
      <c r="O246" s="636" t="s">
        <v>1235</v>
      </c>
      <c r="P246" s="507" t="s">
        <v>2577</v>
      </c>
      <c r="Q246" s="631"/>
      <c r="S246" s="611"/>
      <c r="T246" s="611"/>
      <c r="U246" s="611"/>
      <c r="V246" s="611"/>
      <c r="W246" s="611"/>
      <c r="X246" s="611"/>
      <c r="Y246" s="611"/>
      <c r="Z246" s="611"/>
      <c r="AA246" s="611"/>
    </row>
    <row r="247" spans="1:27" ht="12" customHeight="1">
      <c r="A247" s="611"/>
      <c r="B247" s="640"/>
      <c r="C247" s="507" t="s">
        <v>1095</v>
      </c>
      <c r="D247" s="507" t="s">
        <v>2237</v>
      </c>
      <c r="E247" s="630" t="s">
        <v>1096</v>
      </c>
      <c r="F247" s="630"/>
      <c r="G247" s="631" t="s">
        <v>780</v>
      </c>
      <c r="H247" s="632" t="s">
        <v>667</v>
      </c>
      <c r="I247" s="633"/>
      <c r="J247" s="634" t="s">
        <v>1364</v>
      </c>
      <c r="K247" s="635"/>
      <c r="L247" s="626"/>
      <c r="M247" s="627"/>
      <c r="N247" s="636" t="s">
        <v>3339</v>
      </c>
      <c r="O247" s="636" t="s">
        <v>544</v>
      </c>
      <c r="P247" s="507" t="s">
        <v>2578</v>
      </c>
      <c r="Q247" s="631"/>
      <c r="S247" s="611"/>
      <c r="T247" s="611"/>
      <c r="U247" s="611"/>
      <c r="V247" s="611"/>
      <c r="W247" s="611"/>
      <c r="X247" s="611"/>
      <c r="Y247" s="611"/>
      <c r="Z247" s="611"/>
      <c r="AA247" s="611"/>
    </row>
    <row r="248" spans="1:27" ht="12" customHeight="1">
      <c r="A248" s="611"/>
      <c r="B248" s="640"/>
      <c r="C248" s="507" t="s">
        <v>1003</v>
      </c>
      <c r="D248" s="507" t="s">
        <v>2191</v>
      </c>
      <c r="E248" s="630" t="s">
        <v>1104</v>
      </c>
      <c r="F248" s="630"/>
      <c r="G248" s="631" t="s">
        <v>781</v>
      </c>
      <c r="H248" s="632" t="s">
        <v>667</v>
      </c>
      <c r="I248" s="633"/>
      <c r="J248" s="634" t="s">
        <v>3509</v>
      </c>
      <c r="K248" s="635"/>
      <c r="L248" s="626"/>
      <c r="M248" s="627"/>
      <c r="N248" s="636" t="s">
        <v>3482</v>
      </c>
      <c r="O248" s="636" t="s">
        <v>1483</v>
      </c>
      <c r="P248" s="507" t="s">
        <v>2579</v>
      </c>
      <c r="Q248" s="631"/>
      <c r="S248" s="611"/>
      <c r="T248" s="611"/>
      <c r="U248" s="611"/>
      <c r="V248" s="611"/>
      <c r="W248" s="611"/>
      <c r="X248" s="611"/>
      <c r="Y248" s="611"/>
      <c r="Z248" s="611"/>
      <c r="AA248" s="611"/>
    </row>
    <row r="249" spans="1:27" ht="12" customHeight="1">
      <c r="A249" s="611"/>
      <c r="B249" s="640"/>
      <c r="C249" s="507" t="s">
        <v>283</v>
      </c>
      <c r="D249" s="507" t="s">
        <v>2191</v>
      </c>
      <c r="E249" s="637" t="s">
        <v>1538</v>
      </c>
      <c r="F249" s="637"/>
      <c r="G249" s="631" t="s">
        <v>3974</v>
      </c>
      <c r="H249" s="632" t="s">
        <v>668</v>
      </c>
      <c r="I249" s="638"/>
      <c r="J249" s="634" t="s">
        <v>3713</v>
      </c>
      <c r="K249" s="635"/>
      <c r="L249" s="626"/>
      <c r="M249" s="627"/>
      <c r="N249" s="636" t="s">
        <v>182</v>
      </c>
      <c r="O249" s="636" t="s">
        <v>354</v>
      </c>
      <c r="P249" s="507" t="s">
        <v>2580</v>
      </c>
      <c r="Q249" s="631"/>
      <c r="S249" s="611"/>
      <c r="T249" s="611"/>
      <c r="U249" s="611"/>
      <c r="V249" s="611"/>
      <c r="W249" s="611"/>
      <c r="X249" s="611"/>
      <c r="Y249" s="611"/>
      <c r="Z249" s="611"/>
      <c r="AA249" s="611"/>
    </row>
    <row r="250" spans="1:27" ht="12" customHeight="1">
      <c r="A250" s="611"/>
      <c r="B250" s="640"/>
      <c r="C250" s="507" t="s">
        <v>284</v>
      </c>
      <c r="D250" s="507" t="s">
        <v>2003</v>
      </c>
      <c r="E250" s="630" t="s">
        <v>285</v>
      </c>
      <c r="F250" s="630"/>
      <c r="G250" s="631" t="s">
        <v>782</v>
      </c>
      <c r="H250" s="632" t="s">
        <v>667</v>
      </c>
      <c r="I250" s="633"/>
      <c r="J250" s="634" t="s">
        <v>181</v>
      </c>
      <c r="K250" s="635"/>
      <c r="L250" s="626"/>
      <c r="M250" s="627"/>
      <c r="N250" s="636" t="s">
        <v>1137</v>
      </c>
      <c r="O250" s="636" t="s">
        <v>3982</v>
      </c>
      <c r="P250" s="507" t="s">
        <v>2581</v>
      </c>
      <c r="Q250" s="631"/>
      <c r="S250" s="611"/>
      <c r="T250" s="611"/>
      <c r="U250" s="611"/>
      <c r="V250" s="611"/>
      <c r="W250" s="611"/>
      <c r="X250" s="611"/>
      <c r="Y250" s="611"/>
      <c r="Z250" s="611"/>
      <c r="AA250" s="611"/>
    </row>
    <row r="251" spans="1:27" ht="12" customHeight="1">
      <c r="A251" s="611"/>
      <c r="B251" s="640"/>
      <c r="C251" s="507" t="s">
        <v>539</v>
      </c>
      <c r="D251" s="507" t="s">
        <v>2003</v>
      </c>
      <c r="E251" s="630" t="s">
        <v>1869</v>
      </c>
      <c r="F251" s="630"/>
      <c r="G251" s="631" t="s">
        <v>783</v>
      </c>
      <c r="H251" s="632" t="s">
        <v>668</v>
      </c>
      <c r="I251" s="633"/>
      <c r="J251" s="634" t="s">
        <v>1136</v>
      </c>
      <c r="K251" s="635"/>
      <c r="L251" s="626"/>
      <c r="M251" s="627"/>
      <c r="N251" s="636" t="s">
        <v>531</v>
      </c>
      <c r="O251" s="636" t="s">
        <v>542</v>
      </c>
      <c r="P251" s="507" t="s">
        <v>2582</v>
      </c>
      <c r="Q251" s="631"/>
      <c r="S251" s="611"/>
      <c r="T251" s="611"/>
      <c r="U251" s="611"/>
      <c r="V251" s="611"/>
      <c r="W251" s="611"/>
      <c r="X251" s="611"/>
      <c r="Y251" s="611"/>
      <c r="Z251" s="611"/>
      <c r="AA251" s="611"/>
    </row>
    <row r="252" spans="1:27" ht="12" customHeight="1">
      <c r="A252" s="611"/>
      <c r="B252" s="640"/>
      <c r="C252" s="639" t="s">
        <v>540</v>
      </c>
      <c r="D252" s="507" t="s">
        <v>2191</v>
      </c>
      <c r="E252" s="630" t="s">
        <v>541</v>
      </c>
      <c r="F252" s="630"/>
      <c r="G252" s="631" t="s">
        <v>784</v>
      </c>
      <c r="H252" s="632" t="s">
        <v>667</v>
      </c>
      <c r="I252" s="633"/>
      <c r="J252" s="634" t="s">
        <v>530</v>
      </c>
      <c r="K252" s="635"/>
      <c r="L252" s="626"/>
      <c r="M252" s="627"/>
      <c r="N252" s="636" t="s">
        <v>3679</v>
      </c>
      <c r="O252" s="636" t="s">
        <v>204</v>
      </c>
      <c r="P252" s="507" t="s">
        <v>2583</v>
      </c>
      <c r="Q252" s="631"/>
      <c r="S252" s="611"/>
      <c r="T252" s="611"/>
      <c r="U252" s="611"/>
      <c r="V252" s="611"/>
      <c r="W252" s="611"/>
      <c r="X252" s="611"/>
      <c r="Y252" s="611"/>
      <c r="Z252" s="611"/>
      <c r="AA252" s="611"/>
    </row>
    <row r="253" spans="1:27" ht="12" customHeight="1">
      <c r="A253" s="611"/>
      <c r="B253" s="640"/>
      <c r="C253" s="507" t="s">
        <v>542</v>
      </c>
      <c r="D253" s="507" t="s">
        <v>2003</v>
      </c>
      <c r="E253" s="637" t="s">
        <v>1540</v>
      </c>
      <c r="F253" s="637"/>
      <c r="G253" s="631" t="s">
        <v>648</v>
      </c>
      <c r="H253" s="632" t="s">
        <v>668</v>
      </c>
      <c r="I253" s="638"/>
      <c r="J253" s="634" t="s">
        <v>3678</v>
      </c>
      <c r="K253" s="635"/>
      <c r="L253" s="626"/>
      <c r="M253" s="627"/>
      <c r="N253" s="636" t="s">
        <v>3633</v>
      </c>
      <c r="O253" s="636" t="s">
        <v>2790</v>
      </c>
      <c r="P253" s="507" t="s">
        <v>2584</v>
      </c>
      <c r="Q253" s="631"/>
      <c r="S253" s="611"/>
      <c r="T253" s="611"/>
      <c r="U253" s="611"/>
      <c r="V253" s="611"/>
      <c r="W253" s="611"/>
      <c r="X253" s="611"/>
      <c r="Y253" s="611"/>
      <c r="Z253" s="611"/>
      <c r="AA253" s="611"/>
    </row>
    <row r="254" spans="1:27" ht="12" customHeight="1">
      <c r="A254" s="611"/>
      <c r="B254" s="640"/>
      <c r="C254" s="507" t="s">
        <v>543</v>
      </c>
      <c r="D254" s="507" t="s">
        <v>2191</v>
      </c>
      <c r="E254" s="637" t="s">
        <v>263</v>
      </c>
      <c r="F254" s="637"/>
      <c r="G254" s="631" t="s">
        <v>2843</v>
      </c>
      <c r="H254" s="632" t="s">
        <v>668</v>
      </c>
      <c r="I254" s="638"/>
      <c r="J254" s="634" t="s">
        <v>3745</v>
      </c>
      <c r="K254" s="635"/>
      <c r="L254" s="626"/>
      <c r="M254" s="627"/>
      <c r="N254" s="636" t="s">
        <v>1259</v>
      </c>
      <c r="O254" s="636" t="s">
        <v>2290</v>
      </c>
      <c r="P254" s="507" t="s">
        <v>2585</v>
      </c>
      <c r="Q254" s="631"/>
      <c r="S254" s="611"/>
      <c r="T254" s="611"/>
      <c r="U254" s="611"/>
      <c r="V254" s="611"/>
      <c r="W254" s="611"/>
      <c r="X254" s="611"/>
      <c r="Y254" s="611"/>
      <c r="Z254" s="611"/>
      <c r="AA254" s="611"/>
    </row>
    <row r="255" spans="1:27" ht="12" customHeight="1">
      <c r="A255" s="611"/>
      <c r="B255" s="640"/>
      <c r="C255" s="507" t="s">
        <v>544</v>
      </c>
      <c r="D255" s="507" t="s">
        <v>2191</v>
      </c>
      <c r="E255" s="630" t="s">
        <v>545</v>
      </c>
      <c r="F255" s="630"/>
      <c r="G255" s="631" t="s">
        <v>649</v>
      </c>
      <c r="H255" s="632" t="s">
        <v>667</v>
      </c>
      <c r="I255" s="633"/>
      <c r="J255" s="634" t="s">
        <v>3635</v>
      </c>
      <c r="K255" s="635"/>
      <c r="L255" s="626"/>
      <c r="M255" s="627"/>
      <c r="N255" s="636" t="s">
        <v>2287</v>
      </c>
      <c r="O255" s="636" t="s">
        <v>1221</v>
      </c>
      <c r="P255" s="507" t="s">
        <v>2586</v>
      </c>
      <c r="Q255" s="631"/>
      <c r="S255" s="611"/>
      <c r="T255" s="611"/>
      <c r="U255" s="611"/>
      <c r="V255" s="611"/>
      <c r="W255" s="611"/>
      <c r="X255" s="611"/>
      <c r="Y255" s="611"/>
      <c r="Z255" s="611"/>
      <c r="AA255" s="611"/>
    </row>
    <row r="256" spans="1:27" ht="12" customHeight="1">
      <c r="A256" s="611"/>
      <c r="B256" s="640"/>
      <c r="C256" s="507" t="s">
        <v>349</v>
      </c>
      <c r="D256" s="507" t="s">
        <v>2191</v>
      </c>
      <c r="E256" s="637" t="s">
        <v>1538</v>
      </c>
      <c r="F256" s="637"/>
      <c r="G256" s="631" t="s">
        <v>3974</v>
      </c>
      <c r="H256" s="632" t="s">
        <v>668</v>
      </c>
      <c r="I256" s="638"/>
      <c r="J256" s="634" t="s">
        <v>3636</v>
      </c>
      <c r="K256" s="635"/>
      <c r="L256" s="626"/>
      <c r="M256" s="627"/>
      <c r="N256" s="636" t="s">
        <v>3669</v>
      </c>
      <c r="O256" s="636" t="s">
        <v>3874</v>
      </c>
      <c r="P256" s="507" t="s">
        <v>2587</v>
      </c>
      <c r="Q256" s="631"/>
      <c r="S256" s="611"/>
      <c r="T256" s="611"/>
      <c r="U256" s="611"/>
      <c r="V256" s="611"/>
      <c r="W256" s="611"/>
      <c r="X256" s="611"/>
      <c r="Y256" s="611"/>
      <c r="Z256" s="611"/>
      <c r="AA256" s="611"/>
    </row>
    <row r="257" spans="1:27" ht="12" customHeight="1">
      <c r="A257" s="611"/>
      <c r="B257" s="640"/>
      <c r="C257" s="507" t="s">
        <v>350</v>
      </c>
      <c r="D257" s="507" t="s">
        <v>2191</v>
      </c>
      <c r="E257" s="637" t="s">
        <v>1538</v>
      </c>
      <c r="F257" s="637"/>
      <c r="G257" s="631" t="s">
        <v>3974</v>
      </c>
      <c r="H257" s="632" t="s">
        <v>668</v>
      </c>
      <c r="I257" s="638"/>
      <c r="J257" s="634" t="s">
        <v>3668</v>
      </c>
      <c r="K257" s="635"/>
      <c r="L257" s="626"/>
      <c r="M257" s="627"/>
      <c r="N257" s="636" t="s">
        <v>108</v>
      </c>
      <c r="O257" s="636" t="s">
        <v>1349</v>
      </c>
      <c r="P257" s="507" t="s">
        <v>2588</v>
      </c>
      <c r="Q257" s="631"/>
      <c r="S257" s="611"/>
      <c r="T257" s="611"/>
      <c r="U257" s="611"/>
      <c r="V257" s="611"/>
      <c r="W257" s="611"/>
      <c r="X257" s="611"/>
      <c r="Y257" s="611"/>
      <c r="Z257" s="611"/>
      <c r="AA257" s="611"/>
    </row>
    <row r="258" spans="1:27" ht="12" customHeight="1">
      <c r="A258" s="611"/>
      <c r="B258" s="640"/>
      <c r="C258" s="507" t="s">
        <v>351</v>
      </c>
      <c r="D258" s="507" t="s">
        <v>2191</v>
      </c>
      <c r="E258" s="637" t="s">
        <v>2732</v>
      </c>
      <c r="F258" s="637"/>
      <c r="G258" s="631" t="s">
        <v>650</v>
      </c>
      <c r="H258" s="632" t="s">
        <v>668</v>
      </c>
      <c r="I258" s="638"/>
      <c r="J258" s="634" t="s">
        <v>245</v>
      </c>
      <c r="K258" s="635"/>
      <c r="L258" s="626"/>
      <c r="M258" s="627"/>
      <c r="N258" s="636" t="s">
        <v>110</v>
      </c>
      <c r="O258" s="636" t="s">
        <v>542</v>
      </c>
      <c r="P258" s="639" t="s">
        <v>2589</v>
      </c>
      <c r="Q258" s="631"/>
      <c r="S258" s="611"/>
      <c r="T258" s="611"/>
      <c r="U258" s="611"/>
      <c r="V258" s="611"/>
      <c r="W258" s="611"/>
      <c r="X258" s="611"/>
      <c r="Y258" s="611"/>
      <c r="Z258" s="611"/>
      <c r="AA258" s="611"/>
    </row>
    <row r="259" spans="1:27" ht="12" customHeight="1">
      <c r="A259" s="611"/>
      <c r="B259" s="640"/>
      <c r="C259" s="507" t="s">
        <v>352</v>
      </c>
      <c r="D259" s="507" t="s">
        <v>2237</v>
      </c>
      <c r="E259" s="630" t="s">
        <v>353</v>
      </c>
      <c r="F259" s="630"/>
      <c r="G259" s="631" t="s">
        <v>1207</v>
      </c>
      <c r="H259" s="632" t="s">
        <v>667</v>
      </c>
      <c r="I259" s="633"/>
      <c r="J259" s="634" t="s">
        <v>109</v>
      </c>
      <c r="K259" s="635"/>
      <c r="L259" s="626"/>
      <c r="M259" s="627"/>
      <c r="N259" s="636" t="s">
        <v>144</v>
      </c>
      <c r="O259" s="636" t="s">
        <v>3900</v>
      </c>
      <c r="P259" s="507" t="s">
        <v>2590</v>
      </c>
      <c r="Q259" s="631"/>
      <c r="S259" s="611"/>
      <c r="T259" s="611"/>
      <c r="U259" s="611"/>
      <c r="V259" s="611"/>
      <c r="W259" s="611"/>
      <c r="X259" s="611"/>
      <c r="Y259" s="611"/>
      <c r="Z259" s="611"/>
      <c r="AA259" s="611"/>
    </row>
    <row r="260" spans="1:27" ht="12" customHeight="1">
      <c r="A260" s="611"/>
      <c r="B260" s="640"/>
      <c r="C260" s="507" t="s">
        <v>354</v>
      </c>
      <c r="D260" s="507" t="s">
        <v>2191</v>
      </c>
      <c r="E260" s="630" t="s">
        <v>355</v>
      </c>
      <c r="F260" s="630"/>
      <c r="G260" s="631" t="s">
        <v>1208</v>
      </c>
      <c r="H260" s="632" t="s">
        <v>667</v>
      </c>
      <c r="I260" s="633"/>
      <c r="J260" s="634" t="s">
        <v>143</v>
      </c>
      <c r="K260" s="635"/>
      <c r="L260" s="626"/>
      <c r="M260" s="627"/>
      <c r="N260" s="636" t="s">
        <v>147</v>
      </c>
      <c r="O260" s="636" t="s">
        <v>471</v>
      </c>
      <c r="P260" s="507" t="s">
        <v>2591</v>
      </c>
      <c r="Q260" s="631"/>
      <c r="S260" s="611"/>
      <c r="T260" s="611"/>
      <c r="U260" s="611"/>
      <c r="V260" s="611"/>
      <c r="W260" s="611"/>
      <c r="X260" s="611"/>
      <c r="Y260" s="611"/>
      <c r="Z260" s="611"/>
      <c r="AA260" s="611"/>
    </row>
    <row r="261" spans="1:27" ht="12" customHeight="1">
      <c r="A261" s="611"/>
      <c r="B261" s="640"/>
      <c r="C261" s="507" t="s">
        <v>356</v>
      </c>
      <c r="D261" s="507" t="s">
        <v>2191</v>
      </c>
      <c r="E261" s="637" t="s">
        <v>1538</v>
      </c>
      <c r="F261" s="637"/>
      <c r="G261" s="631" t="s">
        <v>3974</v>
      </c>
      <c r="H261" s="632" t="s">
        <v>668</v>
      </c>
      <c r="I261" s="638"/>
      <c r="J261" s="634" t="s">
        <v>146</v>
      </c>
      <c r="K261" s="635"/>
      <c r="L261" s="626"/>
      <c r="M261" s="627"/>
      <c r="N261" s="636" t="s">
        <v>77</v>
      </c>
      <c r="O261" s="636" t="s">
        <v>283</v>
      </c>
      <c r="P261" s="507" t="s">
        <v>2592</v>
      </c>
      <c r="Q261" s="631"/>
      <c r="S261" s="611"/>
      <c r="T261" s="611"/>
      <c r="U261" s="611"/>
      <c r="V261" s="611"/>
      <c r="W261" s="611"/>
      <c r="X261" s="611"/>
      <c r="Y261" s="611"/>
      <c r="Z261" s="611"/>
      <c r="AA261" s="611"/>
    </row>
    <row r="262" spans="1:27" ht="12" customHeight="1">
      <c r="A262" s="611"/>
      <c r="B262" s="640"/>
      <c r="C262" s="507" t="s">
        <v>357</v>
      </c>
      <c r="D262" s="507" t="s">
        <v>2237</v>
      </c>
      <c r="E262" s="630" t="s">
        <v>436</v>
      </c>
      <c r="F262" s="630"/>
      <c r="G262" s="631" t="s">
        <v>1209</v>
      </c>
      <c r="H262" s="632" t="s">
        <v>667</v>
      </c>
      <c r="I262" s="633"/>
      <c r="J262" s="634" t="s">
        <v>76</v>
      </c>
      <c r="K262" s="635"/>
      <c r="L262" s="626"/>
      <c r="M262" s="627"/>
      <c r="N262" s="636" t="s">
        <v>714</v>
      </c>
      <c r="O262" s="636" t="s">
        <v>3171</v>
      </c>
      <c r="P262" s="507" t="s">
        <v>2454</v>
      </c>
      <c r="Q262" s="631"/>
      <c r="S262" s="611"/>
      <c r="T262" s="611"/>
      <c r="U262" s="611"/>
      <c r="V262" s="611"/>
      <c r="W262" s="611"/>
      <c r="X262" s="611"/>
      <c r="Y262" s="611"/>
      <c r="Z262" s="611"/>
      <c r="AA262" s="611"/>
    </row>
    <row r="263" spans="1:27" ht="12" customHeight="1">
      <c r="A263" s="611"/>
      <c r="B263" s="640"/>
      <c r="C263" s="507" t="s">
        <v>437</v>
      </c>
      <c r="D263" s="507" t="s">
        <v>2191</v>
      </c>
      <c r="E263" s="630" t="s">
        <v>438</v>
      </c>
      <c r="F263" s="630"/>
      <c r="G263" s="631" t="s">
        <v>480</v>
      </c>
      <c r="H263" s="632" t="s">
        <v>667</v>
      </c>
      <c r="I263" s="633"/>
      <c r="J263" s="634" t="s">
        <v>713</v>
      </c>
      <c r="K263" s="635"/>
      <c r="L263" s="626"/>
      <c r="M263" s="627"/>
      <c r="N263" s="636" t="s">
        <v>588</v>
      </c>
      <c r="O263" s="636" t="s">
        <v>1778</v>
      </c>
      <c r="P263" s="507" t="s">
        <v>2455</v>
      </c>
      <c r="Q263" s="631"/>
      <c r="S263" s="611"/>
      <c r="T263" s="611"/>
      <c r="U263" s="611"/>
      <c r="V263" s="611"/>
      <c r="W263" s="611"/>
      <c r="X263" s="611"/>
      <c r="Y263" s="611"/>
      <c r="Z263" s="611"/>
      <c r="AA263" s="611"/>
    </row>
    <row r="264" spans="1:27" ht="12" customHeight="1">
      <c r="A264" s="611"/>
      <c r="B264" s="640"/>
      <c r="C264" s="507" t="s">
        <v>439</v>
      </c>
      <c r="D264" s="507" t="s">
        <v>2237</v>
      </c>
      <c r="E264" s="630" t="s">
        <v>440</v>
      </c>
      <c r="F264" s="630"/>
      <c r="G264" s="631" t="s">
        <v>481</v>
      </c>
      <c r="H264" s="632" t="s">
        <v>667</v>
      </c>
      <c r="I264" s="633"/>
      <c r="J264" s="634" t="s">
        <v>715</v>
      </c>
      <c r="K264" s="635"/>
      <c r="L264" s="626"/>
      <c r="M264" s="627"/>
      <c r="N264" s="636" t="s">
        <v>470</v>
      </c>
      <c r="O264" s="636" t="s">
        <v>1819</v>
      </c>
      <c r="P264" s="507" t="s">
        <v>2353</v>
      </c>
      <c r="Q264" s="631"/>
      <c r="S264" s="611"/>
      <c r="T264" s="611"/>
      <c r="U264" s="611"/>
      <c r="V264" s="611"/>
      <c r="W264" s="611"/>
      <c r="X264" s="611"/>
      <c r="Y264" s="611"/>
      <c r="Z264" s="611"/>
      <c r="AA264" s="611"/>
    </row>
    <row r="265" spans="1:27" ht="12" customHeight="1">
      <c r="A265" s="611"/>
      <c r="B265" s="640"/>
      <c r="C265" s="507" t="s">
        <v>361</v>
      </c>
      <c r="D265" s="507" t="s">
        <v>2237</v>
      </c>
      <c r="E265" s="630" t="s">
        <v>362</v>
      </c>
      <c r="F265" s="630"/>
      <c r="G265" s="631" t="s">
        <v>482</v>
      </c>
      <c r="H265" s="632" t="s">
        <v>667</v>
      </c>
      <c r="I265" s="633"/>
      <c r="J265" s="634" t="s">
        <v>469</v>
      </c>
      <c r="K265" s="635"/>
      <c r="L265" s="626"/>
      <c r="M265" s="627"/>
      <c r="N265" s="636" t="s">
        <v>1260</v>
      </c>
      <c r="O265" s="636" t="s">
        <v>2085</v>
      </c>
      <c r="P265" s="507" t="s">
        <v>2354</v>
      </c>
      <c r="Q265" s="631"/>
      <c r="S265" s="611"/>
      <c r="T265" s="611"/>
      <c r="U265" s="611"/>
      <c r="V265" s="611"/>
      <c r="W265" s="611"/>
      <c r="X265" s="611"/>
      <c r="Y265" s="611"/>
      <c r="Z265" s="611"/>
      <c r="AA265" s="611"/>
    </row>
    <row r="266" spans="1:27" ht="12" customHeight="1">
      <c r="A266" s="611"/>
      <c r="B266" s="640"/>
      <c r="C266" s="507" t="s">
        <v>757</v>
      </c>
      <c r="D266" s="507" t="s">
        <v>2191</v>
      </c>
      <c r="E266" s="637" t="s">
        <v>2283</v>
      </c>
      <c r="F266" s="637"/>
      <c r="G266" s="631" t="s">
        <v>3977</v>
      </c>
      <c r="H266" s="632" t="s">
        <v>668</v>
      </c>
      <c r="I266" s="638"/>
      <c r="J266" s="634" t="s">
        <v>3615</v>
      </c>
      <c r="K266" s="635"/>
      <c r="L266" s="626"/>
      <c r="M266" s="627"/>
      <c r="N266" s="636" t="s">
        <v>3616</v>
      </c>
      <c r="O266" s="636" t="s">
        <v>1095</v>
      </c>
      <c r="P266" s="507" t="s">
        <v>2257</v>
      </c>
      <c r="Q266" s="631"/>
      <c r="S266" s="611"/>
      <c r="T266" s="611"/>
      <c r="U266" s="611"/>
      <c r="V266" s="611"/>
      <c r="W266" s="611"/>
      <c r="X266" s="611"/>
      <c r="Y266" s="611"/>
      <c r="Z266" s="611"/>
      <c r="AA266" s="611"/>
    </row>
    <row r="267" spans="1:27" ht="12" customHeight="1">
      <c r="A267" s="611"/>
      <c r="B267" s="640"/>
      <c r="C267" s="507" t="s">
        <v>758</v>
      </c>
      <c r="D267" s="507" t="s">
        <v>2191</v>
      </c>
      <c r="E267" s="637" t="s">
        <v>1541</v>
      </c>
      <c r="F267" s="637"/>
      <c r="G267" s="631" t="s">
        <v>604</v>
      </c>
      <c r="H267" s="632" t="s">
        <v>668</v>
      </c>
      <c r="I267" s="638"/>
      <c r="J267" s="634" t="s">
        <v>3617</v>
      </c>
      <c r="K267" s="635"/>
      <c r="L267" s="626"/>
      <c r="M267" s="627"/>
      <c r="N267" s="636" t="s">
        <v>2188</v>
      </c>
      <c r="O267" s="636" t="s">
        <v>1350</v>
      </c>
      <c r="P267" s="507" t="s">
        <v>2258</v>
      </c>
      <c r="Q267" s="631"/>
      <c r="S267" s="611"/>
      <c r="T267" s="611"/>
      <c r="U267" s="611"/>
      <c r="V267" s="611"/>
      <c r="W267" s="611"/>
      <c r="X267" s="611"/>
      <c r="Y267" s="611"/>
      <c r="Z267" s="611"/>
      <c r="AA267" s="611"/>
    </row>
    <row r="268" spans="1:27" ht="12" customHeight="1">
      <c r="A268" s="611"/>
      <c r="B268" s="640"/>
      <c r="C268" s="507" t="s">
        <v>2084</v>
      </c>
      <c r="D268" s="507" t="s">
        <v>2237</v>
      </c>
      <c r="E268" s="630" t="s">
        <v>2859</v>
      </c>
      <c r="F268" s="630"/>
      <c r="G268" s="631" t="s">
        <v>3896</v>
      </c>
      <c r="H268" s="632" t="s">
        <v>668</v>
      </c>
      <c r="I268" s="633"/>
      <c r="J268" s="634" t="s">
        <v>3611</v>
      </c>
      <c r="K268" s="635"/>
      <c r="L268" s="626"/>
      <c r="M268" s="627"/>
      <c r="N268" s="636" t="s">
        <v>3707</v>
      </c>
      <c r="O268" s="636" t="s">
        <v>97</v>
      </c>
      <c r="P268" s="507" t="s">
        <v>2259</v>
      </c>
      <c r="Q268" s="631"/>
      <c r="S268" s="611"/>
      <c r="T268" s="611"/>
      <c r="U268" s="611"/>
      <c r="V268" s="611"/>
      <c r="W268" s="611"/>
      <c r="X268" s="611"/>
      <c r="Y268" s="611"/>
      <c r="Z268" s="611"/>
      <c r="AA268" s="611"/>
    </row>
    <row r="269" spans="1:27" ht="12" customHeight="1">
      <c r="A269" s="611"/>
      <c r="B269" s="640"/>
      <c r="C269" s="507" t="s">
        <v>2085</v>
      </c>
      <c r="D269" s="507" t="s">
        <v>2237</v>
      </c>
      <c r="E269" s="630" t="s">
        <v>2086</v>
      </c>
      <c r="F269" s="630"/>
      <c r="G269" s="631" t="s">
        <v>605</v>
      </c>
      <c r="H269" s="632" t="s">
        <v>667</v>
      </c>
      <c r="I269" s="633"/>
      <c r="J269" s="634" t="s">
        <v>3706</v>
      </c>
      <c r="K269" s="635"/>
      <c r="L269" s="626"/>
      <c r="M269" s="627"/>
      <c r="N269" s="636" t="s">
        <v>2245</v>
      </c>
      <c r="O269" s="636" t="s">
        <v>2405</v>
      </c>
      <c r="P269" s="507" t="s">
        <v>2356</v>
      </c>
      <c r="Q269" s="631"/>
      <c r="S269" s="611"/>
      <c r="T269" s="611"/>
      <c r="U269" s="611"/>
      <c r="V269" s="611"/>
      <c r="W269" s="611"/>
      <c r="X269" s="611"/>
      <c r="Y269" s="611"/>
      <c r="Z269" s="611"/>
      <c r="AA269" s="611"/>
    </row>
    <row r="270" spans="1:27" ht="12" customHeight="1">
      <c r="A270" s="611"/>
      <c r="B270" s="640"/>
      <c r="C270" s="507" t="s">
        <v>2087</v>
      </c>
      <c r="D270" s="507" t="s">
        <v>2237</v>
      </c>
      <c r="E270" s="637" t="s">
        <v>2661</v>
      </c>
      <c r="F270" s="637"/>
      <c r="G270" s="631" t="s">
        <v>2170</v>
      </c>
      <c r="H270" s="632" t="s">
        <v>668</v>
      </c>
      <c r="I270" s="638"/>
      <c r="J270" s="634" t="s">
        <v>2244</v>
      </c>
      <c r="K270" s="635"/>
      <c r="L270" s="626"/>
      <c r="M270" s="627"/>
      <c r="N270" s="636" t="s">
        <v>2261</v>
      </c>
      <c r="O270" s="636" t="s">
        <v>1099</v>
      </c>
      <c r="P270" s="507" t="s">
        <v>2357</v>
      </c>
      <c r="Q270" s="631"/>
      <c r="S270" s="611"/>
      <c r="T270" s="611"/>
      <c r="U270" s="611"/>
      <c r="V270" s="611"/>
      <c r="W270" s="611"/>
      <c r="X270" s="611"/>
      <c r="Y270" s="611"/>
      <c r="Z270" s="611"/>
      <c r="AA270" s="611"/>
    </row>
    <row r="271" spans="1:27" ht="12" customHeight="1">
      <c r="A271" s="611"/>
      <c r="B271" s="640"/>
      <c r="C271" s="507" t="s">
        <v>2088</v>
      </c>
      <c r="D271" s="507" t="s">
        <v>2237</v>
      </c>
      <c r="E271" s="630" t="s">
        <v>1542</v>
      </c>
      <c r="F271" s="630"/>
      <c r="G271" s="631" t="s">
        <v>606</v>
      </c>
      <c r="H271" s="632" t="s">
        <v>668</v>
      </c>
      <c r="I271" s="633"/>
      <c r="J271" s="634" t="s">
        <v>2260</v>
      </c>
      <c r="K271" s="635"/>
      <c r="L271" s="626"/>
      <c r="M271" s="627"/>
      <c r="N271" s="636" t="s">
        <v>2359</v>
      </c>
      <c r="O271" s="636" t="s">
        <v>459</v>
      </c>
      <c r="P271" s="507" t="s">
        <v>2358</v>
      </c>
      <c r="Q271" s="631"/>
      <c r="S271" s="611"/>
      <c r="T271" s="611"/>
      <c r="U271" s="611"/>
      <c r="V271" s="611"/>
      <c r="W271" s="611"/>
      <c r="X271" s="611"/>
      <c r="Y271" s="611"/>
      <c r="Z271" s="611"/>
      <c r="AA271" s="611"/>
    </row>
    <row r="272" spans="1:27" ht="12" customHeight="1">
      <c r="A272" s="611"/>
      <c r="B272" s="640"/>
      <c r="C272" s="507" t="s">
        <v>2089</v>
      </c>
      <c r="D272" s="507" t="s">
        <v>2191</v>
      </c>
      <c r="E272" s="630" t="s">
        <v>2090</v>
      </c>
      <c r="F272" s="630"/>
      <c r="G272" s="631" t="s">
        <v>3924</v>
      </c>
      <c r="H272" s="632" t="s">
        <v>667</v>
      </c>
      <c r="I272" s="633"/>
      <c r="J272" s="634" t="s">
        <v>2249</v>
      </c>
      <c r="K272" s="635"/>
      <c r="L272" s="626"/>
      <c r="M272" s="627"/>
      <c r="N272" s="636" t="s">
        <v>2263</v>
      </c>
      <c r="O272" s="636" t="s">
        <v>2005</v>
      </c>
      <c r="P272" s="507" t="s">
        <v>2361</v>
      </c>
      <c r="Q272" s="631"/>
      <c r="S272" s="611"/>
      <c r="T272" s="611"/>
      <c r="U272" s="611"/>
      <c r="V272" s="611"/>
      <c r="W272" s="611"/>
      <c r="X272" s="611"/>
      <c r="Y272" s="611"/>
      <c r="Z272" s="611"/>
      <c r="AA272" s="611"/>
    </row>
    <row r="273" spans="1:27" ht="12" customHeight="1">
      <c r="A273" s="611"/>
      <c r="B273" s="640"/>
      <c r="C273" s="507" t="s">
        <v>2091</v>
      </c>
      <c r="D273" s="507" t="s">
        <v>2237</v>
      </c>
      <c r="E273" s="630" t="s">
        <v>2092</v>
      </c>
      <c r="F273" s="630"/>
      <c r="G273" s="631" t="s">
        <v>1061</v>
      </c>
      <c r="H273" s="632" t="s">
        <v>668</v>
      </c>
      <c r="I273" s="633"/>
      <c r="J273" s="634" t="s">
        <v>2262</v>
      </c>
      <c r="K273" s="635"/>
      <c r="L273" s="626"/>
      <c r="M273" s="627"/>
      <c r="N273" s="636" t="s">
        <v>2370</v>
      </c>
      <c r="O273" s="636" t="s">
        <v>390</v>
      </c>
      <c r="P273" s="507" t="s">
        <v>2362</v>
      </c>
      <c r="Q273" s="631"/>
      <c r="S273" s="611"/>
      <c r="T273" s="611"/>
      <c r="U273" s="611"/>
      <c r="V273" s="611"/>
      <c r="W273" s="611"/>
      <c r="X273" s="611"/>
      <c r="Y273" s="611"/>
      <c r="Z273" s="611"/>
      <c r="AA273" s="611"/>
    </row>
    <row r="274" spans="1:27" ht="12" customHeight="1">
      <c r="A274" s="611"/>
      <c r="B274" s="640"/>
      <c r="C274" s="507" t="s">
        <v>386</v>
      </c>
      <c r="D274" s="507" t="s">
        <v>2237</v>
      </c>
      <c r="E274" s="630" t="s">
        <v>2859</v>
      </c>
      <c r="F274" s="630"/>
      <c r="G274" s="631" t="s">
        <v>3896</v>
      </c>
      <c r="H274" s="632" t="s">
        <v>668</v>
      </c>
      <c r="I274" s="633"/>
      <c r="J274" s="634" t="s">
        <v>2369</v>
      </c>
      <c r="K274" s="635"/>
      <c r="L274" s="626"/>
      <c r="M274" s="627"/>
      <c r="N274" s="636" t="s">
        <v>3026</v>
      </c>
      <c r="O274" s="636" t="s">
        <v>1099</v>
      </c>
      <c r="P274" s="507" t="s">
        <v>2363</v>
      </c>
      <c r="Q274" s="631"/>
      <c r="S274" s="611"/>
      <c r="T274" s="611"/>
      <c r="U274" s="611"/>
      <c r="V274" s="611"/>
      <c r="W274" s="611"/>
      <c r="X274" s="611"/>
      <c r="Y274" s="611"/>
      <c r="Z274" s="611"/>
      <c r="AA274" s="611"/>
    </row>
    <row r="275" spans="1:27" ht="12" customHeight="1">
      <c r="A275" s="611"/>
      <c r="B275" s="640"/>
      <c r="C275" s="507" t="s">
        <v>387</v>
      </c>
      <c r="D275" s="507" t="s">
        <v>2003</v>
      </c>
      <c r="E275" s="637" t="s">
        <v>388</v>
      </c>
      <c r="F275" s="637"/>
      <c r="G275" s="631" t="s">
        <v>1062</v>
      </c>
      <c r="H275" s="632" t="s">
        <v>667</v>
      </c>
      <c r="I275" s="638"/>
      <c r="J275" s="634" t="s">
        <v>3025</v>
      </c>
      <c r="K275" s="635"/>
      <c r="L275" s="626"/>
      <c r="M275" s="627"/>
      <c r="N275" s="636" t="s">
        <v>3019</v>
      </c>
      <c r="O275" s="636" t="s">
        <v>1235</v>
      </c>
      <c r="P275" s="507" t="s">
        <v>2364</v>
      </c>
      <c r="Q275" s="631"/>
      <c r="S275" s="611"/>
      <c r="T275" s="611"/>
      <c r="U275" s="611"/>
      <c r="V275" s="611"/>
      <c r="W275" s="611"/>
      <c r="X275" s="611"/>
      <c r="Y275" s="611"/>
      <c r="Z275" s="611"/>
      <c r="AA275" s="611"/>
    </row>
    <row r="276" spans="1:27" ht="12" customHeight="1">
      <c r="A276" s="611"/>
      <c r="B276" s="640"/>
      <c r="C276" s="507" t="s">
        <v>2283</v>
      </c>
      <c r="D276" s="507" t="s">
        <v>2191</v>
      </c>
      <c r="E276" s="630" t="s">
        <v>389</v>
      </c>
      <c r="F276" s="630"/>
      <c r="G276" s="631" t="s">
        <v>1063</v>
      </c>
      <c r="H276" s="632" t="s">
        <v>667</v>
      </c>
      <c r="I276" s="633"/>
      <c r="J276" s="634" t="s">
        <v>3018</v>
      </c>
      <c r="K276" s="635"/>
      <c r="L276" s="626"/>
      <c r="M276" s="627"/>
      <c r="N276" s="636" t="s">
        <v>1671</v>
      </c>
      <c r="O276" s="636" t="s">
        <v>2006</v>
      </c>
      <c r="P276" s="507" t="s">
        <v>2365</v>
      </c>
      <c r="Q276" s="631"/>
      <c r="S276" s="611"/>
      <c r="T276" s="611"/>
      <c r="U276" s="611"/>
      <c r="V276" s="611"/>
      <c r="W276" s="611"/>
      <c r="X276" s="611"/>
      <c r="Y276" s="611"/>
      <c r="Z276" s="611"/>
      <c r="AA276" s="611"/>
    </row>
    <row r="277" spans="1:27" ht="12" customHeight="1">
      <c r="A277" s="611"/>
      <c r="B277" s="640"/>
      <c r="C277" s="507" t="s">
        <v>390</v>
      </c>
      <c r="D277" s="507" t="s">
        <v>2191</v>
      </c>
      <c r="E277" s="630" t="s">
        <v>3189</v>
      </c>
      <c r="F277" s="630"/>
      <c r="G277" s="631" t="s">
        <v>1127</v>
      </c>
      <c r="H277" s="632" t="s">
        <v>668</v>
      </c>
      <c r="I277" s="633"/>
      <c r="J277" s="634" t="s">
        <v>2912</v>
      </c>
      <c r="K277" s="635"/>
      <c r="L277" s="626"/>
      <c r="M277" s="627"/>
      <c r="N277" s="636" t="s">
        <v>1787</v>
      </c>
      <c r="O277" s="636" t="s">
        <v>1097</v>
      </c>
      <c r="P277" s="507" t="s">
        <v>2366</v>
      </c>
      <c r="Q277" s="631"/>
      <c r="S277" s="611"/>
      <c r="T277" s="611"/>
      <c r="U277" s="611"/>
      <c r="V277" s="611"/>
      <c r="W277" s="611"/>
      <c r="X277" s="611"/>
      <c r="Y277" s="611"/>
      <c r="Z277" s="611"/>
      <c r="AA277" s="611"/>
    </row>
    <row r="278" spans="1:27" ht="12" customHeight="1">
      <c r="A278" s="611"/>
      <c r="B278" s="640"/>
      <c r="C278" s="507" t="s">
        <v>471</v>
      </c>
      <c r="D278" s="507" t="s">
        <v>2191</v>
      </c>
      <c r="E278" s="637" t="s">
        <v>263</v>
      </c>
      <c r="F278" s="637"/>
      <c r="G278" s="631" t="s">
        <v>2843</v>
      </c>
      <c r="H278" s="632" t="s">
        <v>668</v>
      </c>
      <c r="I278" s="638"/>
      <c r="J278" s="634" t="s">
        <v>1785</v>
      </c>
      <c r="K278" s="635"/>
      <c r="L278" s="626"/>
      <c r="M278" s="627"/>
      <c r="N278" s="636" t="s">
        <v>342</v>
      </c>
      <c r="O278" s="636" t="s">
        <v>4023</v>
      </c>
      <c r="P278" s="507" t="s">
        <v>2367</v>
      </c>
      <c r="Q278" s="631"/>
      <c r="S278" s="611"/>
      <c r="T278" s="611"/>
      <c r="U278" s="611"/>
      <c r="V278" s="611"/>
      <c r="W278" s="611"/>
      <c r="X278" s="611"/>
      <c r="Y278" s="611"/>
      <c r="Z278" s="611"/>
      <c r="AA278" s="611"/>
    </row>
    <row r="279" spans="1:27" ht="12" customHeight="1">
      <c r="A279" s="611"/>
      <c r="B279" s="640"/>
      <c r="C279" s="507" t="s">
        <v>2875</v>
      </c>
      <c r="D279" s="507" t="s">
        <v>2191</v>
      </c>
      <c r="E279" s="637" t="s">
        <v>1539</v>
      </c>
      <c r="F279" s="637"/>
      <c r="G279" s="631" t="s">
        <v>3994</v>
      </c>
      <c r="H279" s="632" t="s">
        <v>668</v>
      </c>
      <c r="I279" s="638"/>
      <c r="J279" s="634" t="s">
        <v>1786</v>
      </c>
      <c r="K279" s="635"/>
      <c r="L279" s="626"/>
      <c r="M279" s="627"/>
      <c r="N279" s="636" t="s">
        <v>2925</v>
      </c>
      <c r="O279" s="636" t="s">
        <v>1825</v>
      </c>
      <c r="P279" s="507" t="s">
        <v>2368</v>
      </c>
      <c r="Q279" s="631"/>
      <c r="S279" s="611"/>
      <c r="T279" s="611"/>
      <c r="U279" s="611"/>
      <c r="V279" s="611"/>
      <c r="W279" s="611"/>
      <c r="X279" s="611"/>
      <c r="Y279" s="611"/>
      <c r="Z279" s="611"/>
      <c r="AA279" s="611"/>
    </row>
    <row r="280" spans="1:27" ht="12" customHeight="1">
      <c r="A280" s="611"/>
      <c r="B280" s="640"/>
      <c r="C280" s="507" t="s">
        <v>2876</v>
      </c>
      <c r="D280" s="507" t="s">
        <v>2237</v>
      </c>
      <c r="E280" s="630" t="s">
        <v>108</v>
      </c>
      <c r="F280" s="630"/>
      <c r="G280" s="631" t="s">
        <v>3895</v>
      </c>
      <c r="H280" s="632" t="s">
        <v>668</v>
      </c>
      <c r="I280" s="633"/>
      <c r="J280" s="634" t="s">
        <v>341</v>
      </c>
      <c r="K280" s="635"/>
      <c r="L280" s="626"/>
      <c r="M280" s="627"/>
      <c r="N280" s="636" t="s">
        <v>3303</v>
      </c>
      <c r="O280" s="636" t="s">
        <v>351</v>
      </c>
      <c r="P280" s="507" t="s">
        <v>2466</v>
      </c>
      <c r="Q280" s="631"/>
      <c r="S280" s="611"/>
      <c r="T280" s="611"/>
      <c r="U280" s="611"/>
      <c r="V280" s="611"/>
      <c r="W280" s="611"/>
      <c r="X280" s="611"/>
      <c r="Y280" s="611"/>
      <c r="Z280" s="611"/>
      <c r="AA280" s="611"/>
    </row>
    <row r="281" spans="1:27" ht="12" customHeight="1">
      <c r="A281" s="611"/>
      <c r="B281" s="640"/>
      <c r="C281" s="507" t="s">
        <v>2877</v>
      </c>
      <c r="D281" s="507" t="s">
        <v>2191</v>
      </c>
      <c r="E281" s="637" t="s">
        <v>1543</v>
      </c>
      <c r="F281" s="637"/>
      <c r="G281" s="631" t="s">
        <v>1064</v>
      </c>
      <c r="H281" s="632" t="s">
        <v>668</v>
      </c>
      <c r="I281" s="638"/>
      <c r="J281" s="634" t="s">
        <v>343</v>
      </c>
      <c r="K281" s="635"/>
      <c r="L281" s="626"/>
      <c r="M281" s="627"/>
      <c r="N281" s="636" t="s">
        <v>3394</v>
      </c>
      <c r="O281" s="636" t="s">
        <v>349</v>
      </c>
      <c r="P281" s="507" t="s">
        <v>2467</v>
      </c>
      <c r="Q281" s="631"/>
      <c r="S281" s="611"/>
      <c r="T281" s="611"/>
      <c r="U281" s="611"/>
      <c r="V281" s="611"/>
      <c r="W281" s="611"/>
      <c r="X281" s="611"/>
      <c r="Y281" s="611"/>
      <c r="Z281" s="611"/>
      <c r="AA281" s="611"/>
    </row>
    <row r="282" spans="1:27" ht="12" customHeight="1">
      <c r="A282" s="611"/>
      <c r="B282" s="640"/>
      <c r="C282" s="507" t="s">
        <v>2403</v>
      </c>
      <c r="D282" s="507" t="s">
        <v>2237</v>
      </c>
      <c r="E282" s="630" t="s">
        <v>2404</v>
      </c>
      <c r="F282" s="630"/>
      <c r="G282" s="631" t="s">
        <v>1065</v>
      </c>
      <c r="H282" s="632" t="s">
        <v>667</v>
      </c>
      <c r="I282" s="633"/>
      <c r="J282" s="634" t="s">
        <v>1952</v>
      </c>
      <c r="K282" s="635"/>
      <c r="L282" s="626"/>
      <c r="M282" s="627"/>
      <c r="N282" s="636" t="s">
        <v>3319</v>
      </c>
      <c r="O282" s="636" t="s">
        <v>1258</v>
      </c>
      <c r="P282" s="507" t="s">
        <v>2468</v>
      </c>
      <c r="Q282" s="631"/>
      <c r="S282" s="611"/>
      <c r="T282" s="611"/>
      <c r="U282" s="611"/>
      <c r="V282" s="611"/>
      <c r="W282" s="611"/>
      <c r="X282" s="611"/>
      <c r="Y282" s="611"/>
      <c r="Z282" s="611"/>
      <c r="AA282" s="611"/>
    </row>
    <row r="283" spans="1:27" ht="12" customHeight="1">
      <c r="A283" s="611"/>
      <c r="B283" s="640"/>
      <c r="C283" s="507" t="s">
        <v>2405</v>
      </c>
      <c r="D283" s="507" t="s">
        <v>2237</v>
      </c>
      <c r="E283" s="630" t="s">
        <v>2406</v>
      </c>
      <c r="F283" s="630"/>
      <c r="G283" s="631" t="s">
        <v>1066</v>
      </c>
      <c r="H283" s="632" t="s">
        <v>667</v>
      </c>
      <c r="I283" s="633"/>
      <c r="J283" s="634" t="s">
        <v>3302</v>
      </c>
      <c r="K283" s="635"/>
      <c r="L283" s="626"/>
      <c r="M283" s="627"/>
      <c r="N283" s="636" t="s">
        <v>3133</v>
      </c>
      <c r="O283" s="636" t="s">
        <v>3902</v>
      </c>
      <c r="P283" s="507" t="s">
        <v>2469</v>
      </c>
      <c r="Q283" s="631"/>
      <c r="S283" s="611"/>
      <c r="T283" s="611"/>
      <c r="U283" s="611"/>
      <c r="V283" s="611"/>
      <c r="W283" s="611"/>
      <c r="X283" s="611"/>
      <c r="Y283" s="611"/>
      <c r="Z283" s="611"/>
      <c r="AA283" s="611"/>
    </row>
    <row r="284" spans="1:27" ht="12" customHeight="1">
      <c r="A284" s="611"/>
      <c r="B284" s="640"/>
      <c r="C284" s="507" t="s">
        <v>2407</v>
      </c>
      <c r="D284" s="507" t="s">
        <v>2191</v>
      </c>
      <c r="E284" s="637" t="s">
        <v>3188</v>
      </c>
      <c r="F284" s="637"/>
      <c r="G284" s="631" t="s">
        <v>1067</v>
      </c>
      <c r="H284" s="632" t="s">
        <v>668</v>
      </c>
      <c r="I284" s="638"/>
      <c r="J284" s="634" t="s">
        <v>3393</v>
      </c>
      <c r="K284" s="635"/>
      <c r="L284" s="626"/>
      <c r="M284" s="627"/>
      <c r="N284" s="636" t="s">
        <v>1056</v>
      </c>
      <c r="O284" s="636" t="s">
        <v>2127</v>
      </c>
      <c r="P284" s="507" t="s">
        <v>2470</v>
      </c>
      <c r="Q284" s="631"/>
      <c r="S284" s="611"/>
      <c r="T284" s="611"/>
      <c r="U284" s="611"/>
      <c r="V284" s="611"/>
      <c r="W284" s="611"/>
      <c r="X284" s="611"/>
      <c r="Y284" s="611"/>
      <c r="Z284" s="611"/>
      <c r="AA284" s="611"/>
    </row>
    <row r="285" spans="1:27" ht="12" customHeight="1">
      <c r="A285" s="611"/>
      <c r="B285" s="640"/>
      <c r="C285" s="507" t="s">
        <v>191</v>
      </c>
      <c r="D285" s="507" t="s">
        <v>2237</v>
      </c>
      <c r="E285" s="630" t="s">
        <v>192</v>
      </c>
      <c r="F285" s="630"/>
      <c r="G285" s="631" t="s">
        <v>1068</v>
      </c>
      <c r="H285" s="632" t="s">
        <v>667</v>
      </c>
      <c r="I285" s="633"/>
      <c r="J285" s="634" t="s">
        <v>3318</v>
      </c>
      <c r="K285" s="635"/>
      <c r="L285" s="626"/>
      <c r="M285" s="627"/>
      <c r="N285" s="507" t="s">
        <v>3966</v>
      </c>
      <c r="O285" s="507" t="s">
        <v>3134</v>
      </c>
      <c r="P285" s="1577" t="s">
        <v>3295</v>
      </c>
      <c r="Q285" s="631"/>
      <c r="S285" s="611"/>
      <c r="T285" s="611"/>
      <c r="U285" s="611"/>
      <c r="V285" s="611"/>
      <c r="W285" s="611"/>
      <c r="X285" s="611"/>
      <c r="Y285" s="611"/>
      <c r="Z285" s="611"/>
      <c r="AA285" s="611"/>
    </row>
    <row r="286" spans="1:27" ht="12" customHeight="1">
      <c r="A286" s="611"/>
      <c r="B286" s="640"/>
      <c r="C286" s="507" t="s">
        <v>3900</v>
      </c>
      <c r="D286" s="507" t="s">
        <v>2191</v>
      </c>
      <c r="E286" s="637" t="s">
        <v>3901</v>
      </c>
      <c r="F286" s="637"/>
      <c r="G286" s="631" t="s">
        <v>1069</v>
      </c>
      <c r="H286" s="632" t="s">
        <v>667</v>
      </c>
      <c r="I286" s="638"/>
      <c r="J286" s="634" t="s">
        <v>3132</v>
      </c>
      <c r="K286" s="635"/>
      <c r="L286" s="626"/>
      <c r="M286" s="627"/>
      <c r="N286" s="636" t="s">
        <v>3410</v>
      </c>
      <c r="O286" s="636" t="s">
        <v>207</v>
      </c>
      <c r="P286" s="507" t="s">
        <v>2471</v>
      </c>
      <c r="Q286" s="631"/>
      <c r="S286" s="611"/>
      <c r="T286" s="611"/>
      <c r="U286" s="611"/>
      <c r="V286" s="611"/>
      <c r="W286" s="611"/>
      <c r="X286" s="611"/>
      <c r="Y286" s="611"/>
      <c r="Z286" s="611"/>
      <c r="AA286" s="611"/>
    </row>
    <row r="287" spans="1:27" ht="12" customHeight="1">
      <c r="A287" s="611"/>
      <c r="B287" s="640"/>
      <c r="C287" s="507" t="s">
        <v>3902</v>
      </c>
      <c r="D287" s="507" t="s">
        <v>2003</v>
      </c>
      <c r="E287" s="630" t="s">
        <v>3903</v>
      </c>
      <c r="F287" s="630"/>
      <c r="G287" s="631" t="s">
        <v>3097</v>
      </c>
      <c r="H287" s="632" t="s">
        <v>668</v>
      </c>
      <c r="I287" s="633"/>
      <c r="J287" s="634" t="s">
        <v>3160</v>
      </c>
      <c r="K287" s="635"/>
      <c r="L287" s="626"/>
      <c r="M287" s="627"/>
      <c r="N287" s="636" t="s">
        <v>3412</v>
      </c>
      <c r="O287" s="636" t="s">
        <v>207</v>
      </c>
      <c r="P287" s="507" t="s">
        <v>2472</v>
      </c>
      <c r="Q287" s="631"/>
      <c r="S287" s="611"/>
      <c r="T287" s="611"/>
      <c r="U287" s="611"/>
      <c r="V287" s="611"/>
      <c r="W287" s="611"/>
      <c r="X287" s="611"/>
      <c r="Y287" s="611"/>
      <c r="Z287" s="611"/>
      <c r="AA287" s="611"/>
    </row>
    <row r="288" spans="1:27" ht="12" customHeight="1">
      <c r="A288" s="611"/>
      <c r="B288" s="640"/>
      <c r="C288" s="507" t="s">
        <v>3978</v>
      </c>
      <c r="D288" s="507" t="s">
        <v>2191</v>
      </c>
      <c r="E288" s="637" t="s">
        <v>263</v>
      </c>
      <c r="F288" s="637"/>
      <c r="G288" s="631" t="s">
        <v>2843</v>
      </c>
      <c r="H288" s="632" t="s">
        <v>668</v>
      </c>
      <c r="I288" s="638"/>
      <c r="J288" s="634" t="s">
        <v>3411</v>
      </c>
      <c r="K288" s="635"/>
      <c r="L288" s="626"/>
      <c r="M288" s="627"/>
      <c r="N288" s="636" t="s">
        <v>1008</v>
      </c>
      <c r="O288" s="636" t="s">
        <v>3134</v>
      </c>
      <c r="P288" s="507" t="s">
        <v>2473</v>
      </c>
      <c r="Q288" s="631"/>
      <c r="S288" s="611"/>
      <c r="T288" s="611"/>
      <c r="U288" s="611"/>
      <c r="V288" s="611"/>
      <c r="W288" s="611"/>
      <c r="X288" s="611"/>
      <c r="Y288" s="611"/>
      <c r="Z288" s="611"/>
      <c r="AA288" s="611"/>
    </row>
    <row r="289" spans="1:27" ht="12" customHeight="1">
      <c r="A289" s="611"/>
      <c r="B289" s="640"/>
      <c r="C289" s="507" t="s">
        <v>3979</v>
      </c>
      <c r="D289" s="507" t="s">
        <v>2191</v>
      </c>
      <c r="E289" s="637" t="s">
        <v>1538</v>
      </c>
      <c r="F289" s="637"/>
      <c r="G289" s="631" t="s">
        <v>3974</v>
      </c>
      <c r="H289" s="632" t="s">
        <v>668</v>
      </c>
      <c r="I289" s="638"/>
      <c r="J289" s="634" t="s">
        <v>1007</v>
      </c>
      <c r="K289" s="635"/>
      <c r="L289" s="626"/>
      <c r="M289" s="627"/>
      <c r="N289" s="636" t="s">
        <v>3481</v>
      </c>
      <c r="O289" s="636" t="s">
        <v>284</v>
      </c>
      <c r="P289" s="507" t="s">
        <v>2474</v>
      </c>
      <c r="Q289" s="631"/>
      <c r="S289" s="611"/>
      <c r="T289" s="611"/>
      <c r="U289" s="611"/>
      <c r="V289" s="611"/>
      <c r="W289" s="611"/>
      <c r="X289" s="611"/>
      <c r="Y289" s="611"/>
      <c r="Z289" s="611"/>
      <c r="AA289" s="611"/>
    </row>
    <row r="290" spans="1:27" ht="12" customHeight="1">
      <c r="A290" s="611"/>
      <c r="B290" s="640"/>
      <c r="C290" s="507" t="s">
        <v>3980</v>
      </c>
      <c r="D290" s="507" t="s">
        <v>2191</v>
      </c>
      <c r="E290" s="630" t="s">
        <v>3189</v>
      </c>
      <c r="F290" s="630"/>
      <c r="G290" s="631" t="s">
        <v>1127</v>
      </c>
      <c r="H290" s="632" t="s">
        <v>668</v>
      </c>
      <c r="I290" s="633"/>
      <c r="J290" s="634" t="s">
        <v>3479</v>
      </c>
      <c r="K290" s="635"/>
      <c r="L290" s="626"/>
      <c r="M290" s="627"/>
      <c r="N290" s="636" t="s">
        <v>1924</v>
      </c>
      <c r="O290" s="636" t="s">
        <v>1258</v>
      </c>
      <c r="P290" s="507" t="s">
        <v>2475</v>
      </c>
      <c r="Q290" s="631"/>
      <c r="S290" s="611"/>
      <c r="T290" s="611"/>
      <c r="U290" s="611"/>
      <c r="V290" s="611"/>
      <c r="W290" s="611"/>
      <c r="X290" s="611"/>
      <c r="Y290" s="611"/>
      <c r="Z290" s="611"/>
      <c r="AA290" s="611"/>
    </row>
    <row r="291" spans="1:27" ht="12" customHeight="1">
      <c r="A291" s="611"/>
      <c r="B291" s="640"/>
      <c r="C291" s="507" t="s">
        <v>3981</v>
      </c>
      <c r="D291" s="507" t="s">
        <v>2191</v>
      </c>
      <c r="E291" s="630" t="s">
        <v>3189</v>
      </c>
      <c r="F291" s="630"/>
      <c r="G291" s="631" t="s">
        <v>1127</v>
      </c>
      <c r="H291" s="632" t="s">
        <v>668</v>
      </c>
      <c r="I291" s="633"/>
      <c r="J291" s="634" t="s">
        <v>3480</v>
      </c>
      <c r="K291" s="635"/>
      <c r="L291" s="626"/>
      <c r="M291" s="627"/>
      <c r="N291" s="636" t="s">
        <v>1926</v>
      </c>
      <c r="O291" s="636" t="s">
        <v>3652</v>
      </c>
      <c r="P291" s="507" t="s">
        <v>2476</v>
      </c>
      <c r="Q291" s="631"/>
      <c r="S291" s="611"/>
      <c r="T291" s="611"/>
      <c r="U291" s="611"/>
      <c r="V291" s="611"/>
      <c r="W291" s="611"/>
      <c r="X291" s="611"/>
      <c r="Y291" s="611"/>
      <c r="Z291" s="611"/>
      <c r="AA291" s="611"/>
    </row>
    <row r="292" spans="1:27" ht="12" customHeight="1">
      <c r="A292" s="611"/>
      <c r="B292" s="640"/>
      <c r="C292" s="507" t="s">
        <v>3982</v>
      </c>
      <c r="D292" s="507" t="s">
        <v>2003</v>
      </c>
      <c r="E292" s="637" t="s">
        <v>1538</v>
      </c>
      <c r="F292" s="637"/>
      <c r="G292" s="631" t="s">
        <v>3974</v>
      </c>
      <c r="H292" s="632" t="s">
        <v>668</v>
      </c>
      <c r="I292" s="638"/>
      <c r="J292" s="634" t="s">
        <v>2031</v>
      </c>
      <c r="K292" s="635"/>
      <c r="L292" s="626"/>
      <c r="M292" s="627"/>
      <c r="N292" s="636" t="s">
        <v>3870</v>
      </c>
      <c r="O292" s="636" t="s">
        <v>1833</v>
      </c>
      <c r="P292" s="507" t="s">
        <v>2477</v>
      </c>
      <c r="Q292" s="631"/>
      <c r="S292" s="611"/>
      <c r="T292" s="611"/>
      <c r="U292" s="611"/>
      <c r="V292" s="611"/>
      <c r="W292" s="611"/>
      <c r="X292" s="611"/>
      <c r="Y292" s="611"/>
      <c r="Z292" s="611"/>
      <c r="AA292" s="611"/>
    </row>
    <row r="293" spans="1:27" ht="12" customHeight="1">
      <c r="A293" s="611"/>
      <c r="B293" s="640"/>
      <c r="C293" s="507" t="s">
        <v>1819</v>
      </c>
      <c r="D293" s="507" t="s">
        <v>2191</v>
      </c>
      <c r="E293" s="637" t="s">
        <v>1820</v>
      </c>
      <c r="F293" s="637"/>
      <c r="G293" s="631" t="s">
        <v>3098</v>
      </c>
      <c r="H293" s="632" t="s">
        <v>667</v>
      </c>
      <c r="I293" s="638"/>
      <c r="J293" s="634" t="s">
        <v>1925</v>
      </c>
      <c r="K293" s="635"/>
      <c r="L293" s="626"/>
      <c r="M293" s="627"/>
      <c r="N293" s="636" t="s">
        <v>1929</v>
      </c>
      <c r="O293" s="636" t="s">
        <v>539</v>
      </c>
      <c r="P293" s="507" t="s">
        <v>2478</v>
      </c>
      <c r="Q293" s="631"/>
      <c r="S293" s="611"/>
      <c r="T293" s="611"/>
      <c r="U293" s="611"/>
      <c r="V293" s="611"/>
      <c r="W293" s="611"/>
      <c r="X293" s="611"/>
      <c r="Y293" s="611"/>
      <c r="Z293" s="611"/>
      <c r="AA293" s="611"/>
    </row>
    <row r="294" spans="1:27" ht="12" customHeight="1">
      <c r="A294" s="611"/>
      <c r="B294" s="640"/>
      <c r="C294" s="507" t="s">
        <v>1821</v>
      </c>
      <c r="D294" s="507" t="s">
        <v>2003</v>
      </c>
      <c r="E294" s="637" t="s">
        <v>1538</v>
      </c>
      <c r="F294" s="637"/>
      <c r="G294" s="631" t="s">
        <v>3974</v>
      </c>
      <c r="H294" s="632" t="s">
        <v>668</v>
      </c>
      <c r="I294" s="638"/>
      <c r="J294" s="634" t="s">
        <v>1927</v>
      </c>
      <c r="K294" s="635"/>
      <c r="L294" s="626"/>
      <c r="M294" s="627"/>
      <c r="N294" s="636" t="s">
        <v>3953</v>
      </c>
      <c r="O294" s="636" t="s">
        <v>275</v>
      </c>
      <c r="P294" s="507" t="s">
        <v>2479</v>
      </c>
      <c r="Q294" s="631"/>
      <c r="S294" s="611"/>
      <c r="T294" s="611"/>
      <c r="U294" s="611"/>
      <c r="V294" s="611"/>
      <c r="W294" s="611"/>
      <c r="X294" s="611"/>
      <c r="Y294" s="611"/>
      <c r="Z294" s="611"/>
      <c r="AA294" s="611"/>
    </row>
    <row r="295" spans="1:27" ht="12" customHeight="1">
      <c r="A295" s="611"/>
      <c r="B295" s="640"/>
      <c r="C295" s="507" t="s">
        <v>1822</v>
      </c>
      <c r="D295" s="507" t="s">
        <v>2237</v>
      </c>
      <c r="E295" s="630" t="s">
        <v>1823</v>
      </c>
      <c r="F295" s="630"/>
      <c r="G295" s="631" t="s">
        <v>3130</v>
      </c>
      <c r="H295" s="632" t="s">
        <v>667</v>
      </c>
      <c r="I295" s="633"/>
      <c r="J295" s="634" t="s">
        <v>1928</v>
      </c>
      <c r="K295" s="635"/>
      <c r="L295" s="626"/>
      <c r="M295" s="627"/>
      <c r="N295" s="636" t="s">
        <v>226</v>
      </c>
      <c r="O295" s="636" t="s">
        <v>204</v>
      </c>
      <c r="P295" s="507" t="s">
        <v>2606</v>
      </c>
      <c r="Q295" s="631"/>
      <c r="S295" s="611"/>
      <c r="T295" s="611"/>
      <c r="U295" s="611"/>
      <c r="V295" s="611"/>
      <c r="W295" s="611"/>
      <c r="X295" s="611"/>
      <c r="Y295" s="611"/>
      <c r="Z295" s="611"/>
      <c r="AA295" s="611"/>
    </row>
    <row r="296" spans="1:27" ht="12" customHeight="1">
      <c r="A296" s="611"/>
      <c r="B296" s="640"/>
      <c r="C296" s="507" t="s">
        <v>1824</v>
      </c>
      <c r="D296" s="507" t="s">
        <v>2191</v>
      </c>
      <c r="E296" s="637" t="s">
        <v>1538</v>
      </c>
      <c r="F296" s="637"/>
      <c r="G296" s="631" t="s">
        <v>3974</v>
      </c>
      <c r="H296" s="632" t="s">
        <v>668</v>
      </c>
      <c r="I296" s="638"/>
      <c r="J296" s="634" t="s">
        <v>1930</v>
      </c>
      <c r="K296" s="635"/>
      <c r="L296" s="626"/>
      <c r="M296" s="627"/>
      <c r="N296" s="636" t="s">
        <v>329</v>
      </c>
      <c r="O296" s="636" t="s">
        <v>3169</v>
      </c>
      <c r="P296" s="507" t="s">
        <v>2607</v>
      </c>
      <c r="Q296" s="611"/>
      <c r="S296" s="611"/>
      <c r="T296" s="611"/>
      <c r="U296" s="611"/>
      <c r="V296" s="611"/>
      <c r="W296" s="611"/>
      <c r="X296" s="611"/>
      <c r="Y296" s="611"/>
      <c r="Z296" s="611"/>
      <c r="AA296" s="611"/>
    </row>
    <row r="297" spans="1:27" ht="12" customHeight="1">
      <c r="A297" s="611"/>
      <c r="B297" s="640"/>
      <c r="C297" s="507" t="s">
        <v>1825</v>
      </c>
      <c r="D297" s="507" t="s">
        <v>2003</v>
      </c>
      <c r="E297" s="630" t="s">
        <v>1826</v>
      </c>
      <c r="F297" s="630"/>
      <c r="G297" s="631" t="s">
        <v>3104</v>
      </c>
      <c r="H297" s="632" t="s">
        <v>667</v>
      </c>
      <c r="I297" s="633"/>
      <c r="J297" s="634" t="s">
        <v>3879</v>
      </c>
      <c r="K297" s="635"/>
      <c r="L297" s="626"/>
      <c r="M297" s="627"/>
      <c r="N297" s="636" t="s">
        <v>331</v>
      </c>
      <c r="O297" s="636" t="s">
        <v>2284</v>
      </c>
      <c r="P297" s="507" t="s">
        <v>2486</v>
      </c>
      <c r="Q297" s="631"/>
      <c r="S297" s="611"/>
      <c r="T297" s="611"/>
      <c r="U297" s="611"/>
      <c r="V297" s="611"/>
      <c r="W297" s="611"/>
      <c r="X297" s="611"/>
      <c r="Y297" s="611"/>
      <c r="Z297" s="611"/>
      <c r="AA297" s="611"/>
    </row>
    <row r="298" spans="1:27" ht="12" customHeight="1">
      <c r="A298" s="611"/>
      <c r="B298" s="640"/>
      <c r="C298" s="507" t="s">
        <v>1827</v>
      </c>
      <c r="D298" s="507" t="s">
        <v>2237</v>
      </c>
      <c r="E298" s="637" t="s">
        <v>1828</v>
      </c>
      <c r="F298" s="637"/>
      <c r="G298" s="631" t="s">
        <v>3105</v>
      </c>
      <c r="H298" s="632" t="s">
        <v>667</v>
      </c>
      <c r="I298" s="638"/>
      <c r="J298" s="634" t="s">
        <v>227</v>
      </c>
      <c r="K298" s="635"/>
      <c r="L298" s="626"/>
      <c r="M298" s="627"/>
      <c r="N298" s="636" t="s">
        <v>1876</v>
      </c>
      <c r="O298" s="636" t="s">
        <v>3257</v>
      </c>
      <c r="P298" s="507" t="s">
        <v>2487</v>
      </c>
      <c r="Q298" s="631"/>
      <c r="S298" s="611"/>
      <c r="T298" s="611"/>
      <c r="U298" s="611"/>
      <c r="V298" s="611"/>
      <c r="W298" s="611"/>
      <c r="X298" s="611"/>
      <c r="Y298" s="611"/>
      <c r="Z298" s="611"/>
      <c r="AA298" s="611"/>
    </row>
    <row r="299" spans="1:27" ht="12" customHeight="1">
      <c r="A299" s="611"/>
      <c r="B299" s="640"/>
      <c r="C299" s="507" t="s">
        <v>1829</v>
      </c>
      <c r="D299" s="507" t="s">
        <v>2191</v>
      </c>
      <c r="E299" s="637" t="s">
        <v>1830</v>
      </c>
      <c r="F299" s="637"/>
      <c r="G299" s="631" t="s">
        <v>2993</v>
      </c>
      <c r="H299" s="632" t="s">
        <v>667</v>
      </c>
      <c r="I299" s="638"/>
      <c r="J299" s="634" t="s">
        <v>228</v>
      </c>
      <c r="K299" s="635"/>
      <c r="L299" s="626"/>
      <c r="M299" s="627"/>
      <c r="N299" s="636" t="s">
        <v>1878</v>
      </c>
      <c r="O299" s="636" t="s">
        <v>390</v>
      </c>
      <c r="P299" s="507" t="s">
        <v>2488</v>
      </c>
      <c r="Q299" s="631"/>
      <c r="S299" s="611"/>
      <c r="T299" s="611"/>
      <c r="U299" s="611"/>
      <c r="V299" s="611"/>
      <c r="W299" s="611"/>
      <c r="X299" s="611"/>
      <c r="Y299" s="611"/>
      <c r="Z299" s="611"/>
      <c r="AA299" s="611"/>
    </row>
    <row r="300" spans="1:27" ht="12" customHeight="1">
      <c r="A300" s="611"/>
      <c r="B300" s="640"/>
      <c r="C300" s="507" t="s">
        <v>1831</v>
      </c>
      <c r="D300" s="507" t="s">
        <v>2237</v>
      </c>
      <c r="E300" s="630" t="s">
        <v>1832</v>
      </c>
      <c r="F300" s="630"/>
      <c r="G300" s="631" t="s">
        <v>2664</v>
      </c>
      <c r="H300" s="632" t="s">
        <v>667</v>
      </c>
      <c r="I300" s="633"/>
      <c r="J300" s="634" t="s">
        <v>229</v>
      </c>
      <c r="K300" s="635"/>
      <c r="L300" s="626"/>
      <c r="M300" s="627"/>
      <c r="N300" s="636" t="s">
        <v>1978</v>
      </c>
      <c r="O300" s="636" t="s">
        <v>1748</v>
      </c>
      <c r="P300" s="1576" t="s">
        <v>1426</v>
      </c>
      <c r="Q300" s="611"/>
      <c r="S300" s="611"/>
      <c r="T300" s="611"/>
      <c r="U300" s="611"/>
      <c r="V300" s="611"/>
      <c r="W300" s="611"/>
      <c r="X300" s="611"/>
      <c r="Y300" s="611"/>
      <c r="Z300" s="611"/>
      <c r="AA300" s="611"/>
    </row>
    <row r="301" spans="1:27" ht="12" customHeight="1">
      <c r="A301" s="611"/>
      <c r="B301" s="640"/>
      <c r="C301" s="507" t="s">
        <v>1833</v>
      </c>
      <c r="D301" s="507" t="s">
        <v>2003</v>
      </c>
      <c r="E301" s="630" t="s">
        <v>1747</v>
      </c>
      <c r="F301" s="630"/>
      <c r="G301" s="631" t="s">
        <v>2665</v>
      </c>
      <c r="H301" s="632" t="s">
        <v>667</v>
      </c>
      <c r="I301" s="633"/>
      <c r="J301" s="634" t="s">
        <v>330</v>
      </c>
      <c r="K301" s="635"/>
      <c r="L301" s="626"/>
      <c r="M301" s="627"/>
      <c r="N301" s="636" t="s">
        <v>1980</v>
      </c>
      <c r="O301" s="636" t="s">
        <v>2127</v>
      </c>
      <c r="P301" s="507" t="s">
        <v>2489</v>
      </c>
      <c r="Q301" s="631"/>
      <c r="S301" s="611"/>
      <c r="T301" s="611"/>
      <c r="U301" s="611"/>
      <c r="V301" s="611"/>
      <c r="W301" s="611"/>
      <c r="X301" s="611"/>
      <c r="Y301" s="611"/>
      <c r="Z301" s="611"/>
      <c r="AA301" s="611"/>
    </row>
    <row r="302" spans="1:27" ht="12" customHeight="1">
      <c r="A302" s="611"/>
      <c r="B302" s="640"/>
      <c r="C302" s="507" t="s">
        <v>1748</v>
      </c>
      <c r="D302" s="507" t="s">
        <v>2237</v>
      </c>
      <c r="E302" s="630" t="s">
        <v>1749</v>
      </c>
      <c r="F302" s="630"/>
      <c r="G302" s="631" t="s">
        <v>2666</v>
      </c>
      <c r="H302" s="632" t="s">
        <v>667</v>
      </c>
      <c r="I302" s="633"/>
      <c r="J302" s="634" t="s">
        <v>1875</v>
      </c>
      <c r="K302" s="635"/>
      <c r="L302" s="626"/>
      <c r="M302" s="627"/>
      <c r="N302" s="636" t="s">
        <v>1982</v>
      </c>
      <c r="O302" s="636" t="s">
        <v>3169</v>
      </c>
      <c r="P302" s="507" t="s">
        <v>2490</v>
      </c>
      <c r="Q302" s="631"/>
      <c r="S302" s="611"/>
      <c r="T302" s="611"/>
      <c r="U302" s="611"/>
      <c r="V302" s="611"/>
      <c r="W302" s="611"/>
      <c r="X302" s="611"/>
      <c r="Y302" s="611"/>
      <c r="Z302" s="611"/>
      <c r="AA302" s="611"/>
    </row>
    <row r="303" spans="1:27" ht="12" customHeight="1">
      <c r="A303" s="611"/>
      <c r="B303" s="640"/>
      <c r="C303" s="507" t="s">
        <v>1750</v>
      </c>
      <c r="D303" s="507" t="s">
        <v>2191</v>
      </c>
      <c r="E303" s="637" t="s">
        <v>1539</v>
      </c>
      <c r="F303" s="637"/>
      <c r="G303" s="631" t="s">
        <v>3994</v>
      </c>
      <c r="H303" s="632" t="s">
        <v>668</v>
      </c>
      <c r="I303" s="638"/>
      <c r="J303" s="634" t="s">
        <v>1877</v>
      </c>
      <c r="K303" s="635"/>
      <c r="L303" s="626"/>
      <c r="M303" s="627"/>
      <c r="N303" s="636" t="s">
        <v>3876</v>
      </c>
      <c r="O303" s="636" t="s">
        <v>2403</v>
      </c>
      <c r="P303" s="507" t="s">
        <v>2491</v>
      </c>
      <c r="Q303" s="631"/>
      <c r="S303" s="611"/>
      <c r="T303" s="611"/>
      <c r="U303" s="611"/>
      <c r="V303" s="611"/>
      <c r="W303" s="611"/>
      <c r="X303" s="611"/>
      <c r="Y303" s="611"/>
      <c r="Z303" s="611"/>
      <c r="AA303" s="611"/>
    </row>
    <row r="304" spans="1:27" ht="12" customHeight="1">
      <c r="A304" s="611"/>
      <c r="B304" s="640"/>
      <c r="C304" s="507" t="s">
        <v>1751</v>
      </c>
      <c r="D304" s="507" t="s">
        <v>2191</v>
      </c>
      <c r="E304" s="637" t="s">
        <v>1538</v>
      </c>
      <c r="F304" s="637"/>
      <c r="G304" s="631" t="s">
        <v>3974</v>
      </c>
      <c r="H304" s="632" t="s">
        <v>668</v>
      </c>
      <c r="I304" s="638"/>
      <c r="J304" s="634" t="s">
        <v>1879</v>
      </c>
      <c r="K304" s="635"/>
      <c r="L304" s="626"/>
      <c r="M304" s="627"/>
      <c r="N304" s="636" t="s">
        <v>263</v>
      </c>
      <c r="O304" s="636" t="s">
        <v>3978</v>
      </c>
      <c r="P304" s="1576" t="s">
        <v>1426</v>
      </c>
      <c r="Q304" s="611"/>
      <c r="S304" s="611"/>
      <c r="T304" s="611"/>
      <c r="U304" s="611"/>
      <c r="V304" s="611"/>
      <c r="W304" s="611"/>
      <c r="X304" s="611"/>
      <c r="Y304" s="611"/>
      <c r="Z304" s="611"/>
      <c r="AA304" s="611"/>
    </row>
    <row r="305" spans="1:27" ht="12" customHeight="1">
      <c r="A305" s="611"/>
      <c r="B305" s="640"/>
      <c r="C305" s="507" t="s">
        <v>1752</v>
      </c>
      <c r="D305" s="507" t="s">
        <v>2191</v>
      </c>
      <c r="E305" s="630" t="s">
        <v>3396</v>
      </c>
      <c r="F305" s="630"/>
      <c r="G305" s="631" t="s">
        <v>2807</v>
      </c>
      <c r="H305" s="632" t="s">
        <v>667</v>
      </c>
      <c r="I305" s="633"/>
      <c r="J305" s="634" t="s">
        <v>1979</v>
      </c>
      <c r="K305" s="635"/>
      <c r="L305" s="626"/>
      <c r="M305" s="627"/>
      <c r="N305" s="636" t="s">
        <v>1706</v>
      </c>
      <c r="O305" s="636" t="s">
        <v>390</v>
      </c>
      <c r="P305" s="507" t="s">
        <v>2492</v>
      </c>
      <c r="Q305" s="631"/>
      <c r="S305" s="611"/>
      <c r="T305" s="611"/>
      <c r="U305" s="611"/>
      <c r="V305" s="611"/>
      <c r="W305" s="611"/>
      <c r="X305" s="611"/>
      <c r="Y305" s="611"/>
      <c r="Z305" s="611"/>
      <c r="AA305" s="611"/>
    </row>
    <row r="306" spans="1:27" ht="12" customHeight="1">
      <c r="A306" s="611"/>
      <c r="B306" s="640"/>
      <c r="C306" s="507" t="s">
        <v>3397</v>
      </c>
      <c r="D306" s="507" t="s">
        <v>2237</v>
      </c>
      <c r="E306" s="630" t="s">
        <v>3398</v>
      </c>
      <c r="F306" s="630"/>
      <c r="G306" s="631" t="s">
        <v>2808</v>
      </c>
      <c r="H306" s="632" t="s">
        <v>667</v>
      </c>
      <c r="I306" s="633"/>
      <c r="J306" s="634" t="s">
        <v>1981</v>
      </c>
      <c r="K306" s="635"/>
      <c r="L306" s="626"/>
      <c r="M306" s="627"/>
      <c r="N306" s="636" t="s">
        <v>1585</v>
      </c>
      <c r="O306" s="636" t="s">
        <v>354</v>
      </c>
      <c r="P306" s="507" t="s">
        <v>2493</v>
      </c>
      <c r="Q306" s="631"/>
      <c r="S306" s="611"/>
      <c r="T306" s="611"/>
      <c r="U306" s="611"/>
      <c r="V306" s="611"/>
      <c r="W306" s="611"/>
      <c r="X306" s="611"/>
      <c r="Y306" s="611"/>
      <c r="Z306" s="611"/>
      <c r="AA306" s="611"/>
    </row>
    <row r="307" spans="1:27" ht="12" customHeight="1">
      <c r="A307" s="611"/>
      <c r="B307" s="640"/>
      <c r="C307" s="507" t="s">
        <v>2196</v>
      </c>
      <c r="D307" s="507" t="s">
        <v>2196</v>
      </c>
      <c r="E307" s="507" t="s">
        <v>2196</v>
      </c>
      <c r="F307" s="630"/>
      <c r="G307" s="631"/>
      <c r="H307" s="632"/>
      <c r="I307" s="638"/>
      <c r="J307" s="634" t="s">
        <v>1983</v>
      </c>
      <c r="K307" s="635"/>
      <c r="L307" s="626"/>
      <c r="M307" s="627"/>
      <c r="N307" s="636" t="s">
        <v>1587</v>
      </c>
      <c r="O307" s="636" t="s">
        <v>1824</v>
      </c>
      <c r="P307" s="507" t="s">
        <v>2494</v>
      </c>
      <c r="Q307" s="611"/>
      <c r="S307" s="611"/>
      <c r="T307" s="611"/>
      <c r="U307" s="611"/>
      <c r="V307" s="611"/>
      <c r="W307" s="611"/>
      <c r="X307" s="611"/>
      <c r="Y307" s="611"/>
      <c r="Z307" s="611"/>
      <c r="AA307" s="611"/>
    </row>
    <row r="308" spans="1:27" ht="12" customHeight="1">
      <c r="A308" s="611"/>
      <c r="B308" s="640"/>
      <c r="C308" s="507" t="s">
        <v>3399</v>
      </c>
      <c r="D308" s="507" t="s">
        <v>2237</v>
      </c>
      <c r="E308" s="637" t="s">
        <v>3400</v>
      </c>
      <c r="F308" s="637"/>
      <c r="G308" s="631" t="s">
        <v>548</v>
      </c>
      <c r="H308" s="632" t="s">
        <v>667</v>
      </c>
      <c r="I308" s="638"/>
      <c r="J308" s="634" t="s">
        <v>1704</v>
      </c>
      <c r="K308" s="635"/>
      <c r="L308" s="626"/>
      <c r="M308" s="627"/>
      <c r="N308" s="507" t="s">
        <v>3967</v>
      </c>
      <c r="O308" s="507" t="s">
        <v>3870</v>
      </c>
      <c r="P308" s="1577" t="s">
        <v>3295</v>
      </c>
      <c r="Q308" s="611"/>
      <c r="S308" s="611"/>
      <c r="T308" s="611"/>
      <c r="U308" s="611"/>
      <c r="V308" s="611"/>
      <c r="W308" s="611"/>
      <c r="X308" s="611"/>
      <c r="Y308" s="611"/>
      <c r="Z308" s="611"/>
      <c r="AA308" s="611"/>
    </row>
    <row r="309" spans="1:27" ht="12" customHeight="1">
      <c r="A309" s="611"/>
      <c r="B309" s="640"/>
      <c r="C309" s="507" t="s">
        <v>3401</v>
      </c>
      <c r="D309" s="507" t="s">
        <v>2191</v>
      </c>
      <c r="E309" s="637" t="s">
        <v>1538</v>
      </c>
      <c r="F309" s="637"/>
      <c r="G309" s="631" t="s">
        <v>3974</v>
      </c>
      <c r="H309" s="632" t="s">
        <v>668</v>
      </c>
      <c r="I309" s="638"/>
      <c r="J309" s="634" t="s">
        <v>1705</v>
      </c>
      <c r="K309" s="635"/>
      <c r="L309" s="626"/>
      <c r="M309" s="627"/>
      <c r="N309" s="636" t="s">
        <v>3294</v>
      </c>
      <c r="O309" s="636" t="s">
        <v>1751</v>
      </c>
      <c r="P309" s="507" t="s">
        <v>2495</v>
      </c>
      <c r="Q309" s="631"/>
      <c r="S309" s="611"/>
      <c r="T309" s="611"/>
      <c r="U309" s="611"/>
      <c r="V309" s="611"/>
      <c r="W309" s="611"/>
      <c r="X309" s="611"/>
      <c r="Y309" s="611"/>
      <c r="Z309" s="611"/>
      <c r="AA309" s="611"/>
    </row>
    <row r="310" spans="1:27" ht="12" customHeight="1">
      <c r="A310" s="611"/>
      <c r="B310" s="640"/>
      <c r="C310" s="507" t="s">
        <v>3384</v>
      </c>
      <c r="D310" s="507" t="s">
        <v>2003</v>
      </c>
      <c r="E310" s="637" t="s">
        <v>3385</v>
      </c>
      <c r="F310" s="637"/>
      <c r="G310" s="631" t="s">
        <v>425</v>
      </c>
      <c r="H310" s="632" t="s">
        <v>667</v>
      </c>
      <c r="I310" s="633"/>
      <c r="J310" s="634" t="s">
        <v>1584</v>
      </c>
      <c r="K310" s="635"/>
      <c r="L310" s="626"/>
      <c r="M310" s="627"/>
      <c r="N310" s="636" t="s">
        <v>3377</v>
      </c>
      <c r="O310" s="636" t="s">
        <v>2791</v>
      </c>
      <c r="P310" s="507" t="s">
        <v>2496</v>
      </c>
      <c r="Q310" s="631"/>
      <c r="S310" s="611"/>
      <c r="T310" s="611"/>
      <c r="U310" s="611"/>
      <c r="V310" s="611"/>
      <c r="W310" s="611"/>
      <c r="X310" s="611"/>
      <c r="Y310" s="611"/>
      <c r="Z310" s="611"/>
      <c r="AA310" s="611"/>
    </row>
    <row r="311" spans="1:27" ht="12" customHeight="1">
      <c r="A311" s="611"/>
      <c r="B311" s="640"/>
      <c r="C311" s="507" t="s">
        <v>3161</v>
      </c>
      <c r="D311" s="507" t="s">
        <v>2237</v>
      </c>
      <c r="E311" s="630" t="s">
        <v>3162</v>
      </c>
      <c r="F311" s="630"/>
      <c r="G311" s="631" t="s">
        <v>2272</v>
      </c>
      <c r="H311" s="632" t="s">
        <v>667</v>
      </c>
      <c r="I311" s="633"/>
      <c r="J311" s="634" t="s">
        <v>1586</v>
      </c>
      <c r="K311" s="635"/>
      <c r="L311" s="626"/>
      <c r="M311" s="627"/>
      <c r="N311" s="636" t="s">
        <v>3392</v>
      </c>
      <c r="O311" s="636" t="s">
        <v>4027</v>
      </c>
      <c r="P311" s="507" t="s">
        <v>2497</v>
      </c>
      <c r="Q311" s="631"/>
      <c r="S311" s="611"/>
      <c r="T311" s="611"/>
      <c r="U311" s="611"/>
      <c r="V311" s="611"/>
      <c r="W311" s="611"/>
      <c r="X311" s="611"/>
      <c r="Y311" s="611"/>
      <c r="Z311" s="611"/>
      <c r="AA311" s="611"/>
    </row>
    <row r="312" spans="1:27" ht="12" customHeight="1">
      <c r="A312" s="611"/>
      <c r="B312" s="640"/>
      <c r="C312" s="507" t="s">
        <v>3163</v>
      </c>
      <c r="D312" s="507" t="s">
        <v>2237</v>
      </c>
      <c r="E312" s="630" t="s">
        <v>3164</v>
      </c>
      <c r="F312" s="630"/>
      <c r="G312" s="631" t="s">
        <v>2273</v>
      </c>
      <c r="H312" s="632" t="s">
        <v>667</v>
      </c>
      <c r="I312" s="633"/>
      <c r="J312" s="634" t="s">
        <v>3500</v>
      </c>
      <c r="K312" s="635"/>
      <c r="L312" s="626"/>
      <c r="M312" s="627"/>
      <c r="N312" s="636" t="s">
        <v>1428</v>
      </c>
      <c r="O312" s="636" t="s">
        <v>349</v>
      </c>
      <c r="P312" s="1576" t="s">
        <v>1426</v>
      </c>
      <c r="Q312" s="611"/>
      <c r="S312" s="611"/>
      <c r="T312" s="611"/>
      <c r="U312" s="611"/>
      <c r="V312" s="611"/>
      <c r="W312" s="611"/>
      <c r="X312" s="611"/>
      <c r="Y312" s="611"/>
      <c r="Z312" s="611"/>
      <c r="AA312" s="611"/>
    </row>
    <row r="313" spans="1:27" ht="12" customHeight="1">
      <c r="A313" s="611"/>
      <c r="B313" s="640"/>
      <c r="C313" s="507" t="s">
        <v>3165</v>
      </c>
      <c r="D313" s="507" t="s">
        <v>2191</v>
      </c>
      <c r="E313" s="630" t="s">
        <v>3166</v>
      </c>
      <c r="F313" s="630"/>
      <c r="G313" s="631" t="s">
        <v>2274</v>
      </c>
      <c r="H313" s="632" t="s">
        <v>667</v>
      </c>
      <c r="I313" s="633"/>
      <c r="J313" s="634" t="s">
        <v>3293</v>
      </c>
      <c r="K313" s="635"/>
      <c r="L313" s="626"/>
      <c r="M313" s="627"/>
      <c r="N313" s="636" t="s">
        <v>951</v>
      </c>
      <c r="O313" s="636" t="s">
        <v>284</v>
      </c>
      <c r="P313" s="507" t="s">
        <v>2498</v>
      </c>
      <c r="Q313" s="631"/>
      <c r="S313" s="611"/>
      <c r="T313" s="611"/>
      <c r="U313" s="611"/>
      <c r="V313" s="611"/>
      <c r="W313" s="611"/>
      <c r="X313" s="611"/>
      <c r="Y313" s="611"/>
      <c r="Z313" s="611"/>
      <c r="AA313" s="611"/>
    </row>
    <row r="314" spans="1:27" ht="12" customHeight="1">
      <c r="A314" s="611"/>
      <c r="B314" s="640"/>
      <c r="C314" s="507" t="s">
        <v>3167</v>
      </c>
      <c r="D314" s="507" t="s">
        <v>2191</v>
      </c>
      <c r="E314" s="630" t="s">
        <v>3168</v>
      </c>
      <c r="F314" s="630"/>
      <c r="G314" s="631" t="s">
        <v>3206</v>
      </c>
      <c r="H314" s="632" t="s">
        <v>667</v>
      </c>
      <c r="I314" s="633"/>
      <c r="J314" s="634" t="s">
        <v>3376</v>
      </c>
      <c r="K314" s="635"/>
      <c r="L314" s="626"/>
      <c r="M314" s="627"/>
      <c r="N314" s="507" t="s">
        <v>3968</v>
      </c>
      <c r="O314" s="507" t="s">
        <v>2290</v>
      </c>
      <c r="P314" s="1577" t="s">
        <v>3295</v>
      </c>
      <c r="Q314" s="631"/>
      <c r="S314" s="611"/>
      <c r="T314" s="611"/>
      <c r="U314" s="611"/>
      <c r="V314" s="611"/>
      <c r="W314" s="611"/>
      <c r="X314" s="611"/>
      <c r="Y314" s="611"/>
      <c r="Z314" s="611"/>
      <c r="AA314" s="611"/>
    </row>
    <row r="315" spans="1:27" ht="12" customHeight="1">
      <c r="A315" s="611"/>
      <c r="B315" s="640"/>
      <c r="C315" s="507" t="s">
        <v>3169</v>
      </c>
      <c r="D315" s="507" t="s">
        <v>2237</v>
      </c>
      <c r="E315" s="630" t="s">
        <v>3170</v>
      </c>
      <c r="F315" s="630"/>
      <c r="G315" s="631" t="s">
        <v>3207</v>
      </c>
      <c r="H315" s="632" t="s">
        <v>667</v>
      </c>
      <c r="I315" s="633"/>
      <c r="J315" s="634" t="s">
        <v>3391</v>
      </c>
      <c r="K315" s="635"/>
      <c r="L315" s="626"/>
      <c r="M315" s="627"/>
      <c r="N315" s="636" t="s">
        <v>1021</v>
      </c>
      <c r="O315" s="636" t="s">
        <v>3979</v>
      </c>
      <c r="P315" s="507" t="s">
        <v>2499</v>
      </c>
      <c r="Q315" s="611"/>
      <c r="S315" s="611"/>
      <c r="T315" s="611"/>
      <c r="U315" s="611"/>
      <c r="V315" s="611"/>
      <c r="W315" s="611"/>
      <c r="X315" s="611"/>
      <c r="Y315" s="611"/>
      <c r="Z315" s="611"/>
      <c r="AA315" s="611"/>
    </row>
    <row r="316" spans="1:27" ht="12" customHeight="1">
      <c r="A316" s="611"/>
      <c r="B316" s="640"/>
      <c r="C316" s="507" t="s">
        <v>3171</v>
      </c>
      <c r="D316" s="507" t="s">
        <v>2191</v>
      </c>
      <c r="E316" s="630" t="s">
        <v>1475</v>
      </c>
      <c r="F316" s="630"/>
      <c r="G316" s="631" t="s">
        <v>3208</v>
      </c>
      <c r="H316" s="632" t="s">
        <v>667</v>
      </c>
      <c r="I316" s="633"/>
      <c r="J316" s="634" t="s">
        <v>949</v>
      </c>
      <c r="K316" s="635"/>
      <c r="L316" s="626"/>
      <c r="M316" s="627"/>
      <c r="N316" s="636" t="s">
        <v>4026</v>
      </c>
      <c r="O316" s="636" t="s">
        <v>3981</v>
      </c>
      <c r="P316" s="507" t="s">
        <v>2620</v>
      </c>
      <c r="Q316" s="631"/>
      <c r="S316" s="611"/>
      <c r="T316" s="611"/>
      <c r="U316" s="611"/>
      <c r="V316" s="611"/>
      <c r="W316" s="611"/>
      <c r="X316" s="611"/>
      <c r="Y316" s="611"/>
      <c r="Z316" s="611"/>
      <c r="AA316" s="611"/>
    </row>
    <row r="317" spans="1:27" ht="12" customHeight="1">
      <c r="A317" s="611"/>
      <c r="B317" s="640"/>
      <c r="C317" s="507" t="s">
        <v>1476</v>
      </c>
      <c r="D317" s="507" t="s">
        <v>2237</v>
      </c>
      <c r="E317" s="630" t="s">
        <v>1477</v>
      </c>
      <c r="F317" s="630"/>
      <c r="G317" s="631" t="s">
        <v>3209</v>
      </c>
      <c r="H317" s="632" t="s">
        <v>667</v>
      </c>
      <c r="I317" s="638"/>
      <c r="J317" s="634" t="s">
        <v>950</v>
      </c>
      <c r="K317" s="635"/>
      <c r="L317" s="626"/>
      <c r="M317" s="627"/>
      <c r="N317" s="636" t="s">
        <v>1025</v>
      </c>
      <c r="O317" s="636" t="s">
        <v>3167</v>
      </c>
      <c r="P317" s="507" t="s">
        <v>2621</v>
      </c>
      <c r="Q317" s="631"/>
      <c r="S317" s="611"/>
      <c r="T317" s="611"/>
      <c r="U317" s="611"/>
      <c r="V317" s="611"/>
      <c r="W317" s="611"/>
      <c r="X317" s="611"/>
      <c r="Y317" s="611"/>
      <c r="Z317" s="611"/>
      <c r="AA317" s="611"/>
    </row>
    <row r="318" spans="1:27" ht="12" customHeight="1">
      <c r="A318" s="611"/>
      <c r="B318" s="640"/>
      <c r="C318" s="507" t="s">
        <v>2790</v>
      </c>
      <c r="D318" s="507" t="s">
        <v>2237</v>
      </c>
      <c r="E318" s="637" t="s">
        <v>2661</v>
      </c>
      <c r="F318" s="637"/>
      <c r="G318" s="631" t="s">
        <v>2170</v>
      </c>
      <c r="H318" s="632" t="s">
        <v>668</v>
      </c>
      <c r="I318" s="638"/>
      <c r="J318" s="634" t="s">
        <v>1020</v>
      </c>
      <c r="K318" s="635"/>
      <c r="L318" s="626"/>
      <c r="M318" s="627"/>
      <c r="N318" s="636" t="s">
        <v>1119</v>
      </c>
      <c r="O318" s="636" t="s">
        <v>2407</v>
      </c>
      <c r="P318" s="507" t="s">
        <v>2616</v>
      </c>
      <c r="Q318" s="631"/>
      <c r="S318" s="611"/>
      <c r="T318" s="611"/>
      <c r="U318" s="611"/>
      <c r="V318" s="611"/>
      <c r="W318" s="611"/>
      <c r="X318" s="611"/>
      <c r="Y318" s="611"/>
      <c r="Z318" s="611"/>
      <c r="AA318" s="611"/>
    </row>
    <row r="319" spans="1:27" ht="12" customHeight="1">
      <c r="A319" s="611"/>
      <c r="B319" s="640"/>
      <c r="C319" s="507" t="s">
        <v>2791</v>
      </c>
      <c r="D319" s="507" t="s">
        <v>2237</v>
      </c>
      <c r="E319" s="637" t="s">
        <v>2792</v>
      </c>
      <c r="F319" s="637"/>
      <c r="G319" s="631" t="s">
        <v>3210</v>
      </c>
      <c r="H319" s="632" t="s">
        <v>667</v>
      </c>
      <c r="I319" s="638"/>
      <c r="J319" s="634" t="s">
        <v>1022</v>
      </c>
      <c r="K319" s="635"/>
      <c r="L319" s="626"/>
      <c r="M319" s="627"/>
      <c r="N319" s="636" t="s">
        <v>882</v>
      </c>
      <c r="O319" s="636" t="s">
        <v>1098</v>
      </c>
      <c r="P319" s="507" t="s">
        <v>2617</v>
      </c>
      <c r="Q319" s="611"/>
      <c r="S319" s="611"/>
      <c r="T319" s="611"/>
      <c r="U319" s="611"/>
      <c r="V319" s="611"/>
      <c r="W319" s="611"/>
      <c r="X319" s="611"/>
      <c r="Y319" s="611"/>
      <c r="Z319" s="611"/>
      <c r="AA319" s="611"/>
    </row>
    <row r="320" spans="1:27" ht="12" customHeight="1">
      <c r="A320" s="611"/>
      <c r="B320" s="640"/>
      <c r="C320" s="507" t="s">
        <v>2793</v>
      </c>
      <c r="D320" s="507" t="s">
        <v>2237</v>
      </c>
      <c r="E320" s="637" t="s">
        <v>3040</v>
      </c>
      <c r="F320" s="637"/>
      <c r="G320" s="631" t="s">
        <v>2038</v>
      </c>
      <c r="H320" s="632" t="s">
        <v>667</v>
      </c>
      <c r="I320" s="638"/>
      <c r="J320" s="634" t="s">
        <v>1023</v>
      </c>
      <c r="K320" s="635"/>
      <c r="L320" s="626"/>
      <c r="M320" s="627"/>
      <c r="N320" s="636" t="s">
        <v>884</v>
      </c>
      <c r="O320" s="636" t="s">
        <v>262</v>
      </c>
      <c r="P320" s="1576" t="s">
        <v>1426</v>
      </c>
      <c r="Q320" s="631"/>
      <c r="S320" s="611"/>
      <c r="T320" s="611"/>
      <c r="U320" s="611"/>
      <c r="V320" s="611"/>
      <c r="W320" s="611"/>
      <c r="X320" s="611"/>
      <c r="Y320" s="611"/>
      <c r="Z320" s="611"/>
      <c r="AA320" s="611"/>
    </row>
    <row r="321" spans="1:27" ht="12" customHeight="1">
      <c r="A321" s="611"/>
      <c r="B321" s="640"/>
      <c r="C321" s="507" t="s">
        <v>3041</v>
      </c>
      <c r="D321" s="507" t="s">
        <v>2237</v>
      </c>
      <c r="E321" s="637" t="s">
        <v>3220</v>
      </c>
      <c r="F321" s="637"/>
      <c r="G321" s="631" t="s">
        <v>2175</v>
      </c>
      <c r="H321" s="632" t="s">
        <v>667</v>
      </c>
      <c r="I321" s="638"/>
      <c r="J321" s="634" t="s">
        <v>1024</v>
      </c>
      <c r="K321" s="635"/>
      <c r="L321" s="626"/>
      <c r="M321" s="627"/>
      <c r="N321" s="636" t="s">
        <v>1514</v>
      </c>
      <c r="O321" s="636" t="s">
        <v>1748</v>
      </c>
      <c r="P321" s="507" t="s">
        <v>2618</v>
      </c>
      <c r="Q321" s="631"/>
      <c r="S321" s="611"/>
      <c r="T321" s="611"/>
      <c r="U321" s="611"/>
      <c r="V321" s="611"/>
      <c r="W321" s="611"/>
      <c r="X321" s="611"/>
      <c r="Y321" s="611"/>
      <c r="Z321" s="611"/>
      <c r="AA321" s="611"/>
    </row>
    <row r="322" spans="1:27" ht="12" customHeight="1">
      <c r="A322" s="611"/>
      <c r="B322" s="640"/>
      <c r="C322" s="507" t="s">
        <v>3221</v>
      </c>
      <c r="D322" s="507" t="s">
        <v>2003</v>
      </c>
      <c r="E322" s="637" t="s">
        <v>3043</v>
      </c>
      <c r="F322" s="637"/>
      <c r="G322" s="631" t="s">
        <v>2176</v>
      </c>
      <c r="H322" s="632" t="s">
        <v>667</v>
      </c>
      <c r="I322" s="638"/>
      <c r="J322" s="634" t="s">
        <v>1118</v>
      </c>
      <c r="K322" s="635"/>
      <c r="L322" s="626"/>
      <c r="M322" s="627"/>
      <c r="N322" s="636" t="s">
        <v>1516</v>
      </c>
      <c r="O322" s="636" t="s">
        <v>283</v>
      </c>
      <c r="P322" s="507" t="s">
        <v>2619</v>
      </c>
      <c r="Q322" s="631"/>
      <c r="S322" s="611"/>
      <c r="T322" s="611"/>
      <c r="U322" s="611"/>
      <c r="V322" s="611"/>
      <c r="W322" s="611"/>
      <c r="X322" s="611"/>
      <c r="Y322" s="611"/>
      <c r="Z322" s="611"/>
      <c r="AA322" s="611"/>
    </row>
    <row r="323" spans="1:27" ht="12" customHeight="1">
      <c r="A323" s="611"/>
      <c r="B323" s="640"/>
      <c r="C323" s="507" t="s">
        <v>3044</v>
      </c>
      <c r="D323" s="507" t="s">
        <v>2237</v>
      </c>
      <c r="E323" s="637" t="s">
        <v>3045</v>
      </c>
      <c r="F323" s="637"/>
      <c r="G323" s="631" t="s">
        <v>2178</v>
      </c>
      <c r="H323" s="632" t="s">
        <v>667</v>
      </c>
      <c r="I323" s="633"/>
      <c r="J323" s="634" t="s">
        <v>1120</v>
      </c>
      <c r="K323" s="635"/>
      <c r="L323" s="626"/>
      <c r="M323" s="627"/>
      <c r="N323" s="636" t="s">
        <v>130</v>
      </c>
      <c r="O323" s="636" t="s">
        <v>387</v>
      </c>
      <c r="P323" s="507" t="s">
        <v>2762</v>
      </c>
      <c r="Q323" s="631"/>
      <c r="S323" s="611"/>
      <c r="T323" s="611"/>
      <c r="U323" s="611"/>
      <c r="V323" s="611"/>
      <c r="W323" s="611"/>
      <c r="X323" s="611"/>
      <c r="Y323" s="611"/>
      <c r="Z323" s="611"/>
      <c r="AA323" s="611"/>
    </row>
    <row r="324" spans="1:27" ht="12" customHeight="1">
      <c r="A324" s="611"/>
      <c r="B324" s="640"/>
      <c r="C324" s="507" t="s">
        <v>3046</v>
      </c>
      <c r="D324" s="507" t="s">
        <v>2191</v>
      </c>
      <c r="E324" s="630" t="s">
        <v>3047</v>
      </c>
      <c r="F324" s="630"/>
      <c r="G324" s="631" t="s">
        <v>2179</v>
      </c>
      <c r="H324" s="632" t="s">
        <v>667</v>
      </c>
      <c r="I324" s="638"/>
      <c r="J324" s="634" t="s">
        <v>883</v>
      </c>
      <c r="K324" s="635"/>
      <c r="L324" s="626"/>
      <c r="M324" s="627"/>
      <c r="N324" s="636" t="s">
        <v>3238</v>
      </c>
      <c r="O324" s="636" t="s">
        <v>3652</v>
      </c>
      <c r="P324" s="507" t="s">
        <v>2763</v>
      </c>
      <c r="Q324" s="631"/>
      <c r="S324" s="611"/>
      <c r="T324" s="611"/>
      <c r="U324" s="611"/>
      <c r="V324" s="611"/>
      <c r="W324" s="611"/>
      <c r="X324" s="611"/>
      <c r="Y324" s="611"/>
      <c r="Z324" s="611"/>
      <c r="AA324" s="611"/>
    </row>
    <row r="325" spans="1:27" ht="12" customHeight="1">
      <c r="A325" s="611"/>
      <c r="B325" s="640"/>
      <c r="C325" s="507" t="s">
        <v>2937</v>
      </c>
      <c r="D325" s="507" t="s">
        <v>2237</v>
      </c>
      <c r="E325" s="637" t="s">
        <v>3048</v>
      </c>
      <c r="F325" s="637"/>
      <c r="G325" s="631" t="s">
        <v>2180</v>
      </c>
      <c r="H325" s="632" t="s">
        <v>667</v>
      </c>
      <c r="I325" s="638"/>
      <c r="J325" s="634" t="s">
        <v>2017</v>
      </c>
      <c r="K325" s="635"/>
      <c r="L325" s="626"/>
      <c r="M325" s="627"/>
      <c r="N325" s="636" t="s">
        <v>3240</v>
      </c>
      <c r="O325" s="636" t="s">
        <v>3982</v>
      </c>
      <c r="P325" s="507" t="s">
        <v>2764</v>
      </c>
      <c r="Q325" s="631"/>
      <c r="S325" s="611"/>
      <c r="T325" s="611"/>
      <c r="U325" s="611"/>
      <c r="V325" s="611"/>
      <c r="W325" s="611"/>
      <c r="X325" s="611"/>
      <c r="Y325" s="611"/>
      <c r="Z325" s="611"/>
      <c r="AA325" s="611"/>
    </row>
    <row r="326" spans="1:27" ht="12" customHeight="1">
      <c r="A326" s="611"/>
      <c r="B326" s="640"/>
      <c r="C326" s="507" t="s">
        <v>3049</v>
      </c>
      <c r="D326" s="507" t="s">
        <v>2191</v>
      </c>
      <c r="E326" s="637" t="s">
        <v>2283</v>
      </c>
      <c r="F326" s="637"/>
      <c r="G326" s="631" t="s">
        <v>3977</v>
      </c>
      <c r="H326" s="632" t="s">
        <v>668</v>
      </c>
      <c r="I326" s="638"/>
      <c r="J326" s="634" t="s">
        <v>1515</v>
      </c>
      <c r="K326" s="635"/>
      <c r="L326" s="626"/>
      <c r="M326" s="627"/>
      <c r="N326" s="636" t="s">
        <v>547</v>
      </c>
      <c r="O326" s="636" t="s">
        <v>3257</v>
      </c>
      <c r="P326" s="507" t="s">
        <v>2765</v>
      </c>
      <c r="Q326" s="631"/>
      <c r="S326" s="611"/>
      <c r="T326" s="611"/>
      <c r="U326" s="611"/>
      <c r="V326" s="611"/>
      <c r="W326" s="611"/>
      <c r="X326" s="611"/>
      <c r="Y326" s="611"/>
      <c r="Z326" s="611"/>
      <c r="AA326" s="611"/>
    </row>
    <row r="327" spans="1:27" ht="12" customHeight="1">
      <c r="A327" s="611"/>
      <c r="B327" s="640"/>
      <c r="C327" s="507" t="s">
        <v>2938</v>
      </c>
      <c r="D327" s="507" t="s">
        <v>2003</v>
      </c>
      <c r="E327" s="637" t="s">
        <v>2939</v>
      </c>
      <c r="F327" s="637"/>
      <c r="G327" s="631" t="s">
        <v>1923</v>
      </c>
      <c r="H327" s="632" t="s">
        <v>667</v>
      </c>
      <c r="I327" s="633"/>
      <c r="J327" s="634" t="s">
        <v>129</v>
      </c>
      <c r="K327" s="635"/>
      <c r="L327" s="626"/>
      <c r="M327" s="627"/>
      <c r="N327" s="636" t="s">
        <v>442</v>
      </c>
      <c r="O327" s="636" t="s">
        <v>1479</v>
      </c>
      <c r="P327" s="507" t="s">
        <v>2766</v>
      </c>
      <c r="Q327" s="631"/>
      <c r="S327" s="611"/>
      <c r="T327" s="611"/>
      <c r="U327" s="611"/>
      <c r="V327" s="611"/>
      <c r="W327" s="611"/>
      <c r="X327" s="611"/>
      <c r="Y327" s="611"/>
      <c r="Z327" s="611"/>
      <c r="AA327" s="611"/>
    </row>
    <row r="328" spans="1:27" ht="12" customHeight="1">
      <c r="A328" s="611"/>
      <c r="B328" s="640"/>
      <c r="C328" s="507" t="s">
        <v>3014</v>
      </c>
      <c r="D328" s="507" t="s">
        <v>2191</v>
      </c>
      <c r="E328" s="630" t="s">
        <v>3015</v>
      </c>
      <c r="F328" s="630"/>
      <c r="G328" s="631" t="s">
        <v>2029</v>
      </c>
      <c r="H328" s="632" t="s">
        <v>667</v>
      </c>
      <c r="I328" s="638"/>
      <c r="J328" s="634" t="s">
        <v>3237</v>
      </c>
      <c r="K328" s="635"/>
      <c r="L328" s="626"/>
      <c r="M328" s="627"/>
      <c r="N328" s="636" t="s">
        <v>447</v>
      </c>
      <c r="O328" s="636" t="s">
        <v>390</v>
      </c>
      <c r="P328" s="507" t="s">
        <v>2767</v>
      </c>
      <c r="Q328" s="631"/>
      <c r="S328" s="611"/>
      <c r="T328" s="611"/>
      <c r="U328" s="611"/>
      <c r="V328" s="611"/>
      <c r="W328" s="611"/>
      <c r="X328" s="611"/>
      <c r="Y328" s="611"/>
      <c r="Z328" s="611"/>
      <c r="AA328" s="611"/>
    </row>
    <row r="329" spans="1:27" ht="12" customHeight="1">
      <c r="A329" s="611"/>
      <c r="B329" s="640"/>
      <c r="C329" s="507" t="s">
        <v>3134</v>
      </c>
      <c r="D329" s="507" t="s">
        <v>2003</v>
      </c>
      <c r="E329" s="637" t="s">
        <v>2415</v>
      </c>
      <c r="F329" s="637"/>
      <c r="G329" s="631" t="s">
        <v>2840</v>
      </c>
      <c r="H329" s="632" t="s">
        <v>668</v>
      </c>
      <c r="I329" s="638"/>
      <c r="J329" s="634" t="s">
        <v>3239</v>
      </c>
      <c r="K329" s="635"/>
      <c r="L329" s="626"/>
      <c r="M329" s="627"/>
      <c r="N329" s="636" t="s">
        <v>449</v>
      </c>
      <c r="O329" s="636" t="s">
        <v>3752</v>
      </c>
      <c r="P329" s="507" t="s">
        <v>2768</v>
      </c>
      <c r="Q329" s="631"/>
      <c r="S329" s="611"/>
      <c r="T329" s="611"/>
      <c r="U329" s="611"/>
      <c r="V329" s="611"/>
      <c r="W329" s="611"/>
      <c r="X329" s="611"/>
      <c r="Y329" s="611"/>
      <c r="Z329" s="611"/>
      <c r="AA329" s="611"/>
    </row>
    <row r="330" spans="1:27" ht="12" customHeight="1">
      <c r="A330" s="611"/>
      <c r="B330" s="640"/>
      <c r="C330" s="507" t="s">
        <v>3135</v>
      </c>
      <c r="D330" s="507" t="s">
        <v>2191</v>
      </c>
      <c r="E330" s="637" t="s">
        <v>1538</v>
      </c>
      <c r="F330" s="637"/>
      <c r="G330" s="631" t="s">
        <v>3974</v>
      </c>
      <c r="H330" s="632" t="s">
        <v>668</v>
      </c>
      <c r="I330" s="638"/>
      <c r="J330" s="634" t="s">
        <v>546</v>
      </c>
      <c r="K330" s="635"/>
      <c r="L330" s="626"/>
      <c r="M330" s="627"/>
      <c r="N330" s="636" t="s">
        <v>455</v>
      </c>
      <c r="O330" s="636" t="s">
        <v>2876</v>
      </c>
      <c r="P330" s="507" t="s">
        <v>2769</v>
      </c>
      <c r="Q330" s="631"/>
      <c r="S330" s="611"/>
      <c r="T330" s="611"/>
      <c r="U330" s="611"/>
      <c r="V330" s="611"/>
      <c r="W330" s="611"/>
      <c r="X330" s="611"/>
      <c r="Y330" s="611"/>
      <c r="Z330" s="611"/>
      <c r="AA330" s="611"/>
    </row>
    <row r="331" spans="1:27" ht="12" customHeight="1">
      <c r="A331" s="611"/>
      <c r="B331" s="640"/>
      <c r="C331" s="507" t="s">
        <v>3200</v>
      </c>
      <c r="D331" s="507" t="s">
        <v>2237</v>
      </c>
      <c r="E331" s="637" t="s">
        <v>96</v>
      </c>
      <c r="F331" s="637"/>
      <c r="G331" s="631" t="s">
        <v>2030</v>
      </c>
      <c r="H331" s="632" t="s">
        <v>667</v>
      </c>
      <c r="I331" s="638"/>
      <c r="J331" s="634" t="s">
        <v>441</v>
      </c>
      <c r="K331" s="635"/>
      <c r="L331" s="626"/>
      <c r="M331" s="627"/>
      <c r="N331" s="636" t="s">
        <v>577</v>
      </c>
      <c r="O331" s="636" t="s">
        <v>386</v>
      </c>
      <c r="P331" s="507" t="s">
        <v>1649</v>
      </c>
      <c r="Q331" s="631"/>
      <c r="S331" s="611"/>
      <c r="T331" s="611"/>
      <c r="U331" s="611"/>
      <c r="V331" s="611"/>
      <c r="W331" s="611"/>
      <c r="X331" s="611"/>
      <c r="Y331" s="611"/>
      <c r="Z331" s="611"/>
      <c r="AA331" s="611"/>
    </row>
    <row r="332" spans="1:27" ht="12" customHeight="1">
      <c r="A332" s="611"/>
      <c r="B332" s="640"/>
      <c r="C332" s="507" t="s">
        <v>97</v>
      </c>
      <c r="D332" s="507" t="s">
        <v>2191</v>
      </c>
      <c r="E332" s="637" t="s">
        <v>98</v>
      </c>
      <c r="F332" s="637"/>
      <c r="G332" s="631" t="s">
        <v>1807</v>
      </c>
      <c r="H332" s="632" t="s">
        <v>667</v>
      </c>
      <c r="I332" s="638"/>
      <c r="J332" s="634" t="s">
        <v>443</v>
      </c>
      <c r="K332" s="635"/>
      <c r="L332" s="626"/>
      <c r="M332" s="627"/>
      <c r="N332" s="636" t="s">
        <v>3062</v>
      </c>
      <c r="O332" s="636" t="s">
        <v>99</v>
      </c>
      <c r="P332" s="507" t="s">
        <v>1650</v>
      </c>
      <c r="Q332" s="631"/>
      <c r="S332" s="611"/>
      <c r="T332" s="611"/>
      <c r="U332" s="611"/>
      <c r="V332" s="611"/>
      <c r="W332" s="611"/>
      <c r="X332" s="611"/>
      <c r="Y332" s="611"/>
      <c r="Z332" s="611"/>
      <c r="AA332" s="611"/>
    </row>
    <row r="333" spans="1:27" ht="12" customHeight="1">
      <c r="A333" s="611"/>
      <c r="B333" s="640"/>
      <c r="C333" s="507" t="s">
        <v>99</v>
      </c>
      <c r="D333" s="507" t="s">
        <v>2237</v>
      </c>
      <c r="E333" s="637" t="s">
        <v>100</v>
      </c>
      <c r="F333" s="637"/>
      <c r="G333" s="631" t="s">
        <v>1808</v>
      </c>
      <c r="H333" s="632" t="s">
        <v>667</v>
      </c>
      <c r="I333" s="638"/>
      <c r="J333" s="634" t="s">
        <v>448</v>
      </c>
      <c r="K333" s="635"/>
      <c r="L333" s="626"/>
      <c r="M333" s="627"/>
      <c r="N333" s="636" t="s">
        <v>203</v>
      </c>
      <c r="O333" s="636" t="s">
        <v>2790</v>
      </c>
      <c r="P333" s="507" t="s">
        <v>1651</v>
      </c>
      <c r="Q333" s="631"/>
      <c r="S333" s="611"/>
      <c r="T333" s="611"/>
      <c r="U333" s="611"/>
      <c r="V333" s="611"/>
      <c r="W333" s="611"/>
      <c r="X333" s="611"/>
      <c r="Y333" s="611"/>
      <c r="Z333" s="611"/>
      <c r="AA333" s="611"/>
    </row>
    <row r="334" spans="1:27" ht="12" customHeight="1">
      <c r="A334" s="611"/>
      <c r="B334" s="640"/>
      <c r="C334" s="507" t="s">
        <v>101</v>
      </c>
      <c r="D334" s="507" t="s">
        <v>2237</v>
      </c>
      <c r="E334" s="637" t="s">
        <v>102</v>
      </c>
      <c r="F334" s="637"/>
      <c r="G334" s="631" t="s">
        <v>1809</v>
      </c>
      <c r="H334" s="632" t="s">
        <v>667</v>
      </c>
      <c r="I334" s="638"/>
      <c r="J334" s="634" t="s">
        <v>454</v>
      </c>
      <c r="K334" s="635"/>
      <c r="L334" s="626"/>
      <c r="M334" s="627"/>
      <c r="N334" s="636" t="s">
        <v>3363</v>
      </c>
      <c r="O334" s="636" t="s">
        <v>203</v>
      </c>
      <c r="P334" s="507" t="s">
        <v>1652</v>
      </c>
      <c r="Q334" s="631"/>
      <c r="S334" s="611"/>
      <c r="T334" s="611"/>
      <c r="U334" s="611"/>
      <c r="V334" s="611"/>
      <c r="W334" s="611"/>
      <c r="X334" s="611"/>
      <c r="Y334" s="611"/>
      <c r="Z334" s="611"/>
      <c r="AA334" s="611"/>
    </row>
    <row r="335" spans="1:27" ht="12" customHeight="1">
      <c r="A335" s="611"/>
      <c r="B335" s="640"/>
      <c r="C335" s="507" t="s">
        <v>103</v>
      </c>
      <c r="D335" s="507" t="s">
        <v>2237</v>
      </c>
      <c r="E335" s="637" t="s">
        <v>104</v>
      </c>
      <c r="F335" s="637"/>
      <c r="G335" s="631" t="s">
        <v>1810</v>
      </c>
      <c r="H335" s="632" t="s">
        <v>667</v>
      </c>
      <c r="I335" s="638"/>
      <c r="J335" s="634" t="s">
        <v>456</v>
      </c>
      <c r="K335" s="635"/>
      <c r="L335" s="626"/>
      <c r="M335" s="627"/>
      <c r="N335" s="636" t="s">
        <v>1057</v>
      </c>
      <c r="O335" s="636" t="s">
        <v>3163</v>
      </c>
      <c r="P335" s="507" t="s">
        <v>1653</v>
      </c>
      <c r="Q335" s="631"/>
      <c r="S335" s="611"/>
      <c r="T335" s="611"/>
      <c r="U335" s="611"/>
      <c r="V335" s="611"/>
      <c r="W335" s="611"/>
      <c r="X335" s="611"/>
      <c r="Y335" s="611"/>
      <c r="Z335" s="611"/>
      <c r="AA335" s="611"/>
    </row>
    <row r="336" spans="1:27" ht="12" customHeight="1">
      <c r="A336" s="611"/>
      <c r="B336" s="640"/>
      <c r="C336" s="507" t="s">
        <v>105</v>
      </c>
      <c r="D336" s="507" t="s">
        <v>2237</v>
      </c>
      <c r="E336" s="637" t="s">
        <v>274</v>
      </c>
      <c r="F336" s="637"/>
      <c r="G336" s="631" t="s">
        <v>3664</v>
      </c>
      <c r="H336" s="632" t="s">
        <v>667</v>
      </c>
      <c r="I336" s="638"/>
      <c r="J336" s="634" t="s">
        <v>3061</v>
      </c>
      <c r="K336" s="635"/>
      <c r="L336" s="626"/>
      <c r="M336" s="627"/>
      <c r="N336" s="636" t="s">
        <v>257</v>
      </c>
      <c r="O336" s="636" t="s">
        <v>2875</v>
      </c>
      <c r="P336" s="507" t="s">
        <v>1654</v>
      </c>
      <c r="Q336" s="631"/>
      <c r="S336" s="611"/>
      <c r="T336" s="611"/>
      <c r="U336" s="611"/>
      <c r="V336" s="611"/>
      <c r="W336" s="611"/>
      <c r="X336" s="611"/>
      <c r="Y336" s="611"/>
      <c r="Z336" s="611"/>
      <c r="AA336" s="611"/>
    </row>
    <row r="337" spans="1:27" ht="12" customHeight="1">
      <c r="A337" s="611"/>
      <c r="B337" s="640"/>
      <c r="C337" s="507" t="s">
        <v>275</v>
      </c>
      <c r="D337" s="507" t="s">
        <v>2003</v>
      </c>
      <c r="E337" s="637" t="s">
        <v>276</v>
      </c>
      <c r="F337" s="637"/>
      <c r="G337" s="631" t="s">
        <v>3665</v>
      </c>
      <c r="H337" s="632" t="s">
        <v>667</v>
      </c>
      <c r="I337" s="633"/>
      <c r="J337" s="634" t="s">
        <v>3245</v>
      </c>
      <c r="K337" s="635"/>
      <c r="L337" s="626"/>
      <c r="M337" s="627"/>
      <c r="N337" s="636" t="s">
        <v>204</v>
      </c>
      <c r="O337" s="636" t="s">
        <v>1258</v>
      </c>
      <c r="P337" s="507" t="s">
        <v>1655</v>
      </c>
      <c r="Q337" s="631"/>
      <c r="S337" s="611"/>
      <c r="T337" s="611"/>
      <c r="U337" s="611"/>
      <c r="V337" s="611"/>
      <c r="W337" s="611"/>
      <c r="X337" s="611"/>
      <c r="Y337" s="611"/>
      <c r="Z337" s="611"/>
      <c r="AA337" s="611"/>
    </row>
    <row r="338" spans="1:27" ht="12" customHeight="1">
      <c r="A338" s="611"/>
      <c r="B338" s="640"/>
      <c r="C338" s="507" t="s">
        <v>3257</v>
      </c>
      <c r="D338" s="507" t="s">
        <v>2003</v>
      </c>
      <c r="E338" s="630" t="s">
        <v>547</v>
      </c>
      <c r="F338" s="630"/>
      <c r="G338" s="631" t="s">
        <v>3666</v>
      </c>
      <c r="H338" s="632" t="s">
        <v>668</v>
      </c>
      <c r="I338" s="638"/>
      <c r="J338" s="634" t="s">
        <v>3362</v>
      </c>
      <c r="K338" s="635"/>
      <c r="L338" s="626"/>
      <c r="M338" s="627"/>
      <c r="N338" s="507" t="s">
        <v>3969</v>
      </c>
      <c r="O338" s="507" t="s">
        <v>3200</v>
      </c>
      <c r="P338" s="1577" t="s">
        <v>3295</v>
      </c>
      <c r="Q338" s="631"/>
      <c r="S338" s="611"/>
      <c r="T338" s="611"/>
      <c r="U338" s="611"/>
      <c r="V338" s="611"/>
      <c r="W338" s="611"/>
      <c r="X338" s="611"/>
      <c r="Y338" s="611"/>
      <c r="Z338" s="611"/>
      <c r="AA338" s="611"/>
    </row>
    <row r="339" spans="1:27" ht="12" customHeight="1">
      <c r="A339" s="611"/>
      <c r="B339" s="640"/>
      <c r="C339" s="507" t="s">
        <v>3258</v>
      </c>
      <c r="D339" s="507" t="s">
        <v>2237</v>
      </c>
      <c r="E339" s="637" t="s">
        <v>3637</v>
      </c>
      <c r="F339" s="637"/>
      <c r="G339" s="631" t="s">
        <v>3667</v>
      </c>
      <c r="H339" s="632" t="s">
        <v>667</v>
      </c>
      <c r="I339" s="638"/>
      <c r="J339" s="634" t="s">
        <v>255</v>
      </c>
      <c r="K339" s="635"/>
      <c r="L339" s="626"/>
      <c r="M339" s="627"/>
      <c r="N339" s="636" t="s">
        <v>1366</v>
      </c>
      <c r="O339" s="636" t="s">
        <v>99</v>
      </c>
      <c r="P339" s="507" t="s">
        <v>1656</v>
      </c>
      <c r="Q339" s="631"/>
      <c r="S339" s="611"/>
      <c r="T339" s="611"/>
      <c r="U339" s="611"/>
      <c r="V339" s="611"/>
      <c r="W339" s="611"/>
      <c r="X339" s="611"/>
      <c r="Y339" s="611"/>
      <c r="Z339" s="611"/>
      <c r="AA339" s="611"/>
    </row>
    <row r="340" spans="1:27" ht="12" customHeight="1">
      <c r="A340" s="611"/>
      <c r="B340" s="640"/>
      <c r="C340" s="507" t="s">
        <v>3750</v>
      </c>
      <c r="D340" s="507" t="s">
        <v>2191</v>
      </c>
      <c r="E340" s="637" t="s">
        <v>3751</v>
      </c>
      <c r="F340" s="637"/>
      <c r="G340" s="631" t="s">
        <v>665</v>
      </c>
      <c r="H340" s="632" t="s">
        <v>667</v>
      </c>
      <c r="I340" s="638"/>
      <c r="J340" s="634" t="s">
        <v>256</v>
      </c>
      <c r="K340" s="635"/>
      <c r="L340" s="626"/>
      <c r="M340" s="627"/>
      <c r="N340" s="636" t="s">
        <v>1368</v>
      </c>
      <c r="O340" s="636" t="s">
        <v>284</v>
      </c>
      <c r="P340" s="507" t="s">
        <v>1657</v>
      </c>
      <c r="Q340" s="631"/>
      <c r="R340" s="434"/>
      <c r="S340" s="507"/>
      <c r="T340" s="611"/>
      <c r="U340" s="611"/>
      <c r="V340" s="611"/>
      <c r="W340" s="611"/>
      <c r="X340" s="611"/>
      <c r="Y340" s="611"/>
      <c r="Z340" s="611"/>
      <c r="AA340" s="611"/>
    </row>
    <row r="341" spans="1:27" ht="12" customHeight="1">
      <c r="A341" s="611"/>
      <c r="B341" s="640"/>
      <c r="C341" s="507" t="s">
        <v>3752</v>
      </c>
      <c r="D341" s="507" t="s">
        <v>2191</v>
      </c>
      <c r="E341" s="637" t="s">
        <v>3753</v>
      </c>
      <c r="F341" s="637"/>
      <c r="G341" s="631" t="s">
        <v>666</v>
      </c>
      <c r="H341" s="632" t="s">
        <v>667</v>
      </c>
      <c r="I341" s="638"/>
      <c r="J341" s="634" t="s">
        <v>2382</v>
      </c>
      <c r="K341" s="635"/>
      <c r="L341" s="626"/>
      <c r="M341" s="627"/>
      <c r="N341" s="636" t="s">
        <v>1370</v>
      </c>
      <c r="O341" s="636" t="s">
        <v>357</v>
      </c>
      <c r="P341" s="507" t="s">
        <v>1658</v>
      </c>
      <c r="Q341" s="631"/>
      <c r="R341" s="434"/>
      <c r="S341" s="507"/>
      <c r="T341" s="611"/>
      <c r="U341" s="611"/>
      <c r="V341" s="611"/>
      <c r="W341" s="611"/>
      <c r="X341" s="611"/>
      <c r="Y341" s="611"/>
      <c r="Z341" s="611"/>
      <c r="AA341" s="611"/>
    </row>
    <row r="342" spans="1:27" ht="12" customHeight="1">
      <c r="A342" s="611"/>
      <c r="B342" s="612"/>
      <c r="C342" s="507" t="s">
        <v>3754</v>
      </c>
      <c r="D342" s="507" t="s">
        <v>2237</v>
      </c>
      <c r="E342" s="637" t="s">
        <v>2661</v>
      </c>
      <c r="F342" s="637"/>
      <c r="G342" s="631" t="s">
        <v>2170</v>
      </c>
      <c r="H342" s="632" t="s">
        <v>668</v>
      </c>
      <c r="I342" s="611"/>
      <c r="J342" s="634" t="s">
        <v>1365</v>
      </c>
      <c r="K342" s="635"/>
      <c r="L342" s="626"/>
      <c r="M342" s="627"/>
      <c r="N342" s="636" t="s">
        <v>3795</v>
      </c>
      <c r="O342" s="636" t="s">
        <v>2085</v>
      </c>
      <c r="P342" s="507" t="s">
        <v>1659</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1367</v>
      </c>
      <c r="K343" s="635"/>
      <c r="L343" s="626"/>
      <c r="M343" s="627"/>
      <c r="N343" s="636" t="s">
        <v>3797</v>
      </c>
      <c r="O343" s="636" t="s">
        <v>1833</v>
      </c>
      <c r="P343" s="507" t="s">
        <v>1660</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1369</v>
      </c>
      <c r="K344" s="635"/>
      <c r="L344" s="626"/>
      <c r="M344" s="627"/>
      <c r="N344" s="507" t="s">
        <v>3970</v>
      </c>
      <c r="O344" s="507" t="s">
        <v>1349</v>
      </c>
      <c r="P344" s="1577" t="s">
        <v>3295</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3793</v>
      </c>
      <c r="K345" s="635"/>
      <c r="L345" s="626"/>
      <c r="M345" s="627"/>
      <c r="N345" s="636" t="s">
        <v>491</v>
      </c>
      <c r="O345" s="636" t="s">
        <v>3876</v>
      </c>
      <c r="P345" s="507" t="s">
        <v>1661</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3794</v>
      </c>
      <c r="K346" s="635"/>
      <c r="L346" s="626"/>
      <c r="M346" s="627"/>
      <c r="N346" s="636" t="s">
        <v>493</v>
      </c>
      <c r="O346" s="636" t="s">
        <v>3399</v>
      </c>
      <c r="P346" s="507" t="s">
        <v>1662</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3796</v>
      </c>
      <c r="K347" s="635"/>
      <c r="L347" s="626"/>
      <c r="M347" s="627"/>
      <c r="N347" s="636" t="s">
        <v>184</v>
      </c>
      <c r="O347" s="636" t="s">
        <v>1778</v>
      </c>
      <c r="P347" s="507" t="s">
        <v>1663</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3798</v>
      </c>
      <c r="K348" s="635"/>
      <c r="L348" s="626"/>
      <c r="M348" s="627"/>
      <c r="N348" s="636" t="s">
        <v>300</v>
      </c>
      <c r="O348" s="636" t="s">
        <v>1258</v>
      </c>
      <c r="P348" s="507" t="s">
        <v>1664</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3799</v>
      </c>
      <c r="K349" s="635"/>
      <c r="L349" s="626"/>
      <c r="M349" s="627"/>
      <c r="N349" s="636" t="s">
        <v>1478</v>
      </c>
      <c r="O349" s="636" t="s">
        <v>3874</v>
      </c>
      <c r="P349" s="507" t="s">
        <v>1562</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492</v>
      </c>
      <c r="K350" s="635"/>
      <c r="L350" s="626"/>
      <c r="M350" s="627"/>
      <c r="N350" s="636" t="s">
        <v>2942</v>
      </c>
      <c r="O350" s="636" t="s">
        <v>1478</v>
      </c>
      <c r="P350" s="507" t="s">
        <v>1563</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183</v>
      </c>
      <c r="K351" s="635"/>
      <c r="L351" s="626"/>
      <c r="M351" s="627"/>
      <c r="N351" s="507" t="s">
        <v>4052</v>
      </c>
      <c r="O351" s="507" t="s">
        <v>1258</v>
      </c>
      <c r="P351" s="1577" t="s">
        <v>3295</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299</v>
      </c>
      <c r="K352" s="635"/>
      <c r="L352" s="626"/>
      <c r="M352" s="627"/>
      <c r="N352" s="636" t="s">
        <v>3054</v>
      </c>
      <c r="O352" s="636" t="s">
        <v>2085</v>
      </c>
      <c r="P352" s="507" t="s">
        <v>1564</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2940</v>
      </c>
      <c r="K353" s="635"/>
      <c r="L353" s="626"/>
      <c r="M353" s="627"/>
      <c r="N353" s="636" t="s">
        <v>3109</v>
      </c>
      <c r="O353" s="636" t="s">
        <v>2085</v>
      </c>
      <c r="P353" s="507" t="s">
        <v>1423</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2941</v>
      </c>
      <c r="K354" s="635"/>
      <c r="L354" s="626"/>
      <c r="M354" s="627"/>
      <c r="N354" s="636" t="s">
        <v>1343</v>
      </c>
      <c r="O354" s="636" t="s">
        <v>283</v>
      </c>
      <c r="P354" s="507" t="s">
        <v>1273</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2943</v>
      </c>
      <c r="K355" s="635"/>
      <c r="L355" s="626"/>
      <c r="M355" s="627"/>
      <c r="N355" s="641" t="s">
        <v>1058</v>
      </c>
      <c r="O355" s="636" t="s">
        <v>1258</v>
      </c>
      <c r="P355" s="507" t="s">
        <v>1274</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2944</v>
      </c>
      <c r="K356" s="635"/>
      <c r="L356" s="626"/>
      <c r="M356" s="627"/>
      <c r="N356" s="636" t="s">
        <v>3052</v>
      </c>
      <c r="O356" s="636" t="s">
        <v>3871</v>
      </c>
      <c r="P356" s="507" t="s">
        <v>1275</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3053</v>
      </c>
      <c r="K357" s="635"/>
      <c r="L357" s="626"/>
      <c r="M357" s="627"/>
      <c r="N357" s="636" t="s">
        <v>1684</v>
      </c>
      <c r="O357" s="636" t="s">
        <v>2085</v>
      </c>
      <c r="P357" s="507" t="s">
        <v>1276</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3108</v>
      </c>
      <c r="K358" s="635"/>
      <c r="L358" s="626"/>
      <c r="M358" s="627"/>
      <c r="N358" s="636" t="s">
        <v>1686</v>
      </c>
      <c r="O358" s="636" t="s">
        <v>1101</v>
      </c>
      <c r="P358" s="627" t="s">
        <v>1277</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1342</v>
      </c>
      <c r="K359" s="635"/>
      <c r="L359" s="626"/>
      <c r="M359" s="627"/>
      <c r="N359" s="507" t="s">
        <v>4053</v>
      </c>
      <c r="O359" s="507" t="s">
        <v>3401</v>
      </c>
      <c r="P359" s="1577" t="s">
        <v>3295</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1801</v>
      </c>
      <c r="K360" s="635"/>
      <c r="L360" s="626"/>
      <c r="M360" s="627"/>
      <c r="N360" s="507" t="s">
        <v>4054</v>
      </c>
      <c r="O360" s="507" t="s">
        <v>4025</v>
      </c>
      <c r="P360" s="1577" t="s">
        <v>3295</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1685</v>
      </c>
      <c r="K361" s="635"/>
      <c r="L361" s="626"/>
      <c r="M361" s="627"/>
      <c r="N361" s="636" t="s">
        <v>1688</v>
      </c>
      <c r="O361" s="636" t="s">
        <v>2127</v>
      </c>
      <c r="P361" s="627" t="s">
        <v>1278</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1687</v>
      </c>
      <c r="K362" s="635"/>
      <c r="L362" s="626"/>
      <c r="M362" s="627"/>
      <c r="N362" s="636" t="s">
        <v>3911</v>
      </c>
      <c r="O362" s="636" t="s">
        <v>207</v>
      </c>
      <c r="P362" s="627" t="s">
        <v>1279</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3910</v>
      </c>
      <c r="K363" s="635"/>
      <c r="L363" s="626"/>
      <c r="M363" s="627"/>
      <c r="N363" s="636" t="s">
        <v>690</v>
      </c>
      <c r="O363" s="636" t="s">
        <v>1829</v>
      </c>
      <c r="P363" s="627" t="s">
        <v>1280</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3912</v>
      </c>
      <c r="K364" s="635"/>
      <c r="L364" s="626"/>
      <c r="M364" s="627"/>
      <c r="N364" s="636" t="s">
        <v>196</v>
      </c>
      <c r="O364" s="636" t="s">
        <v>1103</v>
      </c>
      <c r="P364" s="627" t="s">
        <v>1281</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195</v>
      </c>
      <c r="K365" s="635"/>
      <c r="L365" s="626"/>
      <c r="M365" s="627"/>
      <c r="N365" s="636" t="s">
        <v>522</v>
      </c>
      <c r="O365" s="636" t="s">
        <v>2188</v>
      </c>
      <c r="P365" s="627" t="s">
        <v>1282</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197</v>
      </c>
      <c r="K366" s="635"/>
      <c r="L366" s="626"/>
      <c r="M366" s="627"/>
      <c r="N366" s="636" t="s">
        <v>2886</v>
      </c>
      <c r="O366" s="636" t="s">
        <v>1483</v>
      </c>
      <c r="P366" s="627" t="s">
        <v>1283</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2885</v>
      </c>
      <c r="K367" s="635"/>
      <c r="L367" s="626"/>
      <c r="M367" s="627"/>
      <c r="N367" s="636" t="s">
        <v>2888</v>
      </c>
      <c r="O367" s="636" t="s">
        <v>1752</v>
      </c>
      <c r="P367" s="627" t="s">
        <v>1284</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2887</v>
      </c>
      <c r="K368" s="635"/>
      <c r="L368" s="626"/>
      <c r="M368" s="627"/>
      <c r="N368" s="636" t="s">
        <v>3143</v>
      </c>
      <c r="O368" s="636" t="s">
        <v>3876</v>
      </c>
      <c r="P368" s="627" t="s">
        <v>1285</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3142</v>
      </c>
      <c r="K369" s="635"/>
      <c r="L369" s="626"/>
      <c r="M369" s="627"/>
      <c r="N369" s="636" t="s">
        <v>3146</v>
      </c>
      <c r="O369" s="636" t="s">
        <v>1101</v>
      </c>
      <c r="P369" s="627" t="s">
        <v>1286</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3144</v>
      </c>
      <c r="K370" s="635"/>
      <c r="L370" s="626"/>
      <c r="M370" s="627"/>
      <c r="N370" s="636" t="s">
        <v>3182</v>
      </c>
      <c r="O370" s="636" t="s">
        <v>2006</v>
      </c>
      <c r="P370" s="627" t="s">
        <v>1287</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3145</v>
      </c>
      <c r="K371" s="635"/>
      <c r="L371" s="626"/>
      <c r="M371" s="627"/>
      <c r="N371" s="636" t="s">
        <v>3202</v>
      </c>
      <c r="O371" s="636" t="s">
        <v>2280</v>
      </c>
      <c r="P371" s="627" t="s">
        <v>1288</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3181</v>
      </c>
      <c r="K372" s="635"/>
      <c r="L372" s="626"/>
      <c r="M372" s="627"/>
      <c r="N372" s="636" t="s">
        <v>3244</v>
      </c>
      <c r="O372" s="636" t="s">
        <v>349</v>
      </c>
      <c r="P372" s="627" t="s">
        <v>1289</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3201</v>
      </c>
      <c r="K373" s="635"/>
      <c r="L373" s="626"/>
      <c r="M373" s="627"/>
      <c r="N373" s="636" t="s">
        <v>3057</v>
      </c>
      <c r="O373" s="636" t="s">
        <v>3902</v>
      </c>
      <c r="P373" s="627" t="s">
        <v>1290</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3243</v>
      </c>
      <c r="K374" s="635"/>
      <c r="L374" s="626"/>
      <c r="M374" s="627"/>
      <c r="N374" s="636" t="s">
        <v>3059</v>
      </c>
      <c r="O374" s="636" t="s">
        <v>2006</v>
      </c>
      <c r="P374" s="627" t="s">
        <v>1291</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3055</v>
      </c>
      <c r="K375" s="635"/>
      <c r="L375" s="626"/>
      <c r="M375" s="627"/>
      <c r="N375" s="507" t="s">
        <v>3652</v>
      </c>
      <c r="O375" s="507" t="s">
        <v>4022</v>
      </c>
      <c r="P375" s="1577" t="s">
        <v>3295</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3056</v>
      </c>
      <c r="K376" s="635"/>
      <c r="L376" s="626"/>
      <c r="M376" s="627"/>
      <c r="N376" s="507" t="s">
        <v>4055</v>
      </c>
      <c r="O376" s="507" t="s">
        <v>3401</v>
      </c>
      <c r="P376" s="1577" t="s">
        <v>3295</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3058</v>
      </c>
      <c r="K377" s="635"/>
      <c r="L377" s="626"/>
      <c r="M377" s="627"/>
      <c r="N377" s="507" t="s">
        <v>4056</v>
      </c>
      <c r="O377" s="507" t="s">
        <v>3873</v>
      </c>
      <c r="P377" s="1577" t="s">
        <v>3295</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3060</v>
      </c>
      <c r="K378" s="635"/>
      <c r="L378" s="626"/>
      <c r="M378" s="627"/>
      <c r="N378" s="636" t="s">
        <v>664</v>
      </c>
      <c r="O378" s="636" t="s">
        <v>2127</v>
      </c>
      <c r="P378" s="627" t="s">
        <v>1292</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663</v>
      </c>
      <c r="K379" s="635"/>
      <c r="L379" s="626"/>
      <c r="M379" s="627"/>
      <c r="N379" s="636" t="s">
        <v>431</v>
      </c>
      <c r="O379" s="636" t="s">
        <v>1350</v>
      </c>
      <c r="P379" s="627" t="s">
        <v>1293</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304</v>
      </c>
      <c r="K380" s="635"/>
      <c r="L380" s="626"/>
      <c r="M380" s="627"/>
      <c r="N380" s="507" t="s">
        <v>3973</v>
      </c>
      <c r="O380" s="507" t="s">
        <v>3134</v>
      </c>
      <c r="P380" s="1577" t="s">
        <v>3295</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2833</v>
      </c>
      <c r="K381" s="635"/>
      <c r="L381" s="626"/>
      <c r="M381" s="627"/>
      <c r="N381" s="636" t="s">
        <v>3073</v>
      </c>
      <c r="O381" s="636" t="s">
        <v>3871</v>
      </c>
      <c r="P381" s="627" t="s">
        <v>1294</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2914</v>
      </c>
      <c r="K382" s="635"/>
      <c r="L382" s="626"/>
      <c r="M382" s="627"/>
      <c r="N382" s="636" t="s">
        <v>3514</v>
      </c>
      <c r="O382" s="636" t="s">
        <v>1221</v>
      </c>
      <c r="P382" s="627" t="s">
        <v>1295</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3513</v>
      </c>
      <c r="K383" s="635"/>
      <c r="L383" s="626"/>
      <c r="M383" s="627"/>
      <c r="N383" s="636" t="s">
        <v>3600</v>
      </c>
      <c r="O383" s="636" t="s">
        <v>2278</v>
      </c>
      <c r="P383" s="627" t="s">
        <v>1296</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3599</v>
      </c>
      <c r="K384" s="635"/>
      <c r="L384" s="626"/>
      <c r="M384" s="627"/>
      <c r="N384" s="636" t="s">
        <v>1620</v>
      </c>
      <c r="O384" s="636" t="s">
        <v>2088</v>
      </c>
      <c r="P384" s="627" t="s">
        <v>1297</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1619</v>
      </c>
      <c r="K385" s="635"/>
      <c r="L385" s="626"/>
      <c r="M385" s="627"/>
      <c r="N385" s="636" t="s">
        <v>938</v>
      </c>
      <c r="O385" s="636" t="s">
        <v>2187</v>
      </c>
      <c r="P385" s="627" t="s">
        <v>1298</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1014</v>
      </c>
      <c r="K386" s="635"/>
      <c r="L386" s="626"/>
      <c r="M386" s="627"/>
      <c r="N386" s="636" t="s">
        <v>1006</v>
      </c>
      <c r="O386" s="636" t="s">
        <v>539</v>
      </c>
      <c r="P386" s="627" t="s">
        <v>1299</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937</v>
      </c>
      <c r="K387" s="635"/>
      <c r="L387" s="626"/>
      <c r="M387" s="627"/>
      <c r="N387" s="636" t="s">
        <v>3739</v>
      </c>
      <c r="O387" s="636" t="s">
        <v>259</v>
      </c>
      <c r="P387" s="627" t="s">
        <v>1300</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1005</v>
      </c>
      <c r="K388" s="635"/>
      <c r="L388" s="626"/>
      <c r="M388" s="627"/>
      <c r="N388" s="636" t="s">
        <v>424</v>
      </c>
      <c r="O388" s="636" t="s">
        <v>3870</v>
      </c>
      <c r="P388" s="627" t="s">
        <v>1301</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3738</v>
      </c>
      <c r="K389" s="635"/>
      <c r="L389" s="626"/>
      <c r="M389" s="627"/>
      <c r="N389" s="636" t="s">
        <v>1098</v>
      </c>
      <c r="O389" s="636" t="s">
        <v>2407</v>
      </c>
      <c r="P389" s="627" t="s">
        <v>1302</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423</v>
      </c>
      <c r="K390" s="635"/>
      <c r="L390" s="626"/>
      <c r="M390" s="627"/>
      <c r="N390" s="636" t="s">
        <v>3670</v>
      </c>
      <c r="O390" s="636" t="s">
        <v>3868</v>
      </c>
      <c r="P390" s="627" t="s">
        <v>1303</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1353</v>
      </c>
      <c r="K391" s="635"/>
      <c r="L391" s="626"/>
      <c r="M391" s="627"/>
      <c r="N391" s="636" t="s">
        <v>518</v>
      </c>
      <c r="O391" s="636" t="s">
        <v>2414</v>
      </c>
      <c r="P391" s="627" t="s">
        <v>1304</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1354</v>
      </c>
      <c r="K392" s="635"/>
      <c r="L392" s="626"/>
      <c r="M392" s="627"/>
      <c r="N392" s="507" t="s">
        <v>1703</v>
      </c>
      <c r="O392" s="507" t="s">
        <v>2088</v>
      </c>
      <c r="P392" s="1577" t="s">
        <v>3295</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517</v>
      </c>
      <c r="K393" s="635"/>
      <c r="L393" s="626"/>
      <c r="M393" s="627"/>
      <c r="N393" s="636" t="s">
        <v>420</v>
      </c>
      <c r="O393" s="636" t="s">
        <v>1819</v>
      </c>
      <c r="P393" s="627" t="s">
        <v>1305</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419</v>
      </c>
      <c r="K394" s="635"/>
      <c r="L394" s="626"/>
      <c r="M394" s="627"/>
      <c r="N394" s="636" t="s">
        <v>1099</v>
      </c>
      <c r="O394" s="636" t="s">
        <v>349</v>
      </c>
      <c r="P394" s="627" t="s">
        <v>1306</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338</v>
      </c>
      <c r="K395" s="635"/>
      <c r="L395" s="626"/>
      <c r="M395" s="627"/>
      <c r="N395" s="636" t="s">
        <v>1362</v>
      </c>
      <c r="O395" s="636" t="s">
        <v>1099</v>
      </c>
      <c r="P395" s="627" t="s">
        <v>1307</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1360</v>
      </c>
      <c r="K396" s="635"/>
      <c r="L396" s="626"/>
      <c r="M396" s="627"/>
      <c r="N396" s="636" t="s">
        <v>1867</v>
      </c>
      <c r="O396" s="636" t="s">
        <v>3876</v>
      </c>
      <c r="P396" s="627" t="s">
        <v>1308</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1361</v>
      </c>
      <c r="K397" s="635"/>
      <c r="L397" s="626"/>
      <c r="M397" s="627"/>
      <c r="N397" s="636" t="s">
        <v>1869</v>
      </c>
      <c r="O397" s="636" t="s">
        <v>539</v>
      </c>
      <c r="P397" s="627" t="s">
        <v>1309</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1363</v>
      </c>
      <c r="K398" s="635"/>
      <c r="L398" s="626"/>
      <c r="M398" s="627"/>
      <c r="N398" s="636" t="s">
        <v>1871</v>
      </c>
      <c r="O398" s="636" t="s">
        <v>261</v>
      </c>
      <c r="P398" s="627" t="s">
        <v>1871</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2451</v>
      </c>
      <c r="K399" s="635"/>
      <c r="L399" s="626"/>
      <c r="M399" s="627"/>
      <c r="N399" s="636" t="s">
        <v>1589</v>
      </c>
      <c r="O399" s="636" t="s">
        <v>3585</v>
      </c>
      <c r="P399" s="627" t="s">
        <v>1310</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1868</v>
      </c>
      <c r="K400" s="635"/>
      <c r="L400" s="626"/>
      <c r="M400" s="627"/>
      <c r="N400" s="636" t="s">
        <v>3764</v>
      </c>
      <c r="O400" s="636" t="s">
        <v>2877</v>
      </c>
      <c r="P400" s="627" t="s">
        <v>1311</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1870</v>
      </c>
      <c r="K401" s="635"/>
      <c r="L401" s="626"/>
      <c r="M401" s="627"/>
      <c r="N401" s="636" t="s">
        <v>1496</v>
      </c>
      <c r="O401" s="636" t="s">
        <v>3165</v>
      </c>
      <c r="P401" s="627" t="s">
        <v>1312</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1588</v>
      </c>
      <c r="K402" s="635"/>
      <c r="L402" s="626"/>
      <c r="M402" s="627"/>
      <c r="N402" s="636" t="s">
        <v>1498</v>
      </c>
      <c r="O402" s="636" t="s">
        <v>1831</v>
      </c>
      <c r="P402" s="1576" t="s">
        <v>1426</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3763</v>
      </c>
      <c r="K403" s="635"/>
      <c r="L403" s="626"/>
      <c r="M403" s="627"/>
      <c r="N403" s="636" t="s">
        <v>1500</v>
      </c>
      <c r="O403" s="636" t="s">
        <v>1103</v>
      </c>
      <c r="P403" s="627" t="s">
        <v>1313</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1495</v>
      </c>
      <c r="K404" s="635"/>
      <c r="L404" s="626"/>
      <c r="M404" s="627"/>
      <c r="N404" s="636" t="s">
        <v>1502</v>
      </c>
      <c r="O404" s="636" t="s">
        <v>539</v>
      </c>
      <c r="P404" s="627" t="s">
        <v>1314</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1497</v>
      </c>
      <c r="K405" s="635"/>
      <c r="L405" s="626"/>
      <c r="M405" s="627"/>
      <c r="N405" s="636" t="s">
        <v>1504</v>
      </c>
      <c r="O405" s="636" t="s">
        <v>2292</v>
      </c>
      <c r="P405" s="627" t="s">
        <v>1315</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1499</v>
      </c>
      <c r="K406" s="635"/>
      <c r="L406" s="626"/>
      <c r="M406" s="627"/>
      <c r="N406" s="636" t="s">
        <v>1017</v>
      </c>
      <c r="O406" s="636" t="s">
        <v>3169</v>
      </c>
      <c r="P406" s="627" t="s">
        <v>1316</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1501</v>
      </c>
      <c r="K407" s="635"/>
      <c r="L407" s="626"/>
      <c r="M407" s="627"/>
      <c r="N407" s="636" t="s">
        <v>142</v>
      </c>
      <c r="O407" s="636" t="s">
        <v>105</v>
      </c>
      <c r="P407" s="627" t="s">
        <v>1317</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1503</v>
      </c>
      <c r="K408" s="635"/>
      <c r="L408" s="626"/>
      <c r="M408" s="627"/>
      <c r="N408" s="636" t="s">
        <v>1575</v>
      </c>
      <c r="O408" s="636" t="s">
        <v>3135</v>
      </c>
      <c r="P408" s="627" t="s">
        <v>1318</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1016</v>
      </c>
      <c r="K409" s="635"/>
      <c r="L409" s="626"/>
      <c r="M409" s="627"/>
      <c r="N409" s="636" t="s">
        <v>1350</v>
      </c>
      <c r="O409" s="636" t="s">
        <v>3752</v>
      </c>
      <c r="P409" s="627" t="s">
        <v>1320</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116</v>
      </c>
      <c r="K410" s="635"/>
      <c r="L410" s="626"/>
      <c r="M410" s="627"/>
      <c r="N410" s="636" t="s">
        <v>1555</v>
      </c>
      <c r="O410" s="636" t="s">
        <v>2236</v>
      </c>
      <c r="P410" s="627" t="s">
        <v>1481</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1574</v>
      </c>
      <c r="K411" s="635"/>
      <c r="L411" s="626"/>
      <c r="M411" s="627"/>
      <c r="N411" s="636" t="s">
        <v>1633</v>
      </c>
      <c r="O411" s="636" t="s">
        <v>4025</v>
      </c>
      <c r="P411" s="627" t="s">
        <v>1323</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2909</v>
      </c>
      <c r="K412" s="635"/>
      <c r="L412" s="626"/>
      <c r="M412" s="627"/>
      <c r="N412" s="636" t="s">
        <v>1606</v>
      </c>
      <c r="O412" s="636" t="s">
        <v>757</v>
      </c>
      <c r="P412" s="627" t="s">
        <v>1324</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1625</v>
      </c>
      <c r="K413" s="635"/>
      <c r="L413" s="626"/>
      <c r="M413" s="627"/>
      <c r="N413" s="636" t="s">
        <v>1738</v>
      </c>
      <c r="O413" s="636" t="s">
        <v>283</v>
      </c>
      <c r="P413" s="627" t="s">
        <v>1325</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1554</v>
      </c>
      <c r="K414" s="635"/>
      <c r="L414" s="626"/>
      <c r="M414" s="627"/>
      <c r="N414" s="636" t="s">
        <v>1740</v>
      </c>
      <c r="O414" s="636" t="s">
        <v>1003</v>
      </c>
      <c r="P414" s="627" t="s">
        <v>1326</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1632</v>
      </c>
      <c r="K415" s="635"/>
      <c r="L415" s="626"/>
      <c r="M415" s="627"/>
      <c r="N415" s="636" t="s">
        <v>1742</v>
      </c>
      <c r="O415" s="636" t="s">
        <v>2877</v>
      </c>
      <c r="P415" s="627" t="s">
        <v>1327</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1605</v>
      </c>
      <c r="K416" s="635"/>
      <c r="L416" s="626"/>
      <c r="M416" s="627"/>
      <c r="N416" s="507" t="s">
        <v>1691</v>
      </c>
      <c r="O416" s="507" t="s">
        <v>1258</v>
      </c>
      <c r="P416" s="1577" t="s">
        <v>3295</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1737</v>
      </c>
      <c r="K417" s="635"/>
      <c r="L417" s="626"/>
      <c r="M417" s="627"/>
      <c r="N417" s="636" t="s">
        <v>955</v>
      </c>
      <c r="O417" s="636" t="s">
        <v>3401</v>
      </c>
      <c r="P417" s="627" t="s">
        <v>1328</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1739</v>
      </c>
      <c r="K418" s="635"/>
      <c r="L418" s="626"/>
      <c r="M418" s="627"/>
      <c r="N418" s="636" t="s">
        <v>395</v>
      </c>
      <c r="O418" s="636" t="s">
        <v>4022</v>
      </c>
      <c r="P418" s="627" t="s">
        <v>1329</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1741</v>
      </c>
      <c r="K419" s="635"/>
      <c r="L419" s="626"/>
      <c r="M419" s="627"/>
      <c r="N419" s="636" t="s">
        <v>487</v>
      </c>
      <c r="O419" s="636" t="s">
        <v>2088</v>
      </c>
      <c r="P419" s="627" t="s">
        <v>1330</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954</v>
      </c>
      <c r="K420" s="635"/>
      <c r="L420" s="626"/>
      <c r="M420" s="627"/>
      <c r="N420" s="507" t="s">
        <v>1692</v>
      </c>
      <c r="O420" s="507" t="s">
        <v>3221</v>
      </c>
      <c r="P420" s="1577" t="s">
        <v>3295</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394</v>
      </c>
      <c r="K421" s="635"/>
      <c r="L421" s="626"/>
      <c r="M421" s="627"/>
      <c r="N421" s="636" t="s">
        <v>618</v>
      </c>
      <c r="O421" s="636" t="s">
        <v>1482</v>
      </c>
      <c r="P421" s="627" t="s">
        <v>1331</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488</v>
      </c>
      <c r="K422" s="635"/>
      <c r="L422" s="626"/>
      <c r="M422" s="627"/>
      <c r="N422" s="636" t="s">
        <v>1992</v>
      </c>
      <c r="O422" s="636" t="s">
        <v>3652</v>
      </c>
      <c r="P422" s="627" t="s">
        <v>1332</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617</v>
      </c>
      <c r="K423" s="635"/>
      <c r="L423" s="626"/>
      <c r="M423" s="627"/>
      <c r="N423" s="636" t="s">
        <v>2511</v>
      </c>
      <c r="O423" s="636" t="s">
        <v>386</v>
      </c>
      <c r="P423" s="627" t="s">
        <v>1333</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946</v>
      </c>
      <c r="K424" s="635"/>
      <c r="L424" s="626"/>
      <c r="M424" s="627"/>
      <c r="N424" s="636" t="s">
        <v>1857</v>
      </c>
      <c r="O424" s="636" t="s">
        <v>543</v>
      </c>
      <c r="P424" s="627" t="s">
        <v>1334</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1991</v>
      </c>
      <c r="K425" s="635"/>
      <c r="L425" s="626"/>
      <c r="M425" s="627"/>
      <c r="N425" s="636" t="s">
        <v>1859</v>
      </c>
      <c r="O425" s="636" t="s">
        <v>350</v>
      </c>
      <c r="P425" s="627" t="s">
        <v>1335</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2510</v>
      </c>
      <c r="K426" s="635"/>
      <c r="L426" s="626"/>
      <c r="M426" s="627"/>
      <c r="N426" s="507" t="s">
        <v>1693</v>
      </c>
      <c r="O426" s="507" t="s">
        <v>3014</v>
      </c>
      <c r="P426" s="1577" t="s">
        <v>3295</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1856</v>
      </c>
      <c r="K427" s="635"/>
      <c r="L427" s="626"/>
      <c r="M427" s="627"/>
      <c r="N427" s="636" t="s">
        <v>1968</v>
      </c>
      <c r="O427" s="636" t="s">
        <v>2127</v>
      </c>
      <c r="P427" s="627" t="s">
        <v>2549</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1858</v>
      </c>
      <c r="K428" s="635"/>
      <c r="L428" s="626"/>
      <c r="M428" s="627"/>
      <c r="N428" s="636" t="s">
        <v>542</v>
      </c>
      <c r="O428" s="636" t="s">
        <v>4025</v>
      </c>
      <c r="P428" s="627" t="s">
        <v>2550</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1860</v>
      </c>
      <c r="K429" s="635"/>
      <c r="L429" s="626"/>
      <c r="M429" s="627"/>
      <c r="N429" s="636" t="s">
        <v>2964</v>
      </c>
      <c r="O429" s="636" t="s">
        <v>4022</v>
      </c>
      <c r="P429" s="627" t="s">
        <v>2551</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2834</v>
      </c>
      <c r="K430" s="635"/>
      <c r="L430" s="626"/>
      <c r="M430" s="627"/>
      <c r="N430" s="636" t="s">
        <v>1468</v>
      </c>
      <c r="O430" s="636" t="s">
        <v>99</v>
      </c>
      <c r="P430" s="627" t="s">
        <v>2687</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2835</v>
      </c>
      <c r="K431" s="635"/>
      <c r="L431" s="626"/>
      <c r="M431" s="627"/>
      <c r="N431" s="636" t="s">
        <v>1470</v>
      </c>
      <c r="O431" s="636" t="s">
        <v>544</v>
      </c>
      <c r="P431" s="627" t="s">
        <v>2688</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2963</v>
      </c>
      <c r="K432" s="635"/>
      <c r="L432" s="626"/>
      <c r="M432" s="627"/>
      <c r="N432" s="636" t="s">
        <v>2908</v>
      </c>
      <c r="O432" s="636" t="s">
        <v>1827</v>
      </c>
      <c r="P432" s="627" t="s">
        <v>2689</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1467</v>
      </c>
      <c r="K433" s="635"/>
      <c r="L433" s="626"/>
      <c r="M433" s="627"/>
      <c r="N433" s="636" t="s">
        <v>1261</v>
      </c>
      <c r="O433" s="636" t="s">
        <v>357</v>
      </c>
      <c r="P433" s="627" t="s">
        <v>2690</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1469</v>
      </c>
      <c r="K434" s="635"/>
      <c r="L434" s="626"/>
      <c r="M434" s="627"/>
      <c r="N434" s="636" t="s">
        <v>2751</v>
      </c>
      <c r="O434" s="636" t="s">
        <v>275</v>
      </c>
      <c r="P434" s="627" t="s">
        <v>2691</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1471</v>
      </c>
      <c r="K435" s="635"/>
      <c r="L435" s="626"/>
      <c r="M435" s="627"/>
      <c r="N435" s="636" t="s">
        <v>3614</v>
      </c>
      <c r="O435" s="636" t="s">
        <v>1476</v>
      </c>
      <c r="P435" s="627" t="s">
        <v>2671</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890</v>
      </c>
      <c r="K436" s="635"/>
      <c r="L436" s="626"/>
      <c r="M436" s="627"/>
      <c r="N436" s="636" t="s">
        <v>3013</v>
      </c>
      <c r="O436" s="636" t="s">
        <v>1750</v>
      </c>
      <c r="P436" s="627" t="s">
        <v>2672</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2750</v>
      </c>
      <c r="K437" s="635"/>
      <c r="L437" s="626"/>
      <c r="M437" s="627"/>
      <c r="N437" s="636" t="s">
        <v>1675</v>
      </c>
      <c r="O437" s="636" t="s">
        <v>3221</v>
      </c>
      <c r="P437" s="627" t="s">
        <v>2673</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3613</v>
      </c>
      <c r="K438" s="635"/>
      <c r="L438" s="626"/>
      <c r="M438" s="627"/>
      <c r="N438" s="636" t="s">
        <v>525</v>
      </c>
      <c r="O438" s="636" t="s">
        <v>191</v>
      </c>
      <c r="P438" s="627" t="s">
        <v>2674</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3012</v>
      </c>
      <c r="K439" s="635"/>
      <c r="L439" s="626"/>
      <c r="M439" s="627"/>
      <c r="N439" s="507" t="s">
        <v>1694</v>
      </c>
      <c r="O439" s="507" t="s">
        <v>1824</v>
      </c>
      <c r="P439" s="1577" t="s">
        <v>3295</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1674</v>
      </c>
      <c r="K440" s="635"/>
      <c r="L440" s="626"/>
      <c r="M440" s="627"/>
      <c r="N440" s="636" t="s">
        <v>652</v>
      </c>
      <c r="O440" s="636" t="s">
        <v>3397</v>
      </c>
      <c r="P440" s="627" t="s">
        <v>2675</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524</v>
      </c>
      <c r="K441" s="635"/>
      <c r="L441" s="626"/>
      <c r="M441" s="627"/>
      <c r="N441" s="636" t="s">
        <v>3247</v>
      </c>
      <c r="O441" s="636" t="s">
        <v>2088</v>
      </c>
      <c r="P441" s="627" t="s">
        <v>2676</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526</v>
      </c>
      <c r="K442" s="635"/>
      <c r="L442" s="626"/>
      <c r="M442" s="627"/>
      <c r="N442" s="636" t="s">
        <v>897</v>
      </c>
      <c r="O442" s="636" t="s">
        <v>3982</v>
      </c>
      <c r="P442" s="627" t="s">
        <v>2677</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527</v>
      </c>
      <c r="K443" s="635"/>
      <c r="L443" s="626"/>
      <c r="M443" s="627"/>
      <c r="N443" s="636" t="s">
        <v>3367</v>
      </c>
      <c r="O443" s="636" t="s">
        <v>2286</v>
      </c>
      <c r="P443" s="627" t="s">
        <v>2678</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3246</v>
      </c>
      <c r="K444" s="635"/>
      <c r="L444" s="626"/>
      <c r="M444" s="627"/>
      <c r="N444" s="636" t="s">
        <v>2609</v>
      </c>
      <c r="O444" s="636" t="s">
        <v>3046</v>
      </c>
      <c r="P444" s="627" t="s">
        <v>2679</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896</v>
      </c>
      <c r="K445" s="635"/>
      <c r="L445" s="626"/>
      <c r="M445" s="627"/>
      <c r="N445" s="636" t="s">
        <v>2611</v>
      </c>
      <c r="O445" s="636" t="s">
        <v>459</v>
      </c>
      <c r="P445" s="627" t="s">
        <v>2680</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3366</v>
      </c>
      <c r="K446" s="635"/>
      <c r="L446" s="626"/>
      <c r="M446" s="627"/>
      <c r="N446" s="636" t="s">
        <v>660</v>
      </c>
      <c r="O446" s="636" t="s">
        <v>259</v>
      </c>
      <c r="P446" s="627" t="s">
        <v>2681</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2608</v>
      </c>
      <c r="K447" s="635"/>
      <c r="L447" s="626"/>
      <c r="M447" s="627"/>
      <c r="N447" s="636" t="s">
        <v>537</v>
      </c>
      <c r="O447" s="636" t="s">
        <v>1896</v>
      </c>
      <c r="P447" s="627" t="s">
        <v>2682</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2610</v>
      </c>
      <c r="K448" s="635"/>
      <c r="L448" s="626"/>
      <c r="M448" s="627"/>
      <c r="N448" s="636" t="s">
        <v>1617</v>
      </c>
      <c r="O448" s="636" t="s">
        <v>3871</v>
      </c>
      <c r="P448" s="627" t="s">
        <v>2683</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659</v>
      </c>
      <c r="K449" s="635"/>
      <c r="L449" s="626"/>
      <c r="M449" s="627"/>
      <c r="N449" s="636" t="s">
        <v>3460</v>
      </c>
      <c r="O449" s="636" t="s">
        <v>354</v>
      </c>
      <c r="P449" s="627" t="s">
        <v>2684</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536</v>
      </c>
      <c r="K450" s="635"/>
      <c r="L450" s="626"/>
      <c r="M450" s="627"/>
      <c r="N450" s="636" t="s">
        <v>3543</v>
      </c>
      <c r="O450" s="636" t="s">
        <v>390</v>
      </c>
      <c r="P450" s="627" t="s">
        <v>2685</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1616</v>
      </c>
      <c r="K451" s="635"/>
      <c r="L451" s="626"/>
      <c r="M451" s="627"/>
      <c r="N451" s="636" t="s">
        <v>3619</v>
      </c>
      <c r="O451" s="636" t="s">
        <v>2283</v>
      </c>
      <c r="P451" s="627" t="s">
        <v>2686</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3458</v>
      </c>
      <c r="K452" s="635"/>
      <c r="L452" s="626"/>
      <c r="M452" s="627"/>
      <c r="N452" s="636" t="s">
        <v>823</v>
      </c>
      <c r="O452" s="636" t="s">
        <v>390</v>
      </c>
      <c r="P452" s="627" t="s">
        <v>2820</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3459</v>
      </c>
      <c r="K453" s="635"/>
      <c r="L453" s="626"/>
      <c r="M453" s="627"/>
      <c r="N453" s="507" t="s">
        <v>1695</v>
      </c>
      <c r="O453" s="507" t="s">
        <v>2414</v>
      </c>
      <c r="P453" s="1577" t="s">
        <v>3295</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3541</v>
      </c>
      <c r="K454" s="635"/>
      <c r="L454" s="626"/>
      <c r="M454" s="627"/>
      <c r="N454" s="636" t="s">
        <v>194</v>
      </c>
      <c r="O454" s="636" t="s">
        <v>3399</v>
      </c>
      <c r="P454" s="627" t="s">
        <v>194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3542</v>
      </c>
      <c r="K455" s="635"/>
      <c r="L455" s="626"/>
      <c r="M455" s="627"/>
      <c r="N455" s="507" t="s">
        <v>1696</v>
      </c>
      <c r="O455" s="507" t="s">
        <v>3870</v>
      </c>
      <c r="P455" s="1577" t="s">
        <v>3295</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3446</v>
      </c>
      <c r="K456" s="635"/>
      <c r="L456" s="626"/>
      <c r="M456" s="627"/>
      <c r="N456" s="636" t="s">
        <v>3100</v>
      </c>
      <c r="O456" s="636" t="s">
        <v>3752</v>
      </c>
      <c r="P456" s="627" t="s">
        <v>2821</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822</v>
      </c>
      <c r="K457" s="635"/>
      <c r="L457" s="626"/>
      <c r="M457" s="627"/>
      <c r="N457" s="507" t="s">
        <v>1697</v>
      </c>
      <c r="O457" s="507" t="s">
        <v>261</v>
      </c>
      <c r="P457" s="1577" t="s">
        <v>3295</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193</v>
      </c>
      <c r="K458" s="635"/>
      <c r="L458" s="626"/>
      <c r="M458" s="627"/>
      <c r="N458" s="636" t="s">
        <v>3102</v>
      </c>
      <c r="O458" s="636" t="s">
        <v>3752</v>
      </c>
      <c r="P458" s="627" t="s">
        <v>2822</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3315</v>
      </c>
      <c r="K459" s="635"/>
      <c r="L459" s="626"/>
      <c r="M459" s="627"/>
      <c r="N459" s="636" t="s">
        <v>354</v>
      </c>
      <c r="O459" s="636" t="s">
        <v>2187</v>
      </c>
      <c r="P459" s="627" t="s">
        <v>2823</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3101</v>
      </c>
      <c r="K460" s="635"/>
      <c r="L460" s="626"/>
      <c r="M460" s="627"/>
      <c r="N460" s="636" t="s">
        <v>1690</v>
      </c>
      <c r="O460" s="636" t="s">
        <v>1476</v>
      </c>
      <c r="P460" s="627" t="s">
        <v>2824</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2994</v>
      </c>
      <c r="K461" s="635"/>
      <c r="L461" s="626"/>
      <c r="M461" s="627"/>
      <c r="N461" s="636" t="s">
        <v>1753</v>
      </c>
      <c r="O461" s="636" t="s">
        <v>1479</v>
      </c>
      <c r="P461" s="627" t="s">
        <v>2825</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1689</v>
      </c>
      <c r="K462" s="635"/>
      <c r="L462" s="626"/>
      <c r="M462" s="627"/>
      <c r="N462" s="636" t="s">
        <v>356</v>
      </c>
      <c r="O462" s="636" t="s">
        <v>1821</v>
      </c>
      <c r="P462" s="627" t="s">
        <v>2826</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1803</v>
      </c>
      <c r="K463" s="635"/>
      <c r="L463" s="626"/>
      <c r="M463" s="627"/>
      <c r="N463" s="636" t="s">
        <v>437</v>
      </c>
      <c r="O463" s="636" t="s">
        <v>354</v>
      </c>
      <c r="P463" s="627" t="s">
        <v>2827</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1754</v>
      </c>
      <c r="K464" s="635"/>
      <c r="L464" s="626"/>
      <c r="M464" s="627"/>
      <c r="N464" s="636" t="s">
        <v>217</v>
      </c>
      <c r="O464" s="636" t="s">
        <v>3049</v>
      </c>
      <c r="P464" s="627" t="s">
        <v>2828</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1755</v>
      </c>
      <c r="K465" s="635"/>
      <c r="L465" s="626"/>
      <c r="M465" s="627"/>
      <c r="N465" s="636" t="s">
        <v>3647</v>
      </c>
      <c r="O465" s="636" t="s">
        <v>2187</v>
      </c>
      <c r="P465" s="627" t="s">
        <v>2829</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216</v>
      </c>
      <c r="K466" s="635"/>
      <c r="L466" s="626"/>
      <c r="M466" s="627"/>
      <c r="N466" s="636" t="s">
        <v>2920</v>
      </c>
      <c r="O466" s="636" t="s">
        <v>3135</v>
      </c>
      <c r="P466" s="627" t="s">
        <v>2830</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612</v>
      </c>
      <c r="K467" s="635"/>
      <c r="L467" s="626"/>
      <c r="M467" s="627"/>
      <c r="N467" s="636" t="s">
        <v>2788</v>
      </c>
      <c r="O467" s="636" t="s">
        <v>101</v>
      </c>
      <c r="P467" s="627" t="s">
        <v>2837</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3646</v>
      </c>
      <c r="K468" s="635"/>
      <c r="L468" s="626"/>
      <c r="M468" s="627"/>
      <c r="N468" s="641" t="s">
        <v>1059</v>
      </c>
      <c r="O468" s="636" t="s">
        <v>2127</v>
      </c>
      <c r="P468" s="627" t="s">
        <v>2838</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2735</v>
      </c>
      <c r="K469" s="635"/>
      <c r="L469" s="626"/>
      <c r="M469" s="627"/>
      <c r="N469" s="636" t="s">
        <v>3594</v>
      </c>
      <c r="O469" s="636" t="s">
        <v>3870</v>
      </c>
      <c r="P469" s="627" t="s">
        <v>2839</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2787</v>
      </c>
      <c r="K470" s="635"/>
      <c r="L470" s="626"/>
      <c r="M470" s="627"/>
      <c r="N470" s="636" t="s">
        <v>3771</v>
      </c>
      <c r="O470" s="636" t="s">
        <v>3165</v>
      </c>
      <c r="P470" s="627" t="s">
        <v>3771</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308</v>
      </c>
      <c r="K471" s="635"/>
      <c r="L471" s="626"/>
      <c r="M471" s="627"/>
      <c r="N471" s="636" t="s">
        <v>855</v>
      </c>
      <c r="O471" s="636" t="s">
        <v>3873</v>
      </c>
      <c r="P471" s="627" t="s">
        <v>2841</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3770</v>
      </c>
      <c r="K472" s="635"/>
      <c r="L472" s="626"/>
      <c r="M472" s="627"/>
      <c r="N472" s="636" t="s">
        <v>857</v>
      </c>
      <c r="O472" s="636" t="s">
        <v>2292</v>
      </c>
      <c r="P472" s="627" t="s">
        <v>2712</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853</v>
      </c>
      <c r="K473" s="635"/>
      <c r="L473" s="626"/>
      <c r="M473" s="627"/>
      <c r="N473" s="507" t="s">
        <v>1698</v>
      </c>
      <c r="O473" s="507" t="s">
        <v>2190</v>
      </c>
      <c r="P473" s="1577" t="s">
        <v>3295</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854</v>
      </c>
      <c r="K474" s="635"/>
      <c r="L474" s="626"/>
      <c r="M474" s="627"/>
      <c r="N474" s="636" t="s">
        <v>746</v>
      </c>
      <c r="O474" s="636" t="s">
        <v>2190</v>
      </c>
      <c r="P474" s="627" t="s">
        <v>2713</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856</v>
      </c>
      <c r="K475" s="635"/>
      <c r="L475" s="626"/>
      <c r="M475" s="627"/>
      <c r="N475" s="636" t="s">
        <v>2037</v>
      </c>
      <c r="O475" s="636" t="s">
        <v>2006</v>
      </c>
      <c r="P475" s="627" t="s">
        <v>2714</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745</v>
      </c>
      <c r="K476" s="635"/>
      <c r="L476" s="626"/>
      <c r="M476" s="627"/>
      <c r="N476" s="636" t="s">
        <v>2040</v>
      </c>
      <c r="O476" s="636" t="s">
        <v>361</v>
      </c>
      <c r="P476" s="627" t="s">
        <v>2715</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2174</v>
      </c>
      <c r="K477" s="635"/>
      <c r="L477" s="626"/>
      <c r="M477" s="627"/>
      <c r="N477" s="636" t="s">
        <v>3120</v>
      </c>
      <c r="O477" s="636" t="s">
        <v>3134</v>
      </c>
      <c r="P477" s="627" t="s">
        <v>2716</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2039</v>
      </c>
      <c r="K478" s="635"/>
      <c r="L478" s="626"/>
      <c r="M478" s="627"/>
      <c r="N478" s="636" t="s">
        <v>221</v>
      </c>
      <c r="O478" s="636" t="s">
        <v>3046</v>
      </c>
      <c r="P478" s="627" t="s">
        <v>2717</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3199</v>
      </c>
      <c r="K479" s="635"/>
      <c r="L479" s="626"/>
      <c r="M479" s="627"/>
      <c r="N479" s="636" t="s">
        <v>1262</v>
      </c>
      <c r="O479" s="636" t="s">
        <v>3870</v>
      </c>
      <c r="P479" s="627" t="s">
        <v>1262</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3119</v>
      </c>
      <c r="K480" s="635"/>
      <c r="L480" s="626"/>
      <c r="M480" s="627"/>
      <c r="N480" s="636" t="s">
        <v>223</v>
      </c>
      <c r="O480" s="636" t="s">
        <v>386</v>
      </c>
      <c r="P480" s="627" t="s">
        <v>2718</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220</v>
      </c>
      <c r="K481" s="635"/>
      <c r="L481" s="626"/>
      <c r="M481" s="627"/>
      <c r="N481" s="636" t="s">
        <v>3783</v>
      </c>
      <c r="O481" s="636" t="s">
        <v>2084</v>
      </c>
      <c r="P481" s="627" t="s">
        <v>2719</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222</v>
      </c>
      <c r="K482" s="635"/>
      <c r="L482" s="626"/>
      <c r="M482" s="627"/>
      <c r="N482" s="507" t="s">
        <v>1699</v>
      </c>
      <c r="O482" s="507" t="s">
        <v>2414</v>
      </c>
      <c r="P482" s="1577" t="s">
        <v>3295</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3782</v>
      </c>
      <c r="K483" s="635"/>
      <c r="L483" s="626"/>
      <c r="M483" s="627"/>
      <c r="N483" s="507" t="s">
        <v>1700</v>
      </c>
      <c r="O483" s="507" t="s">
        <v>1751</v>
      </c>
      <c r="P483" s="1577" t="s">
        <v>3295</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3408</v>
      </c>
      <c r="K484" s="635"/>
      <c r="L484" s="626"/>
      <c r="M484" s="627"/>
      <c r="N484" s="636" t="s">
        <v>1123</v>
      </c>
      <c r="O484" s="636" t="s">
        <v>1099</v>
      </c>
      <c r="P484" s="627" t="s">
        <v>2720</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3409</v>
      </c>
      <c r="K485" s="635"/>
      <c r="L485" s="626"/>
      <c r="M485" s="627"/>
      <c r="N485" s="636" t="s">
        <v>1916</v>
      </c>
      <c r="O485" s="636" t="s">
        <v>283</v>
      </c>
      <c r="P485" s="627" t="s">
        <v>2721</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1915</v>
      </c>
      <c r="K486" s="635"/>
      <c r="L486" s="626"/>
      <c r="M486" s="627"/>
      <c r="N486" s="636" t="s">
        <v>1717</v>
      </c>
      <c r="O486" s="636" t="s">
        <v>2188</v>
      </c>
      <c r="P486" s="627" t="s">
        <v>2722</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1917</v>
      </c>
      <c r="K487" s="635"/>
      <c r="L487" s="626"/>
      <c r="M487" s="627"/>
      <c r="N487" s="636" t="s">
        <v>2505</v>
      </c>
      <c r="O487" s="636" t="s">
        <v>2087</v>
      </c>
      <c r="P487" s="627" t="s">
        <v>2723</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2509</v>
      </c>
      <c r="K488" s="635"/>
      <c r="L488" s="626"/>
      <c r="M488" s="627"/>
      <c r="N488" s="636" t="s">
        <v>2507</v>
      </c>
      <c r="O488" s="636" t="s">
        <v>4023</v>
      </c>
      <c r="P488" s="627" t="s">
        <v>2724</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2512</v>
      </c>
      <c r="K489" s="635"/>
      <c r="L489" s="626"/>
      <c r="M489" s="627"/>
      <c r="N489" s="636" t="s">
        <v>2390</v>
      </c>
      <c r="O489" s="636" t="s">
        <v>3163</v>
      </c>
      <c r="P489" s="627" t="s">
        <v>2725</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2506</v>
      </c>
      <c r="K490" s="635"/>
      <c r="L490" s="626"/>
      <c r="M490" s="627"/>
      <c r="N490" s="636" t="s">
        <v>3578</v>
      </c>
      <c r="O490" s="636" t="s">
        <v>3981</v>
      </c>
      <c r="P490" s="627" t="s">
        <v>2726</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2634</v>
      </c>
      <c r="K491" s="635"/>
      <c r="L491" s="626"/>
      <c r="M491" s="627"/>
      <c r="N491" s="636" t="s">
        <v>3580</v>
      </c>
      <c r="O491" s="636" t="s">
        <v>283</v>
      </c>
      <c r="P491" s="627" t="s">
        <v>2727</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2391</v>
      </c>
      <c r="K492" s="635"/>
      <c r="L492" s="626"/>
      <c r="M492" s="627"/>
      <c r="N492" s="636" t="s">
        <v>2223</v>
      </c>
      <c r="O492" s="636" t="s">
        <v>1778</v>
      </c>
      <c r="P492" s="627" t="s">
        <v>2728</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3579</v>
      </c>
      <c r="K493" s="635"/>
      <c r="L493" s="626"/>
      <c r="M493" s="627"/>
      <c r="N493" s="507" t="s">
        <v>1701</v>
      </c>
      <c r="O493" s="507" t="s">
        <v>3014</v>
      </c>
      <c r="P493" s="1577" t="s">
        <v>3295</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3986</v>
      </c>
      <c r="K494" s="635"/>
      <c r="L494" s="626"/>
      <c r="M494" s="627"/>
      <c r="N494" s="636" t="s">
        <v>2225</v>
      </c>
      <c r="O494" s="636" t="s">
        <v>2089</v>
      </c>
      <c r="P494" s="627" t="s">
        <v>2729</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2224</v>
      </c>
      <c r="K495" s="635"/>
      <c r="L495" s="626"/>
      <c r="M495" s="627"/>
      <c r="N495" s="636" t="s">
        <v>1429</v>
      </c>
      <c r="O495" s="636" t="s">
        <v>3134</v>
      </c>
      <c r="P495" s="1576" t="s">
        <v>1426</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2199</v>
      </c>
      <c r="K496" s="635"/>
      <c r="L496" s="626"/>
      <c r="M496" s="627"/>
      <c r="N496" s="636" t="s">
        <v>1430</v>
      </c>
      <c r="O496" s="636" t="s">
        <v>1478</v>
      </c>
      <c r="P496" s="1576" t="s">
        <v>1426</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1395</v>
      </c>
      <c r="K497" s="635"/>
      <c r="L497" s="626"/>
      <c r="M497" s="627"/>
      <c r="N497" s="636" t="s">
        <v>1397</v>
      </c>
      <c r="O497" s="636" t="s">
        <v>1258</v>
      </c>
      <c r="P497" s="627" t="s">
        <v>2730</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1396</v>
      </c>
      <c r="K498" s="635"/>
      <c r="L498" s="626"/>
      <c r="M498" s="627"/>
      <c r="N498" s="636" t="s">
        <v>1642</v>
      </c>
      <c r="O498" s="636" t="s">
        <v>350</v>
      </c>
      <c r="P498" s="627" t="s">
        <v>2731</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1511</v>
      </c>
      <c r="K499" s="635"/>
      <c r="L499" s="626"/>
      <c r="M499" s="627"/>
      <c r="N499" s="636" t="s">
        <v>282</v>
      </c>
      <c r="O499" s="636" t="s">
        <v>3135</v>
      </c>
      <c r="P499" s="627" t="s">
        <v>2593</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1641</v>
      </c>
      <c r="K500" s="635"/>
      <c r="L500" s="626"/>
      <c r="M500" s="627"/>
      <c r="N500" s="636" t="s">
        <v>363</v>
      </c>
      <c r="O500" s="636" t="s">
        <v>2877</v>
      </c>
      <c r="P500" s="627" t="s">
        <v>2594</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281</v>
      </c>
      <c r="K501" s="635"/>
      <c r="L501" s="626"/>
      <c r="M501" s="627"/>
      <c r="N501" s="636" t="s">
        <v>2313</v>
      </c>
      <c r="O501" s="636" t="s">
        <v>3134</v>
      </c>
      <c r="P501" s="627" t="s">
        <v>2456</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246</v>
      </c>
      <c r="K502" s="635"/>
      <c r="L502" s="626"/>
      <c r="M502" s="627"/>
      <c r="N502" s="636" t="s">
        <v>2200</v>
      </c>
      <c r="O502" s="636" t="s">
        <v>437</v>
      </c>
      <c r="P502" s="627" t="s">
        <v>2457</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2312</v>
      </c>
      <c r="K503" s="635"/>
      <c r="L503" s="626"/>
      <c r="M503" s="627"/>
      <c r="N503" s="636" t="s">
        <v>2324</v>
      </c>
      <c r="O503" s="636" t="s">
        <v>3870</v>
      </c>
      <c r="P503" s="627" t="s">
        <v>2355</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346</v>
      </c>
      <c r="K504" s="635"/>
      <c r="L504" s="626"/>
      <c r="M504" s="627"/>
      <c r="N504" s="636" t="s">
        <v>620</v>
      </c>
      <c r="O504" s="636" t="s">
        <v>2091</v>
      </c>
      <c r="P504" s="627" t="s">
        <v>2360</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2323</v>
      </c>
      <c r="K505" s="635"/>
      <c r="L505" s="626"/>
      <c r="M505" s="627"/>
      <c r="N505" s="636" t="s">
        <v>2229</v>
      </c>
      <c r="O505" s="636" t="s">
        <v>539</v>
      </c>
      <c r="P505" s="627" t="s">
        <v>2458</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2325</v>
      </c>
      <c r="K506" s="635"/>
      <c r="L506" s="626"/>
      <c r="M506" s="627"/>
      <c r="N506" s="636" t="s">
        <v>2231</v>
      </c>
      <c r="O506" s="636" t="s">
        <v>1476</v>
      </c>
      <c r="P506" s="627" t="s">
        <v>2231</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2228</v>
      </c>
      <c r="K507" s="635"/>
      <c r="L507" s="626"/>
      <c r="M507" s="627"/>
      <c r="N507" s="636" t="s">
        <v>387</v>
      </c>
      <c r="O507" s="636" t="s">
        <v>3161</v>
      </c>
      <c r="P507" s="627" t="s">
        <v>2459</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2230</v>
      </c>
      <c r="K508" s="635"/>
      <c r="L508" s="626"/>
      <c r="M508" s="627"/>
      <c r="N508" s="636" t="s">
        <v>2234</v>
      </c>
      <c r="O508" s="636" t="s">
        <v>2877</v>
      </c>
      <c r="P508" s="627" t="s">
        <v>2460</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2232</v>
      </c>
      <c r="K509" s="635"/>
      <c r="L509" s="626"/>
      <c r="M509" s="627"/>
      <c r="N509" s="636" t="s">
        <v>2139</v>
      </c>
      <c r="O509" s="636" t="s">
        <v>264</v>
      </c>
      <c r="P509" s="627" t="s">
        <v>2461</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2233</v>
      </c>
      <c r="K510" s="635"/>
      <c r="L510" s="626"/>
      <c r="M510" s="627"/>
      <c r="N510" s="636" t="s">
        <v>3952</v>
      </c>
      <c r="O510" s="636" t="s">
        <v>3041</v>
      </c>
      <c r="P510" s="627" t="s">
        <v>2462</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2138</v>
      </c>
      <c r="K511" s="635"/>
      <c r="L511" s="626"/>
      <c r="M511" s="627"/>
      <c r="N511" s="507" t="s">
        <v>1897</v>
      </c>
      <c r="O511" s="507" t="s">
        <v>3873</v>
      </c>
      <c r="P511" s="1577" t="s">
        <v>3295</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2140</v>
      </c>
      <c r="K512" s="635"/>
      <c r="L512" s="626"/>
      <c r="M512" s="627"/>
      <c r="N512" s="636" t="s">
        <v>2283</v>
      </c>
      <c r="O512" s="636" t="s">
        <v>2282</v>
      </c>
      <c r="P512" s="627" t="s">
        <v>2463</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2371</v>
      </c>
      <c r="K513" s="635"/>
      <c r="L513" s="626"/>
      <c r="M513" s="627"/>
      <c r="N513" s="636" t="s">
        <v>390</v>
      </c>
      <c r="O513" s="636" t="s">
        <v>3900</v>
      </c>
      <c r="P513" s="627" t="s">
        <v>2464</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2372</v>
      </c>
      <c r="K514" s="635"/>
      <c r="L514" s="626"/>
      <c r="M514" s="627"/>
      <c r="N514" s="636" t="s">
        <v>2482</v>
      </c>
      <c r="O514" s="636" t="s">
        <v>3169</v>
      </c>
      <c r="P514" s="627" t="s">
        <v>2632</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2480</v>
      </c>
      <c r="K515" s="635"/>
      <c r="L515" s="626"/>
      <c r="M515" s="627"/>
      <c r="N515" s="636" t="s">
        <v>2484</v>
      </c>
      <c r="O515" s="636" t="s">
        <v>2877</v>
      </c>
      <c r="P515" s="627" t="s">
        <v>2633</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2481</v>
      </c>
      <c r="K516" s="635"/>
      <c r="L516" s="626"/>
      <c r="M516" s="627"/>
      <c r="N516" s="636" t="s">
        <v>2380</v>
      </c>
      <c r="O516" s="636" t="s">
        <v>3979</v>
      </c>
      <c r="P516" s="627" t="s">
        <v>2635</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2483</v>
      </c>
      <c r="K517" s="635"/>
      <c r="L517" s="626"/>
      <c r="M517" s="627"/>
      <c r="N517" s="636" t="s">
        <v>619</v>
      </c>
      <c r="O517" s="636" t="s">
        <v>3873</v>
      </c>
      <c r="P517" s="627" t="s">
        <v>2636</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2485</v>
      </c>
      <c r="K518" s="635"/>
      <c r="L518" s="626"/>
      <c r="M518" s="627"/>
      <c r="N518" s="636" t="s">
        <v>490</v>
      </c>
      <c r="O518" s="636" t="s">
        <v>2283</v>
      </c>
      <c r="P518" s="627" t="s">
        <v>1246</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2379</v>
      </c>
      <c r="K519" s="635"/>
      <c r="L519" s="626"/>
      <c r="M519" s="627"/>
      <c r="N519" s="636" t="s">
        <v>359</v>
      </c>
      <c r="O519" s="636" t="s">
        <v>3384</v>
      </c>
      <c r="P519" s="627" t="s">
        <v>1247</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2381</v>
      </c>
      <c r="K520" s="635"/>
      <c r="L520" s="626"/>
      <c r="M520" s="627"/>
      <c r="N520" s="507" t="s">
        <v>2314</v>
      </c>
      <c r="O520" s="507" t="s">
        <v>4022</v>
      </c>
      <c r="P520" s="1577" t="s">
        <v>3295</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489</v>
      </c>
      <c r="K521" s="635"/>
      <c r="L521" s="626"/>
      <c r="M521" s="627"/>
      <c r="N521" s="636" t="s">
        <v>1734</v>
      </c>
      <c r="O521" s="636" t="s">
        <v>3981</v>
      </c>
      <c r="P521" s="627" t="s">
        <v>1248</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358</v>
      </c>
      <c r="K522" s="635"/>
      <c r="L522" s="626"/>
      <c r="M522" s="627"/>
      <c r="N522" s="636" t="s">
        <v>1736</v>
      </c>
      <c r="O522" s="636" t="s">
        <v>1896</v>
      </c>
      <c r="P522" s="627" t="s">
        <v>1249</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360</v>
      </c>
      <c r="K523" s="635"/>
      <c r="L523" s="626"/>
      <c r="M523" s="627"/>
      <c r="N523" s="636" t="s">
        <v>1818</v>
      </c>
      <c r="O523" s="636" t="s">
        <v>1219</v>
      </c>
      <c r="P523" s="627" t="s">
        <v>1250</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111</v>
      </c>
      <c r="K524" s="635"/>
      <c r="L524" s="626"/>
      <c r="M524" s="627"/>
      <c r="N524" s="636" t="s">
        <v>585</v>
      </c>
      <c r="O524" s="636" t="s">
        <v>350</v>
      </c>
      <c r="P524" s="627" t="s">
        <v>1251</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1733</v>
      </c>
      <c r="K525" s="635"/>
      <c r="L525" s="626"/>
      <c r="M525" s="627"/>
      <c r="N525" s="636" t="s">
        <v>587</v>
      </c>
      <c r="O525" s="636" t="s">
        <v>3752</v>
      </c>
      <c r="P525" s="627" t="s">
        <v>1252</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1735</v>
      </c>
      <c r="K526" s="635"/>
      <c r="L526" s="626"/>
      <c r="M526" s="627"/>
      <c r="N526" s="636" t="s">
        <v>2647</v>
      </c>
      <c r="O526" s="636" t="s">
        <v>1476</v>
      </c>
      <c r="P526" s="627" t="s">
        <v>1253</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1817</v>
      </c>
      <c r="K527" s="635"/>
      <c r="L527" s="626"/>
      <c r="M527" s="627"/>
      <c r="N527" s="636" t="s">
        <v>3462</v>
      </c>
      <c r="O527" s="636" t="s">
        <v>1824</v>
      </c>
      <c r="P527" s="627" t="s">
        <v>1254</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584</v>
      </c>
      <c r="K528" s="635"/>
      <c r="L528" s="626"/>
      <c r="M528" s="627"/>
      <c r="N528" s="636" t="s">
        <v>755</v>
      </c>
      <c r="O528" s="636" t="s">
        <v>2791</v>
      </c>
      <c r="P528" s="627" t="s">
        <v>1255</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586</v>
      </c>
      <c r="K529" s="635"/>
      <c r="L529" s="626"/>
      <c r="M529" s="627"/>
      <c r="N529" s="636" t="s">
        <v>1053</v>
      </c>
      <c r="O529" s="636" t="s">
        <v>264</v>
      </c>
      <c r="P529" s="627" t="s">
        <v>1398</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2646</v>
      </c>
      <c r="K530" s="635"/>
      <c r="L530" s="626"/>
      <c r="M530" s="627"/>
      <c r="N530" s="636" t="s">
        <v>860</v>
      </c>
      <c r="O530" s="636" t="s">
        <v>1233</v>
      </c>
      <c r="P530" s="627" t="s">
        <v>1399</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3461</v>
      </c>
      <c r="K531" s="635"/>
      <c r="L531" s="626"/>
      <c r="M531" s="627"/>
      <c r="N531" s="636" t="s">
        <v>750</v>
      </c>
      <c r="O531" s="636" t="s">
        <v>2292</v>
      </c>
      <c r="P531" s="627" t="s">
        <v>1400</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754</v>
      </c>
      <c r="K532" s="635"/>
      <c r="L532" s="626"/>
      <c r="M532" s="627"/>
      <c r="N532" s="636" t="s">
        <v>752</v>
      </c>
      <c r="O532" s="636" t="s">
        <v>2088</v>
      </c>
      <c r="P532" s="627" t="s">
        <v>1401</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2300</v>
      </c>
      <c r="K533" s="635"/>
      <c r="L533" s="626"/>
      <c r="M533" s="627"/>
      <c r="N533" s="636" t="s">
        <v>970</v>
      </c>
      <c r="O533" s="636" t="s">
        <v>1476</v>
      </c>
      <c r="P533" s="627" t="s">
        <v>1402</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1206</v>
      </c>
      <c r="K534" s="635"/>
      <c r="L534" s="626"/>
      <c r="M534" s="627"/>
      <c r="N534" s="636" t="s">
        <v>972</v>
      </c>
      <c r="O534" s="636" t="s">
        <v>2662</v>
      </c>
      <c r="P534" s="627" t="s">
        <v>1403</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1054</v>
      </c>
      <c r="K535" s="635"/>
      <c r="L535" s="626"/>
      <c r="M535" s="627"/>
      <c r="N535" s="636" t="s">
        <v>978</v>
      </c>
      <c r="O535" s="636" t="s">
        <v>439</v>
      </c>
      <c r="P535" s="627" t="s">
        <v>1404</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1055</v>
      </c>
      <c r="K536" s="635"/>
      <c r="L536" s="626"/>
      <c r="M536" s="627"/>
      <c r="N536" s="636" t="s">
        <v>983</v>
      </c>
      <c r="O536" s="636" t="s">
        <v>758</v>
      </c>
      <c r="P536" s="627" t="s">
        <v>1405</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749</v>
      </c>
      <c r="K537" s="635"/>
      <c r="L537" s="626"/>
      <c r="M537" s="627"/>
      <c r="N537" s="641" t="s">
        <v>1060</v>
      </c>
      <c r="O537" s="636" t="s">
        <v>2127</v>
      </c>
      <c r="P537" s="627" t="s">
        <v>1406</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751</v>
      </c>
      <c r="K538" s="635"/>
      <c r="L538" s="626"/>
      <c r="M538" s="627"/>
      <c r="N538" s="642" t="s">
        <v>1431</v>
      </c>
      <c r="O538" s="636" t="s">
        <v>1219</v>
      </c>
      <c r="P538" s="1576" t="s">
        <v>1426</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969</v>
      </c>
      <c r="K539" s="635"/>
      <c r="L539" s="626"/>
      <c r="M539" s="627"/>
      <c r="N539" s="636" t="s">
        <v>2405</v>
      </c>
      <c r="O539" s="636" t="s">
        <v>1103</v>
      </c>
      <c r="P539" s="627" t="s">
        <v>1407</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971</v>
      </c>
      <c r="K540" s="635"/>
      <c r="L540" s="626"/>
      <c r="M540" s="627"/>
      <c r="N540" s="636" t="s">
        <v>3306</v>
      </c>
      <c r="O540" s="636" t="s">
        <v>1824</v>
      </c>
      <c r="P540" s="627" t="s">
        <v>1408</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876</v>
      </c>
      <c r="K541" s="635"/>
      <c r="L541" s="626"/>
      <c r="M541" s="627"/>
      <c r="N541" s="636" t="s">
        <v>2407</v>
      </c>
      <c r="O541" s="636" t="s">
        <v>3135</v>
      </c>
      <c r="P541" s="627" t="s">
        <v>1409</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982</v>
      </c>
      <c r="K542" s="635"/>
      <c r="L542" s="626"/>
      <c r="M542" s="627"/>
      <c r="N542" s="636" t="s">
        <v>943</v>
      </c>
      <c r="O542" s="636" t="s">
        <v>2283</v>
      </c>
      <c r="P542" s="627" t="s">
        <v>1410</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1341</v>
      </c>
      <c r="K543" s="635"/>
      <c r="L543" s="626"/>
      <c r="M543" s="627"/>
      <c r="N543" s="507" t="s">
        <v>191</v>
      </c>
      <c r="O543" s="507" t="s">
        <v>261</v>
      </c>
      <c r="P543" s="1577" t="s">
        <v>3295</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966</v>
      </c>
      <c r="K544" s="635"/>
      <c r="L544" s="626"/>
      <c r="M544" s="627"/>
      <c r="N544" s="636" t="s">
        <v>1954</v>
      </c>
      <c r="O544" s="636" t="s">
        <v>356</v>
      </c>
      <c r="P544" s="627" t="s">
        <v>1411</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967</v>
      </c>
      <c r="K545" s="635"/>
      <c r="L545" s="626"/>
      <c r="M545" s="627"/>
      <c r="N545" s="636" t="s">
        <v>1622</v>
      </c>
      <c r="O545" s="636" t="s">
        <v>2085</v>
      </c>
      <c r="P545" s="627" t="s">
        <v>1412</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3305</v>
      </c>
      <c r="K546" s="635"/>
      <c r="L546" s="626"/>
      <c r="M546" s="627"/>
      <c r="N546" s="507" t="s">
        <v>1899</v>
      </c>
      <c r="O546" s="507" t="s">
        <v>386</v>
      </c>
      <c r="P546" s="1577" t="s">
        <v>3295</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941</v>
      </c>
      <c r="K547" s="635"/>
      <c r="L547" s="626"/>
      <c r="M547" s="627"/>
      <c r="N547" s="636" t="s">
        <v>118</v>
      </c>
      <c r="O547" s="636" t="s">
        <v>4025</v>
      </c>
      <c r="P547" s="627" t="s">
        <v>1413</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942</v>
      </c>
      <c r="K548" s="635"/>
      <c r="L548" s="626"/>
      <c r="M548" s="627"/>
      <c r="N548" s="636" t="s">
        <v>3900</v>
      </c>
      <c r="O548" s="636" t="s">
        <v>2188</v>
      </c>
      <c r="P548" s="627" t="s">
        <v>1414</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1953</v>
      </c>
      <c r="K549" s="635"/>
      <c r="L549" s="626"/>
      <c r="M549" s="627"/>
      <c r="N549" s="636" t="s">
        <v>121</v>
      </c>
      <c r="O549" s="636" t="s">
        <v>1219</v>
      </c>
      <c r="P549" s="627" t="s">
        <v>1529</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1621</v>
      </c>
      <c r="K550" s="635"/>
      <c r="L550" s="626"/>
      <c r="M550" s="627"/>
      <c r="N550" s="636" t="s">
        <v>123</v>
      </c>
      <c r="O550" s="636" t="s">
        <v>3870</v>
      </c>
      <c r="P550" s="627" t="s">
        <v>1530</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1623</v>
      </c>
      <c r="K551" s="635"/>
      <c r="L551" s="626"/>
      <c r="M551" s="627"/>
      <c r="N551" s="636" t="s">
        <v>3985</v>
      </c>
      <c r="O551" s="636" t="s">
        <v>2287</v>
      </c>
      <c r="P551" s="627" t="s">
        <v>1531</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1624</v>
      </c>
      <c r="K552" s="635"/>
      <c r="L552" s="626"/>
      <c r="M552" s="627"/>
      <c r="N552" s="636" t="s">
        <v>3441</v>
      </c>
      <c r="O552" s="636" t="s">
        <v>3876</v>
      </c>
      <c r="P552" s="627" t="s">
        <v>1532</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119</v>
      </c>
      <c r="K553" s="635"/>
      <c r="L553" s="626"/>
      <c r="M553" s="627"/>
      <c r="N553" s="636" t="s">
        <v>1524</v>
      </c>
      <c r="O553" s="636" t="s">
        <v>284</v>
      </c>
      <c r="P553" s="627" t="s">
        <v>1533</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120</v>
      </c>
      <c r="K554" s="635"/>
      <c r="L554" s="626"/>
      <c r="M554" s="627"/>
      <c r="N554" s="636" t="s">
        <v>1525</v>
      </c>
      <c r="O554" s="636" t="s">
        <v>191</v>
      </c>
      <c r="P554" s="627" t="s">
        <v>1534</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122</v>
      </c>
      <c r="K555" s="635"/>
      <c r="L555" s="626"/>
      <c r="M555" s="627"/>
      <c r="N555" s="636" t="s">
        <v>1074</v>
      </c>
      <c r="O555" s="636" t="s">
        <v>1235</v>
      </c>
      <c r="P555" s="627" t="s">
        <v>1535</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3984</v>
      </c>
      <c r="K556" s="635"/>
      <c r="L556" s="626"/>
      <c r="M556" s="627"/>
      <c r="N556" s="636" t="s">
        <v>1076</v>
      </c>
      <c r="O556" s="636" t="s">
        <v>1833</v>
      </c>
      <c r="P556" s="627" t="s">
        <v>1076</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3358</v>
      </c>
      <c r="K557" s="635"/>
      <c r="L557" s="626"/>
      <c r="M557" s="627"/>
      <c r="N557" s="636" t="s">
        <v>3521</v>
      </c>
      <c r="O557" s="636" t="s">
        <v>2127</v>
      </c>
      <c r="P557" s="627" t="s">
        <v>1422</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3270</v>
      </c>
      <c r="K558" s="635"/>
      <c r="L558" s="626"/>
      <c r="M558" s="627"/>
      <c r="N558" s="507" t="s">
        <v>3521</v>
      </c>
      <c r="O558" s="507" t="s">
        <v>2127</v>
      </c>
      <c r="P558" s="1577" t="s">
        <v>3295</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968</v>
      </c>
      <c r="K559" s="635"/>
      <c r="L559" s="626"/>
      <c r="M559" s="627"/>
      <c r="N559" s="636" t="s">
        <v>138</v>
      </c>
      <c r="O559" s="636" t="s">
        <v>2286</v>
      </c>
      <c r="P559" s="627" t="s">
        <v>1270</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3642</v>
      </c>
      <c r="K560" s="635"/>
      <c r="L560" s="626"/>
      <c r="M560" s="627"/>
      <c r="N560" s="636" t="s">
        <v>3645</v>
      </c>
      <c r="O560" s="636" t="s">
        <v>2280</v>
      </c>
      <c r="P560" s="627" t="s">
        <v>1271</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1073</v>
      </c>
      <c r="K561" s="635"/>
      <c r="L561" s="626"/>
      <c r="M561" s="627"/>
      <c r="N561" s="636" t="s">
        <v>1432</v>
      </c>
      <c r="O561" s="636" t="s">
        <v>386</v>
      </c>
      <c r="P561" s="1576" t="s">
        <v>1426</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1075</v>
      </c>
      <c r="K562" s="635"/>
      <c r="L562" s="626"/>
      <c r="M562" s="627"/>
      <c r="N562" s="636" t="s">
        <v>1795</v>
      </c>
      <c r="O562" s="636" t="s">
        <v>1821</v>
      </c>
      <c r="P562" s="627" t="s">
        <v>1272</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3520</v>
      </c>
      <c r="K563" s="635"/>
      <c r="L563" s="626"/>
      <c r="M563" s="627"/>
      <c r="N563" s="636" t="s">
        <v>502</v>
      </c>
      <c r="O563" s="636" t="s">
        <v>3979</v>
      </c>
      <c r="P563" s="627" t="s">
        <v>1415</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136</v>
      </c>
      <c r="K564" s="635"/>
      <c r="L564" s="626"/>
      <c r="M564" s="627"/>
      <c r="N564" s="636" t="s">
        <v>628</v>
      </c>
      <c r="O564" s="636" t="s">
        <v>3397</v>
      </c>
      <c r="P564" s="627" t="s">
        <v>1416</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137</v>
      </c>
      <c r="K565" s="635"/>
      <c r="L565" s="626"/>
      <c r="M565" s="627"/>
      <c r="N565" s="636" t="s">
        <v>510</v>
      </c>
      <c r="O565" s="636" t="s">
        <v>4025</v>
      </c>
      <c r="P565" s="627" t="s">
        <v>1417</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3644</v>
      </c>
      <c r="K566" s="635"/>
      <c r="L566" s="626"/>
      <c r="M566" s="627"/>
      <c r="N566" s="636" t="s">
        <v>3979</v>
      </c>
      <c r="O566" s="636" t="s">
        <v>2660</v>
      </c>
      <c r="P566" s="627" t="s">
        <v>1418</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3402</v>
      </c>
      <c r="K567" s="635"/>
      <c r="L567" s="626"/>
      <c r="M567" s="627"/>
      <c r="N567" s="636" t="s">
        <v>2622</v>
      </c>
      <c r="O567" s="636" t="s">
        <v>3874</v>
      </c>
      <c r="P567" s="627" t="s">
        <v>1419</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501</v>
      </c>
      <c r="K568" s="635"/>
      <c r="L568" s="626"/>
      <c r="M568" s="627"/>
      <c r="N568" s="636" t="s">
        <v>2624</v>
      </c>
      <c r="O568" s="636" t="s">
        <v>354</v>
      </c>
      <c r="P568" s="627" t="s">
        <v>1420</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627</v>
      </c>
      <c r="K569" s="635"/>
      <c r="L569" s="626"/>
      <c r="M569" s="627"/>
      <c r="N569" s="636" t="s">
        <v>2186</v>
      </c>
      <c r="O569" s="636" t="s">
        <v>283</v>
      </c>
      <c r="P569" s="627" t="s">
        <v>1421</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509</v>
      </c>
      <c r="K570" s="635"/>
      <c r="L570" s="626"/>
      <c r="M570" s="627"/>
      <c r="N570" s="636" t="s">
        <v>3723</v>
      </c>
      <c r="O570" s="636" t="s">
        <v>3876</v>
      </c>
      <c r="P570" s="627" t="s">
        <v>1268</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511</v>
      </c>
      <c r="K571" s="635"/>
      <c r="L571" s="626"/>
      <c r="M571" s="627"/>
      <c r="N571" s="507" t="s">
        <v>1900</v>
      </c>
      <c r="O571" s="507" t="s">
        <v>1258</v>
      </c>
      <c r="P571" s="1577" t="s">
        <v>3295</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2385</v>
      </c>
      <c r="K572" s="635"/>
      <c r="L572" s="626"/>
      <c r="M572" s="627"/>
      <c r="N572" s="507" t="s">
        <v>1901</v>
      </c>
      <c r="O572" s="507" t="s">
        <v>1258</v>
      </c>
      <c r="P572" s="1577" t="s">
        <v>3295</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2623</v>
      </c>
      <c r="K573" s="635"/>
      <c r="L573" s="626"/>
      <c r="M573" s="627"/>
      <c r="N573" s="507" t="s">
        <v>1902</v>
      </c>
      <c r="O573" s="507" t="s">
        <v>1258</v>
      </c>
      <c r="P573" s="1577" t="s">
        <v>3295</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2625</v>
      </c>
      <c r="K574" s="635"/>
      <c r="L574" s="626"/>
      <c r="M574" s="627"/>
      <c r="N574" s="636" t="s">
        <v>2736</v>
      </c>
      <c r="O574" s="636" t="s">
        <v>3980</v>
      </c>
      <c r="P574" s="627" t="s">
        <v>1269</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3983</v>
      </c>
      <c r="K575" s="635"/>
      <c r="L575" s="626"/>
      <c r="M575" s="627"/>
      <c r="N575" s="636" t="s">
        <v>3006</v>
      </c>
      <c r="O575" s="636" t="s">
        <v>97</v>
      </c>
      <c r="P575" s="627" t="s">
        <v>1263</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3724</v>
      </c>
      <c r="K576" s="635"/>
      <c r="L576" s="626"/>
      <c r="M576" s="627"/>
      <c r="N576" s="636" t="s">
        <v>3008</v>
      </c>
      <c r="O576" s="636" t="s">
        <v>3585</v>
      </c>
      <c r="P576" s="627" t="s">
        <v>1264</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3005</v>
      </c>
      <c r="K577" s="635"/>
      <c r="L577" s="626"/>
      <c r="M577" s="627"/>
      <c r="N577" s="636" t="s">
        <v>3011</v>
      </c>
      <c r="O577" s="636" t="s">
        <v>3585</v>
      </c>
      <c r="P577" s="627" t="s">
        <v>1265</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3007</v>
      </c>
      <c r="K578" s="635"/>
      <c r="L578" s="626"/>
      <c r="M578" s="627"/>
      <c r="N578" s="636" t="s">
        <v>3017</v>
      </c>
      <c r="O578" s="636" t="s">
        <v>539</v>
      </c>
      <c r="P578" s="627" t="s">
        <v>1266</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3009</v>
      </c>
      <c r="K579" s="635"/>
      <c r="L579" s="626"/>
      <c r="M579" s="627"/>
      <c r="N579" s="636" t="s">
        <v>3020</v>
      </c>
      <c r="O579" s="636" t="s">
        <v>2791</v>
      </c>
      <c r="P579" s="627" t="s">
        <v>1267</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3010</v>
      </c>
      <c r="K580" s="635"/>
      <c r="L580" s="626"/>
      <c r="M580" s="627"/>
      <c r="N580" s="636" t="s">
        <v>3022</v>
      </c>
      <c r="O580" s="636" t="s">
        <v>352</v>
      </c>
      <c r="P580" s="627" t="s">
        <v>1142</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3016</v>
      </c>
      <c r="K581" s="635"/>
      <c r="L581" s="626"/>
      <c r="M581" s="627"/>
      <c r="N581" s="636" t="s">
        <v>3980</v>
      </c>
      <c r="O581" s="636" t="s">
        <v>99</v>
      </c>
      <c r="P581" s="627" t="s">
        <v>1143</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3131</v>
      </c>
      <c r="K582" s="635"/>
      <c r="L582" s="626"/>
      <c r="M582" s="627"/>
      <c r="N582" s="636" t="s">
        <v>3250</v>
      </c>
      <c r="O582" s="636" t="s">
        <v>101</v>
      </c>
      <c r="P582" s="627" t="s">
        <v>1144</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3021</v>
      </c>
      <c r="K583" s="635"/>
      <c r="L583" s="626"/>
      <c r="M583" s="627"/>
      <c r="N583" s="636" t="s">
        <v>2972</v>
      </c>
      <c r="O583" s="636" t="s">
        <v>1822</v>
      </c>
      <c r="P583" s="627" t="s">
        <v>1145</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3023</v>
      </c>
      <c r="K584" s="635"/>
      <c r="L584" s="626"/>
      <c r="M584" s="627"/>
      <c r="N584" s="636" t="s">
        <v>3981</v>
      </c>
      <c r="O584" s="636" t="s">
        <v>2283</v>
      </c>
      <c r="P584" s="627" t="s">
        <v>1146</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3024</v>
      </c>
      <c r="K585" s="635"/>
      <c r="L585" s="626"/>
      <c r="M585" s="627"/>
      <c r="N585" s="636" t="s">
        <v>2598</v>
      </c>
      <c r="O585" s="636" t="s">
        <v>3397</v>
      </c>
      <c r="P585" s="627" t="s">
        <v>1147</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2971</v>
      </c>
      <c r="K586" s="635"/>
      <c r="L586" s="626"/>
      <c r="M586" s="627"/>
      <c r="N586" s="636" t="s">
        <v>1433</v>
      </c>
      <c r="O586" s="636" t="s">
        <v>3161</v>
      </c>
      <c r="P586" s="1576" t="s">
        <v>1426</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2596</v>
      </c>
      <c r="K587" s="635"/>
      <c r="L587" s="626"/>
      <c r="M587" s="627"/>
      <c r="N587" s="636" t="s">
        <v>3510</v>
      </c>
      <c r="O587" s="636" t="s">
        <v>2793</v>
      </c>
      <c r="P587" s="627" t="s">
        <v>1148</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2597</v>
      </c>
      <c r="K588" s="635"/>
      <c r="L588" s="626"/>
      <c r="M588" s="627"/>
      <c r="N588" s="636" t="s">
        <v>3512</v>
      </c>
      <c r="O588" s="636" t="s">
        <v>3401</v>
      </c>
      <c r="P588" s="627" t="s">
        <v>1149</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2599</v>
      </c>
      <c r="K589" s="635"/>
      <c r="L589" s="626"/>
      <c r="M589" s="627"/>
      <c r="N589" s="636" t="s">
        <v>993</v>
      </c>
      <c r="O589" s="636" t="s">
        <v>3979</v>
      </c>
      <c r="P589" s="627" t="s">
        <v>1151</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3511</v>
      </c>
      <c r="K590" s="635"/>
      <c r="L590" s="626"/>
      <c r="M590" s="627"/>
      <c r="N590" s="636" t="s">
        <v>995</v>
      </c>
      <c r="O590" s="636" t="s">
        <v>2127</v>
      </c>
      <c r="P590" s="627" t="s">
        <v>1152</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992</v>
      </c>
      <c r="K591" s="635"/>
      <c r="L591" s="626"/>
      <c r="M591" s="627"/>
      <c r="N591" s="507" t="s">
        <v>1903</v>
      </c>
      <c r="O591" s="507" t="s">
        <v>1258</v>
      </c>
      <c r="P591" s="1577" t="s">
        <v>3295</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994</v>
      </c>
      <c r="K592" s="635"/>
      <c r="L592" s="626"/>
      <c r="M592" s="627"/>
      <c r="N592" s="636" t="s">
        <v>997</v>
      </c>
      <c r="O592" s="636" t="s">
        <v>2790</v>
      </c>
      <c r="P592" s="627" t="s">
        <v>1153</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996</v>
      </c>
      <c r="K593" s="635"/>
      <c r="L593" s="626"/>
      <c r="M593" s="627"/>
      <c r="N593" s="636" t="s">
        <v>1811</v>
      </c>
      <c r="O593" s="636" t="s">
        <v>1822</v>
      </c>
      <c r="P593" s="627" t="s">
        <v>1154</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3374</v>
      </c>
      <c r="K594" s="635"/>
      <c r="L594" s="626"/>
      <c r="M594" s="627"/>
      <c r="N594" s="636" t="s">
        <v>2211</v>
      </c>
      <c r="O594" s="636" t="s">
        <v>2791</v>
      </c>
      <c r="P594" s="627" t="s">
        <v>1155</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2210</v>
      </c>
      <c r="K595" s="635"/>
      <c r="L595" s="626"/>
      <c r="M595" s="627"/>
      <c r="N595" s="636" t="s">
        <v>2213</v>
      </c>
      <c r="O595" s="636" t="s">
        <v>2282</v>
      </c>
      <c r="P595" s="627" t="s">
        <v>2213</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2212</v>
      </c>
      <c r="K596" s="635"/>
      <c r="L596" s="626"/>
      <c r="M596" s="627"/>
      <c r="N596" s="636" t="s">
        <v>2083</v>
      </c>
      <c r="O596" s="636" t="s">
        <v>1221</v>
      </c>
      <c r="P596" s="627" t="s">
        <v>2083</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2082</v>
      </c>
      <c r="K597" s="635"/>
      <c r="L597" s="626"/>
      <c r="M597" s="627"/>
      <c r="N597" s="636" t="s">
        <v>2384</v>
      </c>
      <c r="O597" s="636" t="s">
        <v>2656</v>
      </c>
      <c r="P597" s="627" t="s">
        <v>1156</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2383</v>
      </c>
      <c r="K598" s="635"/>
      <c r="L598" s="626"/>
      <c r="M598" s="627"/>
      <c r="N598" s="636" t="s">
        <v>3443</v>
      </c>
      <c r="O598" s="636" t="s">
        <v>2405</v>
      </c>
      <c r="P598" s="627" t="s">
        <v>1157</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3442</v>
      </c>
      <c r="K599" s="635"/>
      <c r="L599" s="626"/>
      <c r="M599" s="627"/>
      <c r="N599" s="636" t="s">
        <v>3445</v>
      </c>
      <c r="O599" s="636" t="s">
        <v>2288</v>
      </c>
      <c r="P599" s="627" t="s">
        <v>1158</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3444</v>
      </c>
      <c r="K600" s="635"/>
      <c r="L600" s="626"/>
      <c r="M600" s="627"/>
      <c r="N600" s="636" t="s">
        <v>2201</v>
      </c>
      <c r="O600" s="636" t="s">
        <v>354</v>
      </c>
      <c r="P600" s="627" t="s">
        <v>1159</v>
      </c>
      <c r="Q600" s="611"/>
      <c r="R600" s="507" t="s">
        <v>239</v>
      </c>
      <c r="S600" s="507" t="s">
        <v>241</v>
      </c>
      <c r="T600" s="507" t="s">
        <v>240</v>
      </c>
      <c r="U600" s="611"/>
      <c r="V600" s="611"/>
      <c r="W600" s="611"/>
      <c r="X600" s="611"/>
      <c r="Y600" s="611"/>
      <c r="Z600" s="611"/>
      <c r="AA600" s="611"/>
    </row>
    <row r="601" spans="1:27" ht="12" customHeight="1">
      <c r="A601" s="611"/>
      <c r="B601" s="612"/>
      <c r="C601" s="611"/>
      <c r="D601" s="611"/>
      <c r="E601" s="611"/>
      <c r="F601" s="611"/>
      <c r="G601" s="611"/>
      <c r="H601" s="611"/>
      <c r="I601" s="611"/>
      <c r="J601" s="634" t="s">
        <v>3262</v>
      </c>
      <c r="K601" s="635"/>
      <c r="L601" s="626"/>
      <c r="M601" s="627"/>
      <c r="N601" s="636" t="s">
        <v>2203</v>
      </c>
      <c r="O601" s="636" t="s">
        <v>351</v>
      </c>
      <c r="P601" s="627" t="s">
        <v>1160</v>
      </c>
      <c r="Q601" s="611"/>
      <c r="R601" s="507" t="s">
        <v>3962</v>
      </c>
      <c r="S601" s="507" t="s">
        <v>1258</v>
      </c>
      <c r="T601" s="1577" t="s">
        <v>3295</v>
      </c>
      <c r="U601" s="611"/>
      <c r="V601" s="611"/>
      <c r="W601" s="611"/>
      <c r="X601" s="611"/>
      <c r="Y601" s="611"/>
      <c r="Z601" s="611"/>
      <c r="AA601" s="611"/>
    </row>
    <row r="602" spans="1:27" ht="12" customHeight="1">
      <c r="A602" s="611"/>
      <c r="B602" s="612"/>
      <c r="C602" s="611"/>
      <c r="D602" s="611"/>
      <c r="E602" s="611"/>
      <c r="F602" s="611"/>
      <c r="G602" s="611"/>
      <c r="H602" s="611"/>
      <c r="I602" s="611"/>
      <c r="J602" s="634" t="s">
        <v>2202</v>
      </c>
      <c r="K602" s="635"/>
      <c r="L602" s="626"/>
      <c r="M602" s="627"/>
      <c r="N602" s="507" t="s">
        <v>1904</v>
      </c>
      <c r="O602" s="507" t="s">
        <v>2793</v>
      </c>
      <c r="P602" s="1577" t="s">
        <v>3295</v>
      </c>
      <c r="Q602" s="611"/>
      <c r="R602" s="507" t="s">
        <v>3963</v>
      </c>
      <c r="S602" s="507" t="s">
        <v>350</v>
      </c>
      <c r="T602" s="1577" t="s">
        <v>3295</v>
      </c>
      <c r="U602" s="611"/>
      <c r="V602" s="611"/>
      <c r="W602" s="611"/>
      <c r="X602" s="611"/>
      <c r="Y602" s="611"/>
      <c r="Z602" s="611"/>
      <c r="AA602" s="611"/>
    </row>
    <row r="603" spans="1:27" ht="12" customHeight="1">
      <c r="A603" s="611"/>
      <c r="B603" s="612"/>
      <c r="C603" s="611"/>
      <c r="D603" s="611"/>
      <c r="E603" s="611"/>
      <c r="F603" s="611"/>
      <c r="G603" s="611"/>
      <c r="H603" s="611"/>
      <c r="I603" s="611"/>
      <c r="J603" s="634" t="s">
        <v>2204</v>
      </c>
      <c r="K603" s="635"/>
      <c r="L603" s="626"/>
      <c r="M603" s="627"/>
      <c r="N603" s="636" t="s">
        <v>2205</v>
      </c>
      <c r="O603" s="636" t="s">
        <v>1258</v>
      </c>
      <c r="P603" s="627" t="s">
        <v>1161</v>
      </c>
      <c r="Q603" s="611"/>
      <c r="R603" s="507" t="s">
        <v>3964</v>
      </c>
      <c r="S603" s="507" t="s">
        <v>3870</v>
      </c>
      <c r="T603" s="1577" t="s">
        <v>3295</v>
      </c>
      <c r="U603" s="611"/>
      <c r="V603" s="611"/>
      <c r="W603" s="611"/>
      <c r="X603" s="611"/>
      <c r="Y603" s="611"/>
      <c r="Z603" s="611"/>
      <c r="AA603" s="611"/>
    </row>
    <row r="604" spans="1:27" ht="12" customHeight="1">
      <c r="A604" s="611"/>
      <c r="B604" s="612"/>
      <c r="C604" s="611"/>
      <c r="D604" s="611"/>
      <c r="E604" s="611"/>
      <c r="F604" s="611"/>
      <c r="G604" s="611"/>
      <c r="H604" s="611"/>
      <c r="I604" s="611"/>
      <c r="J604" s="634" t="s">
        <v>2452</v>
      </c>
      <c r="K604" s="635"/>
      <c r="L604" s="626"/>
      <c r="M604" s="627"/>
      <c r="N604" s="636" t="s">
        <v>2453</v>
      </c>
      <c r="O604" s="636" t="s">
        <v>543</v>
      </c>
      <c r="P604" s="627" t="s">
        <v>1162</v>
      </c>
      <c r="Q604" s="611"/>
      <c r="R604" s="507" t="s">
        <v>3965</v>
      </c>
      <c r="S604" s="507"/>
      <c r="T604" s="1577" t="s">
        <v>3295</v>
      </c>
      <c r="U604" s="611"/>
      <c r="V604" s="611"/>
      <c r="W604" s="611"/>
      <c r="X604" s="611"/>
      <c r="Y604" s="611"/>
      <c r="Z604" s="611"/>
      <c r="AA604" s="611"/>
    </row>
    <row r="605" spans="1:27" ht="12" customHeight="1">
      <c r="A605" s="611"/>
      <c r="B605" s="612"/>
      <c r="C605" s="611"/>
      <c r="D605" s="611"/>
      <c r="E605" s="611"/>
      <c r="F605" s="611"/>
      <c r="G605" s="611"/>
      <c r="H605" s="611"/>
      <c r="I605" s="611"/>
      <c r="J605" s="634" t="s">
        <v>2351</v>
      </c>
      <c r="K605" s="635"/>
      <c r="L605" s="626"/>
      <c r="M605" s="627"/>
      <c r="N605" s="636" t="s">
        <v>3373</v>
      </c>
      <c r="O605" s="636" t="s">
        <v>1778</v>
      </c>
      <c r="P605" s="627" t="s">
        <v>1163</v>
      </c>
      <c r="Q605" s="611"/>
      <c r="R605" s="507" t="s">
        <v>3966</v>
      </c>
      <c r="S605" s="507" t="s">
        <v>3134</v>
      </c>
      <c r="T605" s="1577" t="s">
        <v>3295</v>
      </c>
      <c r="U605" s="611"/>
      <c r="V605" s="611"/>
      <c r="W605" s="611"/>
      <c r="X605" s="611"/>
      <c r="Y605" s="611"/>
      <c r="Z605" s="611"/>
      <c r="AA605" s="611"/>
    </row>
    <row r="606" spans="1:27" ht="12" customHeight="1">
      <c r="A606" s="611"/>
      <c r="B606" s="612"/>
      <c r="C606" s="611"/>
      <c r="D606" s="611"/>
      <c r="E606" s="611"/>
      <c r="F606" s="611"/>
      <c r="G606" s="611"/>
      <c r="H606" s="611"/>
      <c r="I606" s="611"/>
      <c r="J606" s="634" t="s">
        <v>3292</v>
      </c>
      <c r="K606" s="635"/>
      <c r="L606" s="626"/>
      <c r="M606" s="627"/>
      <c r="N606" s="636" t="s">
        <v>2976</v>
      </c>
      <c r="O606" s="636" t="s">
        <v>3258</v>
      </c>
      <c r="P606" s="627" t="s">
        <v>1164</v>
      </c>
      <c r="Q606" s="611"/>
      <c r="R606" s="507" t="s">
        <v>3967</v>
      </c>
      <c r="S606" s="507" t="s">
        <v>3870</v>
      </c>
      <c r="T606" s="1577" t="s">
        <v>3295</v>
      </c>
      <c r="U606" s="611"/>
      <c r="V606" s="611"/>
      <c r="W606" s="611"/>
      <c r="X606" s="611"/>
      <c r="Y606" s="611"/>
      <c r="Z606" s="611"/>
      <c r="AA606" s="611"/>
    </row>
    <row r="607" spans="1:27" ht="12" customHeight="1">
      <c r="A607" s="611"/>
      <c r="B607" s="612"/>
      <c r="C607" s="611"/>
      <c r="D607" s="611"/>
      <c r="E607" s="611"/>
      <c r="F607" s="611"/>
      <c r="G607" s="611"/>
      <c r="H607" s="611"/>
      <c r="I607" s="611"/>
      <c r="J607" s="634" t="s">
        <v>2986</v>
      </c>
      <c r="K607" s="635"/>
      <c r="L607" s="626"/>
      <c r="M607" s="627"/>
      <c r="N607" s="636" t="s">
        <v>626</v>
      </c>
      <c r="O607" s="636" t="s">
        <v>3258</v>
      </c>
      <c r="P607" s="627" t="s">
        <v>1165</v>
      </c>
      <c r="Q607" s="611"/>
      <c r="R607" s="507" t="s">
        <v>3968</v>
      </c>
      <c r="S607" s="507" t="s">
        <v>2290</v>
      </c>
      <c r="T607" s="1577" t="s">
        <v>3295</v>
      </c>
      <c r="U607" s="611"/>
      <c r="V607" s="611"/>
      <c r="W607" s="611"/>
      <c r="X607" s="611"/>
      <c r="Y607" s="611"/>
      <c r="Z607" s="611"/>
      <c r="AA607" s="611"/>
    </row>
    <row r="608" spans="1:27" ht="12" customHeight="1">
      <c r="A608" s="611"/>
      <c r="B608" s="612"/>
      <c r="C608" s="611"/>
      <c r="D608" s="611"/>
      <c r="E608" s="611"/>
      <c r="F608" s="611"/>
      <c r="G608" s="611"/>
      <c r="H608" s="611"/>
      <c r="I608" s="611"/>
      <c r="J608" s="634" t="s">
        <v>625</v>
      </c>
      <c r="K608" s="635"/>
      <c r="L608" s="626"/>
      <c r="M608" s="627"/>
      <c r="N608" s="636" t="s">
        <v>2846</v>
      </c>
      <c r="O608" s="636" t="s">
        <v>3163</v>
      </c>
      <c r="P608" s="627" t="s">
        <v>1166</v>
      </c>
      <c r="Q608" s="611"/>
      <c r="R608" s="507" t="s">
        <v>3969</v>
      </c>
      <c r="S608" s="507" t="s">
        <v>3200</v>
      </c>
      <c r="T608" s="1577" t="s">
        <v>3295</v>
      </c>
      <c r="U608" s="611"/>
      <c r="V608" s="611"/>
      <c r="W608" s="611"/>
      <c r="X608" s="611"/>
      <c r="Y608" s="611"/>
      <c r="Z608" s="611"/>
      <c r="AA608" s="611"/>
    </row>
    <row r="609" spans="1:27" ht="12" customHeight="1">
      <c r="A609" s="611"/>
      <c r="B609" s="612"/>
      <c r="C609" s="611"/>
      <c r="D609" s="611"/>
      <c r="E609" s="611"/>
      <c r="F609" s="611"/>
      <c r="G609" s="611"/>
      <c r="H609" s="611"/>
      <c r="I609" s="611"/>
      <c r="J609" s="634" t="s">
        <v>2845</v>
      </c>
      <c r="K609" s="635"/>
      <c r="L609" s="626"/>
      <c r="M609" s="627"/>
      <c r="N609" s="636" t="s">
        <v>468</v>
      </c>
      <c r="O609" s="636" t="s">
        <v>1350</v>
      </c>
      <c r="P609" s="627" t="s">
        <v>1167</v>
      </c>
      <c r="Q609" s="611"/>
      <c r="R609" s="507" t="s">
        <v>3970</v>
      </c>
      <c r="S609" s="507" t="s">
        <v>1349</v>
      </c>
      <c r="T609" s="1577" t="s">
        <v>3295</v>
      </c>
      <c r="U609" s="611"/>
      <c r="V609" s="611"/>
      <c r="W609" s="611"/>
      <c r="X609" s="611"/>
      <c r="Y609" s="611"/>
      <c r="Z609" s="611"/>
      <c r="AA609" s="611"/>
    </row>
    <row r="610" spans="1:27" ht="12" customHeight="1">
      <c r="A610" s="611"/>
      <c r="B610" s="612"/>
      <c r="C610" s="611"/>
      <c r="D610" s="611"/>
      <c r="E610" s="611"/>
      <c r="F610" s="611"/>
      <c r="G610" s="611"/>
      <c r="H610" s="611"/>
      <c r="I610" s="611"/>
      <c r="J610" s="634" t="s">
        <v>467</v>
      </c>
      <c r="K610" s="635"/>
      <c r="L610" s="626"/>
      <c r="M610" s="627"/>
      <c r="N610" s="636" t="s">
        <v>1816</v>
      </c>
      <c r="O610" s="636" t="s">
        <v>261</v>
      </c>
      <c r="P610" s="627" t="s">
        <v>1168</v>
      </c>
      <c r="Q610" s="611"/>
      <c r="R610" s="507" t="s">
        <v>4052</v>
      </c>
      <c r="S610" s="507" t="s">
        <v>1258</v>
      </c>
      <c r="T610" s="1577" t="s">
        <v>3295</v>
      </c>
      <c r="U610" s="611"/>
      <c r="V610" s="611"/>
      <c r="W610" s="611"/>
      <c r="X610" s="611"/>
      <c r="Y610" s="611"/>
      <c r="Z610" s="611"/>
      <c r="AA610" s="611"/>
    </row>
    <row r="611" spans="1:27" ht="12" customHeight="1">
      <c r="A611" s="611"/>
      <c r="B611" s="612"/>
      <c r="C611" s="611"/>
      <c r="D611" s="611"/>
      <c r="E611" s="611"/>
      <c r="F611" s="611"/>
      <c r="G611" s="611"/>
      <c r="H611" s="611"/>
      <c r="I611" s="611"/>
      <c r="J611" s="634" t="s">
        <v>399</v>
      </c>
      <c r="K611" s="635"/>
      <c r="L611" s="626"/>
      <c r="M611" s="627"/>
      <c r="N611" s="636" t="s">
        <v>1835</v>
      </c>
      <c r="O611" s="636" t="s">
        <v>261</v>
      </c>
      <c r="P611" s="627" t="s">
        <v>1169</v>
      </c>
      <c r="Q611" s="611"/>
      <c r="R611" s="507" t="s">
        <v>4053</v>
      </c>
      <c r="S611" s="507" t="s">
        <v>3401</v>
      </c>
      <c r="T611" s="1577" t="s">
        <v>3295</v>
      </c>
      <c r="U611" s="611"/>
      <c r="V611" s="611"/>
      <c r="W611" s="611"/>
      <c r="X611" s="611"/>
      <c r="Y611" s="611"/>
      <c r="Z611" s="611"/>
      <c r="AA611" s="611"/>
    </row>
    <row r="612" spans="1:27" ht="12" customHeight="1">
      <c r="A612" s="611"/>
      <c r="B612" s="612"/>
      <c r="C612" s="611"/>
      <c r="D612" s="611"/>
      <c r="E612" s="611"/>
      <c r="F612" s="611"/>
      <c r="G612" s="611"/>
      <c r="H612" s="611"/>
      <c r="I612" s="611"/>
      <c r="J612" s="634" t="s">
        <v>1834</v>
      </c>
      <c r="K612" s="635"/>
      <c r="L612" s="626"/>
      <c r="M612" s="627"/>
      <c r="N612" s="636" t="s">
        <v>1245</v>
      </c>
      <c r="O612" s="636" t="s">
        <v>2290</v>
      </c>
      <c r="P612" s="627" t="s">
        <v>1170</v>
      </c>
      <c r="Q612" s="611"/>
      <c r="R612" s="507" t="s">
        <v>4054</v>
      </c>
      <c r="S612" s="507" t="s">
        <v>4025</v>
      </c>
      <c r="T612" s="1577" t="s">
        <v>3295</v>
      </c>
      <c r="U612" s="611"/>
      <c r="V612" s="611"/>
      <c r="W612" s="611"/>
      <c r="X612" s="611"/>
      <c r="Y612" s="611"/>
      <c r="Z612" s="611"/>
      <c r="AA612" s="611"/>
    </row>
    <row r="613" spans="1:27" ht="12" customHeight="1">
      <c r="A613" s="611"/>
      <c r="B613" s="612"/>
      <c r="C613" s="611"/>
      <c r="D613" s="611"/>
      <c r="E613" s="611"/>
      <c r="F613" s="611"/>
      <c r="G613" s="611"/>
      <c r="H613" s="611"/>
      <c r="I613" s="611"/>
      <c r="J613" s="634" t="s">
        <v>1244</v>
      </c>
      <c r="K613" s="635"/>
      <c r="L613" s="626"/>
      <c r="M613" s="627"/>
      <c r="N613" s="636" t="s">
        <v>347</v>
      </c>
      <c r="O613" s="636" t="s">
        <v>3979</v>
      </c>
      <c r="P613" s="627" t="s">
        <v>1171</v>
      </c>
      <c r="Q613" s="611"/>
      <c r="R613" s="507" t="s">
        <v>3652</v>
      </c>
      <c r="S613" s="507" t="s">
        <v>4022</v>
      </c>
      <c r="T613" s="1577" t="s">
        <v>3295</v>
      </c>
      <c r="U613" s="611"/>
      <c r="V613" s="611"/>
      <c r="W613" s="611"/>
      <c r="X613" s="611"/>
      <c r="Y613" s="611"/>
      <c r="Z613" s="611"/>
      <c r="AA613" s="611"/>
    </row>
    <row r="614" spans="1:27" ht="12" customHeight="1">
      <c r="A614" s="611"/>
      <c r="B614" s="612"/>
      <c r="C614" s="611"/>
      <c r="D614" s="611"/>
      <c r="E614" s="611"/>
      <c r="F614" s="611"/>
      <c r="G614" s="611"/>
      <c r="H614" s="611"/>
      <c r="I614" s="611"/>
      <c r="J614" s="634" t="s">
        <v>1513</v>
      </c>
      <c r="K614" s="635"/>
      <c r="L614" s="626"/>
      <c r="M614" s="627"/>
      <c r="N614" s="636" t="s">
        <v>1790</v>
      </c>
      <c r="O614" s="636" t="s">
        <v>3754</v>
      </c>
      <c r="P614" s="627" t="s">
        <v>1172</v>
      </c>
      <c r="Q614" s="611"/>
      <c r="R614" s="507" t="s">
        <v>4055</v>
      </c>
      <c r="S614" s="507" t="s">
        <v>3401</v>
      </c>
      <c r="T614" s="1577" t="s">
        <v>3295</v>
      </c>
      <c r="U614" s="611"/>
      <c r="V614" s="611"/>
      <c r="W614" s="611"/>
      <c r="X614" s="611"/>
      <c r="Y614" s="611"/>
      <c r="Z614" s="611"/>
      <c r="AA614" s="611"/>
    </row>
    <row r="615" spans="1:27" ht="12" customHeight="1">
      <c r="A615" s="611"/>
      <c r="B615" s="612"/>
      <c r="C615" s="611"/>
      <c r="D615" s="611"/>
      <c r="E615" s="611"/>
      <c r="F615" s="611"/>
      <c r="G615" s="611"/>
      <c r="H615" s="611"/>
      <c r="I615" s="611"/>
      <c r="J615" s="634" t="s">
        <v>1789</v>
      </c>
      <c r="K615" s="635"/>
      <c r="L615" s="626"/>
      <c r="M615" s="627"/>
      <c r="N615" s="636" t="s">
        <v>2916</v>
      </c>
      <c r="O615" s="636" t="s">
        <v>3873</v>
      </c>
      <c r="P615" s="627" t="s">
        <v>1173</v>
      </c>
      <c r="Q615" s="611"/>
      <c r="R615" s="507" t="s">
        <v>4056</v>
      </c>
      <c r="S615" s="507" t="s">
        <v>3873</v>
      </c>
      <c r="T615" s="1577" t="s">
        <v>3295</v>
      </c>
      <c r="U615" s="611"/>
      <c r="V615" s="611"/>
      <c r="W615" s="611"/>
      <c r="X615" s="611"/>
      <c r="Y615" s="611"/>
      <c r="Z615" s="611"/>
      <c r="AA615" s="611"/>
    </row>
    <row r="616" spans="1:27" ht="12" customHeight="1">
      <c r="A616" s="611"/>
      <c r="B616" s="612"/>
      <c r="C616" s="611"/>
      <c r="D616" s="611"/>
      <c r="E616" s="611"/>
      <c r="F616" s="611"/>
      <c r="G616" s="611"/>
      <c r="H616" s="611"/>
      <c r="I616" s="611"/>
      <c r="J616" s="634" t="s">
        <v>1791</v>
      </c>
      <c r="K616" s="635"/>
      <c r="L616" s="626"/>
      <c r="M616" s="627"/>
      <c r="N616" s="636" t="s">
        <v>2855</v>
      </c>
      <c r="O616" s="636" t="s">
        <v>103</v>
      </c>
      <c r="P616" s="1576" t="s">
        <v>1426</v>
      </c>
      <c r="Q616" s="611"/>
      <c r="R616" s="507" t="s">
        <v>3973</v>
      </c>
      <c r="S616" s="507" t="s">
        <v>3134</v>
      </c>
      <c r="T616" s="1577" t="s">
        <v>3295</v>
      </c>
      <c r="U616" s="611"/>
      <c r="V616" s="611"/>
      <c r="W616" s="611"/>
      <c r="X616" s="611"/>
      <c r="Y616" s="611"/>
      <c r="Z616" s="611"/>
      <c r="AA616" s="611"/>
    </row>
    <row r="617" spans="1:27" ht="12" customHeight="1">
      <c r="A617" s="611"/>
      <c r="B617" s="612"/>
      <c r="C617" s="611"/>
      <c r="D617" s="611"/>
      <c r="E617" s="611"/>
      <c r="F617" s="611"/>
      <c r="G617" s="611"/>
      <c r="H617" s="611"/>
      <c r="I617" s="611"/>
      <c r="J617" s="634" t="s">
        <v>2854</v>
      </c>
      <c r="K617" s="635"/>
      <c r="L617" s="626"/>
      <c r="M617" s="627"/>
      <c r="N617" s="636" t="s">
        <v>1827</v>
      </c>
      <c r="O617" s="636" t="s">
        <v>1233</v>
      </c>
      <c r="P617" s="627" t="s">
        <v>1174</v>
      </c>
      <c r="Q617" s="611"/>
      <c r="R617" s="507" t="s">
        <v>1703</v>
      </c>
      <c r="S617" s="507" t="s">
        <v>2088</v>
      </c>
      <c r="T617" s="1577" t="s">
        <v>3295</v>
      </c>
      <c r="U617" s="611"/>
      <c r="V617" s="611"/>
      <c r="W617" s="611"/>
      <c r="X617" s="611"/>
      <c r="Y617" s="611"/>
      <c r="Z617" s="611"/>
      <c r="AA617" s="611"/>
    </row>
    <row r="618" spans="1:27" ht="12" customHeight="1">
      <c r="A618" s="611"/>
      <c r="B618" s="612"/>
      <c r="C618" s="611"/>
      <c r="D618" s="611"/>
      <c r="E618" s="611"/>
      <c r="F618" s="611"/>
      <c r="G618" s="611"/>
      <c r="H618" s="611"/>
      <c r="I618" s="611"/>
      <c r="J618" s="634" t="s">
        <v>2978</v>
      </c>
      <c r="K618" s="635"/>
      <c r="L618" s="626"/>
      <c r="M618" s="627"/>
      <c r="N618" s="507" t="s">
        <v>1905</v>
      </c>
      <c r="O618" s="507" t="s">
        <v>1780</v>
      </c>
      <c r="P618" s="1577" t="s">
        <v>3295</v>
      </c>
      <c r="Q618" s="611"/>
      <c r="R618" s="507" t="s">
        <v>1498</v>
      </c>
      <c r="S618" s="507" t="s">
        <v>1831</v>
      </c>
      <c r="T618" s="1577" t="s">
        <v>3295</v>
      </c>
      <c r="U618" s="611"/>
      <c r="V618" s="611"/>
      <c r="W618" s="611"/>
      <c r="X618" s="611"/>
      <c r="Y618" s="611"/>
      <c r="Z618" s="611"/>
      <c r="AA618" s="611"/>
    </row>
    <row r="619" spans="1:27" ht="12" customHeight="1">
      <c r="A619" s="611"/>
      <c r="B619" s="612"/>
      <c r="C619" s="611"/>
      <c r="D619" s="611"/>
      <c r="E619" s="611"/>
      <c r="F619" s="611"/>
      <c r="G619" s="611"/>
      <c r="H619" s="611"/>
      <c r="I619" s="611"/>
      <c r="J619" s="634" t="s">
        <v>2990</v>
      </c>
      <c r="K619" s="635"/>
      <c r="L619" s="626"/>
      <c r="M619" s="627"/>
      <c r="N619" s="636" t="s">
        <v>1831</v>
      </c>
      <c r="O619" s="636" t="s">
        <v>2287</v>
      </c>
      <c r="P619" s="627" t="s">
        <v>1175</v>
      </c>
      <c r="Q619" s="611"/>
      <c r="R619" s="507" t="s">
        <v>1691</v>
      </c>
      <c r="S619" s="507" t="s">
        <v>1258</v>
      </c>
      <c r="T619" s="1577" t="s">
        <v>3295</v>
      </c>
      <c r="U619" s="611"/>
      <c r="V619" s="611"/>
      <c r="W619" s="611"/>
      <c r="X619" s="611"/>
      <c r="Y619" s="611"/>
      <c r="Z619" s="611"/>
      <c r="AA619" s="611"/>
    </row>
    <row r="620" spans="1:27" ht="12" customHeight="1">
      <c r="A620" s="611"/>
      <c r="B620" s="612"/>
      <c r="C620" s="611"/>
      <c r="D620" s="611"/>
      <c r="E620" s="611"/>
      <c r="F620" s="611"/>
      <c r="G620" s="611"/>
      <c r="H620" s="611"/>
      <c r="I620" s="611"/>
      <c r="J620" s="634" t="s">
        <v>1784</v>
      </c>
      <c r="K620" s="635"/>
      <c r="L620" s="626"/>
      <c r="M620" s="627"/>
      <c r="N620" s="636" t="s">
        <v>634</v>
      </c>
      <c r="O620" s="636" t="s">
        <v>1350</v>
      </c>
      <c r="P620" s="627" t="s">
        <v>1176</v>
      </c>
      <c r="Q620" s="611"/>
      <c r="R620" s="507" t="s">
        <v>1692</v>
      </c>
      <c r="S620" s="507" t="s">
        <v>3221</v>
      </c>
      <c r="T620" s="1577" t="s">
        <v>3295</v>
      </c>
      <c r="U620" s="611"/>
      <c r="V620" s="611"/>
      <c r="W620" s="611"/>
      <c r="X620" s="611"/>
      <c r="Y620" s="611"/>
      <c r="Z620" s="611"/>
      <c r="AA620" s="611"/>
    </row>
    <row r="621" spans="1:27" ht="12" customHeight="1">
      <c r="A621" s="611"/>
      <c r="B621" s="612"/>
      <c r="C621" s="611"/>
      <c r="D621" s="611"/>
      <c r="E621" s="611"/>
      <c r="F621" s="611"/>
      <c r="G621" s="611"/>
      <c r="H621" s="611"/>
      <c r="I621" s="611"/>
      <c r="J621" s="634" t="s">
        <v>631</v>
      </c>
      <c r="K621" s="635"/>
      <c r="L621" s="626"/>
      <c r="M621" s="627"/>
      <c r="N621" s="507" t="s">
        <v>1906</v>
      </c>
      <c r="O621" s="507" t="s">
        <v>284</v>
      </c>
      <c r="P621" s="1577" t="s">
        <v>3295</v>
      </c>
      <c r="Q621" s="611"/>
      <c r="R621" s="507" t="s">
        <v>1693</v>
      </c>
      <c r="S621" s="507" t="s">
        <v>3014</v>
      </c>
      <c r="T621" s="1577" t="s">
        <v>3295</v>
      </c>
      <c r="U621" s="611"/>
      <c r="V621" s="611"/>
      <c r="W621" s="611"/>
      <c r="X621" s="611"/>
      <c r="Y621" s="611"/>
      <c r="Z621" s="611"/>
      <c r="AA621" s="611"/>
    </row>
    <row r="622" spans="1:27" ht="12" customHeight="1">
      <c r="A622" s="611"/>
      <c r="B622" s="612"/>
      <c r="C622" s="611"/>
      <c r="D622" s="611"/>
      <c r="E622" s="611"/>
      <c r="F622" s="611"/>
      <c r="G622" s="611"/>
      <c r="H622" s="611"/>
      <c r="I622" s="611"/>
      <c r="J622" s="634" t="s">
        <v>155</v>
      </c>
      <c r="K622" s="635"/>
      <c r="L622" s="626"/>
      <c r="M622" s="627"/>
      <c r="N622" s="636" t="s">
        <v>156</v>
      </c>
      <c r="O622" s="636" t="s">
        <v>2280</v>
      </c>
      <c r="P622" s="627" t="s">
        <v>156</v>
      </c>
      <c r="Q622" s="611"/>
      <c r="R622" s="507" t="s">
        <v>1694</v>
      </c>
      <c r="S622" s="507" t="s">
        <v>1824</v>
      </c>
      <c r="T622" s="1577" t="s">
        <v>3295</v>
      </c>
      <c r="U622" s="611"/>
      <c r="V622" s="611"/>
      <c r="W622" s="611"/>
      <c r="X622" s="611"/>
      <c r="Y622" s="611"/>
      <c r="Z622" s="611"/>
      <c r="AA622" s="611"/>
    </row>
    <row r="623" spans="1:27" ht="12" customHeight="1">
      <c r="A623" s="611"/>
      <c r="B623" s="612"/>
      <c r="C623" s="611"/>
      <c r="D623" s="611"/>
      <c r="E623" s="611"/>
      <c r="F623" s="611"/>
      <c r="G623" s="611"/>
      <c r="H623" s="611"/>
      <c r="I623" s="611"/>
      <c r="J623" s="634" t="s">
        <v>157</v>
      </c>
      <c r="K623" s="635"/>
      <c r="L623" s="626"/>
      <c r="M623" s="627"/>
      <c r="N623" s="636" t="s">
        <v>158</v>
      </c>
      <c r="O623" s="636" t="s">
        <v>3750</v>
      </c>
      <c r="P623" s="627" t="s">
        <v>1177</v>
      </c>
      <c r="Q623" s="1578"/>
      <c r="R623" s="507" t="s">
        <v>1695</v>
      </c>
      <c r="S623" s="507" t="s">
        <v>2414</v>
      </c>
      <c r="T623" s="1577" t="s">
        <v>3295</v>
      </c>
      <c r="U623" s="611"/>
      <c r="V623" s="611"/>
      <c r="W623" s="611"/>
      <c r="X623" s="611"/>
      <c r="Y623" s="611"/>
      <c r="Z623" s="611"/>
      <c r="AA623" s="611"/>
    </row>
    <row r="624" spans="1:27" ht="12" customHeight="1">
      <c r="A624" s="611"/>
      <c r="B624" s="612"/>
      <c r="C624" s="611"/>
      <c r="D624" s="611"/>
      <c r="E624" s="611"/>
      <c r="F624" s="611"/>
      <c r="G624" s="611"/>
      <c r="H624" s="611"/>
      <c r="I624" s="611"/>
      <c r="J624" s="634" t="s">
        <v>242</v>
      </c>
      <c r="K624" s="635"/>
      <c r="L624" s="626"/>
      <c r="M624" s="627"/>
      <c r="N624" s="636" t="s">
        <v>243</v>
      </c>
      <c r="O624" s="636" t="s">
        <v>2937</v>
      </c>
      <c r="P624" s="627" t="s">
        <v>1178</v>
      </c>
      <c r="Q624" s="611"/>
      <c r="R624" s="507" t="s">
        <v>1696</v>
      </c>
      <c r="S624" s="507" t="s">
        <v>3870</v>
      </c>
      <c r="T624" s="1577" t="s">
        <v>3295</v>
      </c>
      <c r="U624" s="611"/>
      <c r="V624" s="611"/>
      <c r="W624" s="611"/>
      <c r="X624" s="611"/>
      <c r="Y624" s="611"/>
      <c r="Z624" s="611"/>
      <c r="AA624" s="611"/>
    </row>
    <row r="625" spans="1:27" ht="12" customHeight="1">
      <c r="A625" s="611"/>
      <c r="B625" s="612"/>
      <c r="C625" s="611"/>
      <c r="D625" s="611"/>
      <c r="E625" s="611"/>
      <c r="F625" s="611"/>
      <c r="G625" s="611"/>
      <c r="H625" s="611"/>
      <c r="I625" s="611"/>
      <c r="J625" s="634" t="s">
        <v>244</v>
      </c>
      <c r="K625" s="635"/>
      <c r="L625" s="626"/>
      <c r="M625" s="627"/>
      <c r="N625" s="507" t="s">
        <v>1907</v>
      </c>
      <c r="O625" s="507" t="s">
        <v>1258</v>
      </c>
      <c r="P625" s="1577" t="s">
        <v>3295</v>
      </c>
      <c r="Q625" s="611"/>
      <c r="R625" s="507" t="s">
        <v>1697</v>
      </c>
      <c r="S625" s="507" t="s">
        <v>261</v>
      </c>
      <c r="T625" s="1577" t="s">
        <v>3295</v>
      </c>
      <c r="U625" s="611"/>
      <c r="V625" s="611"/>
      <c r="W625" s="611"/>
      <c r="X625" s="611"/>
      <c r="Y625" s="611"/>
      <c r="Z625" s="611"/>
      <c r="AA625" s="611"/>
    </row>
    <row r="626" spans="1:27" ht="12" customHeight="1">
      <c r="A626" s="611"/>
      <c r="B626" s="612"/>
      <c r="C626" s="611"/>
      <c r="D626" s="611"/>
      <c r="E626" s="611"/>
      <c r="F626" s="611"/>
      <c r="G626" s="611"/>
      <c r="H626" s="611"/>
      <c r="I626" s="611"/>
      <c r="J626" s="634" t="s">
        <v>3300</v>
      </c>
      <c r="K626" s="635"/>
      <c r="L626" s="626"/>
      <c r="M626" s="627"/>
      <c r="N626" s="507" t="s">
        <v>1908</v>
      </c>
      <c r="O626" s="507" t="s">
        <v>544</v>
      </c>
      <c r="P626" s="1577" t="s">
        <v>3295</v>
      </c>
      <c r="Q626" s="611"/>
      <c r="R626" s="507" t="s">
        <v>1698</v>
      </c>
      <c r="S626" s="507" t="s">
        <v>2190</v>
      </c>
      <c r="T626" s="1577" t="s">
        <v>3295</v>
      </c>
      <c r="U626" s="611"/>
      <c r="V626" s="611"/>
      <c r="W626" s="611"/>
      <c r="X626" s="611"/>
      <c r="Y626" s="611"/>
      <c r="Z626" s="611"/>
      <c r="AA626" s="611"/>
    </row>
    <row r="627" spans="1:27" ht="12" customHeight="1">
      <c r="A627" s="611"/>
      <c r="B627" s="612"/>
      <c r="C627" s="611"/>
      <c r="D627" s="611"/>
      <c r="E627" s="611"/>
      <c r="F627" s="611"/>
      <c r="G627" s="611"/>
      <c r="H627" s="611"/>
      <c r="I627" s="611"/>
      <c r="J627" s="634" t="s">
        <v>3389</v>
      </c>
      <c r="K627" s="635"/>
      <c r="L627" s="626"/>
      <c r="M627" s="627"/>
      <c r="N627" s="636" t="s">
        <v>3299</v>
      </c>
      <c r="O627" s="636" t="s">
        <v>2290</v>
      </c>
      <c r="P627" s="627" t="s">
        <v>1179</v>
      </c>
      <c r="Q627" s="611"/>
      <c r="R627" s="507" t="s">
        <v>1699</v>
      </c>
      <c r="S627" s="507" t="s">
        <v>2414</v>
      </c>
      <c r="T627" s="1577" t="s">
        <v>3295</v>
      </c>
      <c r="U627" s="611"/>
      <c r="V627" s="611"/>
      <c r="W627" s="611"/>
      <c r="X627" s="611"/>
      <c r="Y627" s="611"/>
      <c r="Z627" s="611"/>
      <c r="AA627" s="611"/>
    </row>
    <row r="628" spans="1:27" ht="12" customHeight="1">
      <c r="A628" s="611"/>
      <c r="B628" s="612"/>
      <c r="C628" s="611"/>
      <c r="D628" s="611"/>
      <c r="E628" s="611"/>
      <c r="F628" s="611"/>
      <c r="G628" s="611"/>
      <c r="H628" s="611"/>
      <c r="I628" s="611"/>
      <c r="J628" s="634" t="s">
        <v>3468</v>
      </c>
      <c r="K628" s="635"/>
      <c r="L628" s="626"/>
      <c r="M628" s="627"/>
      <c r="N628" s="636" t="s">
        <v>3301</v>
      </c>
      <c r="O628" s="636" t="s">
        <v>3169</v>
      </c>
      <c r="P628" s="627" t="s">
        <v>1180</v>
      </c>
      <c r="Q628" s="611"/>
      <c r="R628" s="507" t="s">
        <v>1700</v>
      </c>
      <c r="S628" s="507" t="s">
        <v>1751</v>
      </c>
      <c r="T628" s="1577" t="s">
        <v>3295</v>
      </c>
      <c r="U628" s="611"/>
      <c r="V628" s="611"/>
      <c r="W628" s="611"/>
      <c r="X628" s="611"/>
      <c r="Y628" s="611"/>
      <c r="Z628" s="611"/>
      <c r="AA628" s="611"/>
    </row>
    <row r="629" spans="1:27" ht="12" customHeight="1">
      <c r="A629" s="611"/>
      <c r="B629" s="612"/>
      <c r="C629" s="611"/>
      <c r="D629" s="611"/>
      <c r="E629" s="611"/>
      <c r="F629" s="611"/>
      <c r="G629" s="611"/>
      <c r="H629" s="611"/>
      <c r="I629" s="611"/>
      <c r="J629" s="634" t="s">
        <v>3470</v>
      </c>
      <c r="K629" s="635"/>
      <c r="L629" s="626"/>
      <c r="M629" s="627"/>
      <c r="N629" s="636" t="s">
        <v>3390</v>
      </c>
      <c r="O629" s="636" t="s">
        <v>386</v>
      </c>
      <c r="P629" s="627" t="s">
        <v>1181</v>
      </c>
      <c r="Q629" s="611"/>
      <c r="R629" s="507" t="s">
        <v>1701</v>
      </c>
      <c r="S629" s="507" t="s">
        <v>3014</v>
      </c>
      <c r="T629" s="1577" t="s">
        <v>3295</v>
      </c>
      <c r="U629" s="611"/>
      <c r="V629" s="611"/>
      <c r="W629" s="611"/>
      <c r="X629" s="611"/>
      <c r="Y629" s="611"/>
      <c r="Z629" s="611"/>
      <c r="AA629" s="611"/>
    </row>
    <row r="630" spans="1:27" ht="12" customHeight="1">
      <c r="A630" s="611"/>
      <c r="B630" s="612"/>
      <c r="C630" s="611"/>
      <c r="D630" s="611"/>
      <c r="E630" s="611"/>
      <c r="F630" s="611"/>
      <c r="G630" s="611"/>
      <c r="H630" s="611"/>
      <c r="I630" s="611"/>
      <c r="J630" s="634" t="s">
        <v>3472</v>
      </c>
      <c r="K630" s="635"/>
      <c r="L630" s="626"/>
      <c r="M630" s="627"/>
      <c r="N630" s="636" t="s">
        <v>3469</v>
      </c>
      <c r="O630" s="636" t="s">
        <v>2085</v>
      </c>
      <c r="P630" s="627" t="s">
        <v>1182</v>
      </c>
      <c r="Q630" s="611"/>
      <c r="R630" s="636" t="s">
        <v>1430</v>
      </c>
      <c r="S630" s="636" t="s">
        <v>1478</v>
      </c>
      <c r="T630" s="1577" t="s">
        <v>3295</v>
      </c>
      <c r="U630" s="611"/>
      <c r="V630" s="611"/>
      <c r="W630" s="611"/>
      <c r="X630" s="611"/>
      <c r="Y630" s="611"/>
      <c r="Z630" s="611"/>
      <c r="AA630" s="611"/>
    </row>
    <row r="631" spans="1:27" ht="12" customHeight="1">
      <c r="A631" s="611"/>
      <c r="B631" s="612"/>
      <c r="C631" s="611"/>
      <c r="D631" s="611"/>
      <c r="E631" s="611"/>
      <c r="F631" s="611"/>
      <c r="G631" s="611"/>
      <c r="H631" s="611"/>
      <c r="I631" s="611"/>
      <c r="J631" s="634" t="s">
        <v>332</v>
      </c>
      <c r="K631" s="635"/>
      <c r="L631" s="626"/>
      <c r="M631" s="627"/>
      <c r="N631" s="636" t="s">
        <v>3471</v>
      </c>
      <c r="O631" s="636" t="s">
        <v>1350</v>
      </c>
      <c r="P631" s="627" t="s">
        <v>1183</v>
      </c>
      <c r="Q631" s="611"/>
      <c r="R631" s="507" t="s">
        <v>1897</v>
      </c>
      <c r="S631" s="507" t="s">
        <v>3873</v>
      </c>
      <c r="T631" s="1577" t="s">
        <v>3295</v>
      </c>
      <c r="U631" s="611"/>
      <c r="V631" s="611"/>
      <c r="W631" s="611"/>
      <c r="X631" s="611"/>
      <c r="Y631" s="611"/>
      <c r="Z631" s="611"/>
      <c r="AA631" s="611"/>
    </row>
    <row r="632" spans="1:27" ht="12" customHeight="1">
      <c r="A632" s="611"/>
      <c r="B632" s="612"/>
      <c r="C632" s="611"/>
      <c r="D632" s="611"/>
      <c r="E632" s="611"/>
      <c r="F632" s="611"/>
      <c r="G632" s="611"/>
      <c r="H632" s="611"/>
      <c r="I632" s="611"/>
      <c r="J632" s="634" t="s">
        <v>3211</v>
      </c>
      <c r="K632" s="635"/>
      <c r="L632" s="626"/>
      <c r="M632" s="627"/>
      <c r="N632" s="636" t="s">
        <v>333</v>
      </c>
      <c r="O632" s="636" t="s">
        <v>283</v>
      </c>
      <c r="P632" s="627" t="s">
        <v>1184</v>
      </c>
      <c r="Q632" s="611"/>
      <c r="R632" s="507" t="s">
        <v>2314</v>
      </c>
      <c r="S632" s="507" t="s">
        <v>4022</v>
      </c>
      <c r="T632" s="1577" t="s">
        <v>3295</v>
      </c>
      <c r="U632" s="611"/>
      <c r="V632" s="611"/>
      <c r="W632" s="611"/>
      <c r="X632" s="611"/>
      <c r="Y632" s="611"/>
      <c r="Z632" s="611"/>
      <c r="AA632" s="611"/>
    </row>
    <row r="633" spans="1:27" ht="12" customHeight="1">
      <c r="A633" s="611"/>
      <c r="B633" s="612"/>
      <c r="C633" s="611"/>
      <c r="D633" s="611"/>
      <c r="E633" s="611"/>
      <c r="F633" s="611"/>
      <c r="G633" s="611"/>
      <c r="H633" s="611"/>
      <c r="I633" s="611"/>
      <c r="J633" s="634" t="s">
        <v>2327</v>
      </c>
      <c r="K633" s="635"/>
      <c r="L633" s="626"/>
      <c r="M633" s="627"/>
      <c r="N633" s="636" t="s">
        <v>2326</v>
      </c>
      <c r="O633" s="636" t="s">
        <v>3171</v>
      </c>
      <c r="P633" s="627" t="s">
        <v>1185</v>
      </c>
      <c r="Q633" s="611"/>
      <c r="R633" s="507" t="s">
        <v>1898</v>
      </c>
      <c r="S633" s="507"/>
      <c r="T633" s="1577" t="s">
        <v>3295</v>
      </c>
      <c r="U633" s="611"/>
      <c r="V633" s="611"/>
      <c r="W633" s="611"/>
      <c r="X633" s="611"/>
      <c r="Y633" s="611"/>
      <c r="Z633" s="611"/>
      <c r="AA633" s="611"/>
    </row>
    <row r="634" spans="1:27" ht="12" customHeight="1">
      <c r="A634" s="611"/>
      <c r="B634" s="612"/>
      <c r="C634" s="611"/>
      <c r="D634" s="611"/>
      <c r="E634" s="611"/>
      <c r="F634" s="611"/>
      <c r="G634" s="611"/>
      <c r="H634" s="611"/>
      <c r="I634" s="611"/>
      <c r="J634" s="634" t="s">
        <v>2410</v>
      </c>
      <c r="K634" s="635"/>
      <c r="L634" s="626"/>
      <c r="M634" s="627"/>
      <c r="N634" s="636" t="s">
        <v>2328</v>
      </c>
      <c r="O634" s="636" t="s">
        <v>207</v>
      </c>
      <c r="P634" s="627" t="s">
        <v>1186</v>
      </c>
      <c r="Q634" s="611"/>
      <c r="R634" s="507" t="s">
        <v>191</v>
      </c>
      <c r="S634" s="507" t="s">
        <v>261</v>
      </c>
      <c r="T634" s="1577" t="s">
        <v>3295</v>
      </c>
      <c r="U634" s="611"/>
      <c r="V634" s="611"/>
      <c r="W634" s="611"/>
      <c r="X634" s="611"/>
      <c r="Y634" s="611"/>
      <c r="Z634" s="611"/>
      <c r="AA634" s="611"/>
    </row>
    <row r="635" spans="1:27" ht="12" customHeight="1">
      <c r="A635" s="611"/>
      <c r="B635" s="612"/>
      <c r="C635" s="611"/>
      <c r="D635" s="611"/>
      <c r="E635" s="611"/>
      <c r="F635" s="611"/>
      <c r="G635" s="611"/>
      <c r="H635" s="611"/>
      <c r="I635" s="611"/>
      <c r="J635" s="634" t="s">
        <v>2412</v>
      </c>
      <c r="K635" s="635"/>
      <c r="L635" s="626"/>
      <c r="M635" s="627"/>
      <c r="N635" s="636" t="s">
        <v>2411</v>
      </c>
      <c r="O635" s="636" t="s">
        <v>2088</v>
      </c>
      <c r="P635" s="627" t="s">
        <v>1187</v>
      </c>
      <c r="Q635" s="611"/>
      <c r="R635" s="507" t="s">
        <v>1899</v>
      </c>
      <c r="S635" s="507" t="s">
        <v>386</v>
      </c>
      <c r="T635" s="1577" t="s">
        <v>3295</v>
      </c>
      <c r="U635" s="611"/>
      <c r="V635" s="611"/>
      <c r="W635" s="611"/>
      <c r="X635" s="611"/>
      <c r="Y635" s="611"/>
      <c r="Z635" s="611"/>
      <c r="AA635" s="611"/>
    </row>
    <row r="636" spans="1:27" ht="12" customHeight="1">
      <c r="A636" s="611"/>
      <c r="B636" s="612"/>
      <c r="C636" s="611"/>
      <c r="D636" s="611"/>
      <c r="E636" s="611"/>
      <c r="F636" s="611"/>
      <c r="G636" s="611"/>
      <c r="H636" s="611"/>
      <c r="I636" s="611"/>
      <c r="J636" s="634" t="s">
        <v>79</v>
      </c>
      <c r="K636" s="635"/>
      <c r="L636" s="626"/>
      <c r="M636" s="627"/>
      <c r="N636" s="636" t="s">
        <v>2413</v>
      </c>
      <c r="O636" s="636" t="s">
        <v>3161</v>
      </c>
      <c r="P636" s="627" t="s">
        <v>1188</v>
      </c>
      <c r="Q636" s="611"/>
      <c r="R636" s="507" t="s">
        <v>3521</v>
      </c>
      <c r="S636" s="507" t="s">
        <v>2127</v>
      </c>
      <c r="T636" s="1577" t="s">
        <v>3295</v>
      </c>
      <c r="U636" s="611"/>
      <c r="V636" s="611"/>
      <c r="W636" s="611"/>
      <c r="X636" s="611"/>
      <c r="Y636" s="611"/>
      <c r="Z636" s="611"/>
      <c r="AA636" s="611"/>
    </row>
    <row r="637" spans="1:27" ht="12" customHeight="1">
      <c r="A637" s="611"/>
      <c r="B637" s="612"/>
      <c r="C637" s="611"/>
      <c r="D637" s="611"/>
      <c r="E637" s="611"/>
      <c r="F637" s="611"/>
      <c r="G637" s="611"/>
      <c r="H637" s="611"/>
      <c r="I637" s="611"/>
      <c r="J637" s="634" t="s">
        <v>81</v>
      </c>
      <c r="K637" s="635"/>
      <c r="L637" s="626"/>
      <c r="M637" s="627"/>
      <c r="N637" s="636" t="s">
        <v>80</v>
      </c>
      <c r="O637" s="636" t="s">
        <v>2288</v>
      </c>
      <c r="P637" s="627" t="s">
        <v>1189</v>
      </c>
      <c r="Q637" s="611"/>
      <c r="R637" s="507" t="s">
        <v>1900</v>
      </c>
      <c r="S637" s="507" t="s">
        <v>1258</v>
      </c>
      <c r="T637" s="1577" t="s">
        <v>3295</v>
      </c>
      <c r="U637" s="611"/>
      <c r="V637" s="611"/>
      <c r="W637" s="611"/>
      <c r="X637" s="611"/>
      <c r="Y637" s="611"/>
      <c r="Z637" s="611"/>
      <c r="AA637" s="611"/>
    </row>
    <row r="638" spans="1:27" ht="12" customHeight="1">
      <c r="A638" s="611"/>
      <c r="B638" s="612"/>
      <c r="C638" s="611"/>
      <c r="D638" s="611"/>
      <c r="E638" s="611"/>
      <c r="F638" s="611"/>
      <c r="G638" s="611"/>
      <c r="H638" s="611"/>
      <c r="I638" s="611"/>
      <c r="J638" s="634" t="s">
        <v>83</v>
      </c>
      <c r="K638" s="635"/>
      <c r="L638" s="626"/>
      <c r="M638" s="627"/>
      <c r="N638" s="636" t="s">
        <v>82</v>
      </c>
      <c r="O638" s="636" t="s">
        <v>99</v>
      </c>
      <c r="P638" s="627" t="s">
        <v>1190</v>
      </c>
      <c r="Q638" s="611"/>
      <c r="R638" s="507" t="s">
        <v>1901</v>
      </c>
      <c r="S638" s="507" t="s">
        <v>1258</v>
      </c>
      <c r="T638" s="1577" t="s">
        <v>3295</v>
      </c>
      <c r="U638" s="611"/>
      <c r="V638" s="611"/>
      <c r="W638" s="611"/>
      <c r="X638" s="611"/>
      <c r="Y638" s="611"/>
      <c r="Z638" s="611"/>
      <c r="AA638" s="611"/>
    </row>
    <row r="639" spans="1:27" ht="12" customHeight="1">
      <c r="A639" s="611"/>
      <c r="B639" s="612"/>
      <c r="C639" s="611"/>
      <c r="D639" s="611"/>
      <c r="E639" s="611"/>
      <c r="F639" s="611"/>
      <c r="G639" s="611"/>
      <c r="H639" s="611"/>
      <c r="I639" s="611"/>
      <c r="J639" s="634" t="s">
        <v>85</v>
      </c>
      <c r="K639" s="635"/>
      <c r="L639" s="626"/>
      <c r="M639" s="627"/>
      <c r="N639" s="636" t="s">
        <v>84</v>
      </c>
      <c r="O639" s="636" t="s">
        <v>1482</v>
      </c>
      <c r="P639" s="627" t="s">
        <v>1191</v>
      </c>
      <c r="Q639" s="611"/>
      <c r="R639" s="507" t="s">
        <v>1902</v>
      </c>
      <c r="S639" s="507" t="s">
        <v>1258</v>
      </c>
      <c r="T639" s="1577" t="s">
        <v>3295</v>
      </c>
      <c r="U639" s="611"/>
      <c r="V639" s="611"/>
      <c r="W639" s="611"/>
      <c r="X639" s="611"/>
      <c r="Y639" s="611"/>
      <c r="Z639" s="611"/>
      <c r="AA639" s="611"/>
    </row>
    <row r="640" spans="1:27" ht="12" customHeight="1">
      <c r="A640" s="611"/>
      <c r="B640" s="612"/>
      <c r="C640" s="611"/>
      <c r="D640" s="611"/>
      <c r="E640" s="611"/>
      <c r="F640" s="611"/>
      <c r="G640" s="611"/>
      <c r="H640" s="611"/>
      <c r="I640" s="611"/>
      <c r="J640" s="634" t="s">
        <v>212</v>
      </c>
      <c r="K640" s="635"/>
      <c r="L640" s="626"/>
      <c r="M640" s="627"/>
      <c r="N640" s="636" t="s">
        <v>86</v>
      </c>
      <c r="O640" s="636" t="s">
        <v>2414</v>
      </c>
      <c r="P640" s="627" t="s">
        <v>1192</v>
      </c>
      <c r="Q640" s="611"/>
      <c r="R640" s="507" t="s">
        <v>1903</v>
      </c>
      <c r="S640" s="507" t="s">
        <v>1258</v>
      </c>
      <c r="T640" s="1577" t="s">
        <v>3295</v>
      </c>
      <c r="U640" s="611"/>
      <c r="V640" s="611"/>
      <c r="W640" s="611"/>
      <c r="X640" s="611"/>
      <c r="Y640" s="611"/>
      <c r="Z640" s="611"/>
      <c r="AA640" s="611"/>
    </row>
    <row r="641" spans="1:27" ht="12" customHeight="1">
      <c r="A641" s="611"/>
      <c r="B641" s="612"/>
      <c r="C641" s="611"/>
      <c r="D641" s="611"/>
      <c r="E641" s="611"/>
      <c r="F641" s="611"/>
      <c r="G641" s="611"/>
      <c r="H641" s="611"/>
      <c r="I641" s="611"/>
      <c r="J641" s="634" t="s">
        <v>1547</v>
      </c>
      <c r="K641" s="635"/>
      <c r="L641" s="626"/>
      <c r="M641" s="627"/>
      <c r="N641" s="636" t="s">
        <v>1715</v>
      </c>
      <c r="O641" s="636" t="s">
        <v>3870</v>
      </c>
      <c r="P641" s="627" t="s">
        <v>1193</v>
      </c>
      <c r="Q641" s="611"/>
      <c r="R641" s="507" t="s">
        <v>1904</v>
      </c>
      <c r="S641" s="507" t="s">
        <v>2793</v>
      </c>
      <c r="T641" s="1577" t="s">
        <v>3295</v>
      </c>
      <c r="U641" s="611"/>
      <c r="V641" s="611"/>
      <c r="W641" s="611"/>
      <c r="X641" s="611"/>
      <c r="Y641" s="611"/>
      <c r="Z641" s="611"/>
      <c r="AA641" s="611"/>
    </row>
    <row r="642" spans="1:27" ht="12" customHeight="1">
      <c r="A642" s="611"/>
      <c r="B642" s="612"/>
      <c r="C642" s="611"/>
      <c r="D642" s="611"/>
      <c r="E642" s="611"/>
      <c r="F642" s="611"/>
      <c r="G642" s="611"/>
      <c r="H642" s="611"/>
      <c r="I642" s="611"/>
      <c r="J642" s="634" t="s">
        <v>1229</v>
      </c>
      <c r="K642" s="635"/>
      <c r="L642" s="626"/>
      <c r="M642" s="627"/>
      <c r="N642" s="636" t="s">
        <v>1230</v>
      </c>
      <c r="O642" s="636" t="s">
        <v>3876</v>
      </c>
      <c r="P642" s="627" t="s">
        <v>1319</v>
      </c>
      <c r="Q642" s="611"/>
      <c r="R642" s="507" t="s">
        <v>1905</v>
      </c>
      <c r="S642" s="507" t="s">
        <v>1780</v>
      </c>
      <c r="T642" s="1577" t="s">
        <v>3295</v>
      </c>
      <c r="U642" s="611"/>
      <c r="V642" s="611"/>
      <c r="W642" s="611"/>
      <c r="X642" s="611"/>
      <c r="Y642" s="611"/>
      <c r="Z642" s="611"/>
      <c r="AA642" s="611"/>
    </row>
    <row r="643" spans="1:27" ht="12" customHeight="1">
      <c r="A643" s="611"/>
      <c r="B643" s="612"/>
      <c r="C643" s="611"/>
      <c r="D643" s="611"/>
      <c r="E643" s="611"/>
      <c r="F643" s="611"/>
      <c r="G643" s="611"/>
      <c r="H643" s="611"/>
      <c r="I643" s="611"/>
      <c r="J643" s="634" t="s">
        <v>1231</v>
      </c>
      <c r="K643" s="635"/>
      <c r="L643" s="626"/>
      <c r="M643" s="627"/>
      <c r="N643" s="636" t="s">
        <v>1615</v>
      </c>
      <c r="O643" s="636" t="s">
        <v>4026</v>
      </c>
      <c r="P643" s="627" t="s">
        <v>1195</v>
      </c>
      <c r="Q643" s="611"/>
      <c r="R643" s="507" t="s">
        <v>1906</v>
      </c>
      <c r="S643" s="507" t="s">
        <v>284</v>
      </c>
      <c r="T643" s="1577" t="s">
        <v>3295</v>
      </c>
      <c r="U643" s="611"/>
      <c r="V643" s="611"/>
      <c r="W643" s="611"/>
      <c r="X643" s="611"/>
      <c r="Y643" s="611"/>
      <c r="Z643" s="611"/>
      <c r="AA643" s="611"/>
    </row>
    <row r="644" spans="1:27" ht="12" customHeight="1">
      <c r="A644" s="611"/>
      <c r="B644" s="612"/>
      <c r="C644" s="611"/>
      <c r="D644" s="611"/>
      <c r="E644" s="611"/>
      <c r="F644" s="611"/>
      <c r="G644" s="611"/>
      <c r="H644" s="611"/>
      <c r="I644" s="611"/>
      <c r="J644" s="634" t="s">
        <v>1812</v>
      </c>
      <c r="K644" s="635"/>
      <c r="L644" s="626"/>
      <c r="M644" s="627"/>
      <c r="N644" s="507" t="s">
        <v>1909</v>
      </c>
      <c r="O644" s="507" t="s">
        <v>351</v>
      </c>
      <c r="P644" s="1577" t="s">
        <v>3295</v>
      </c>
      <c r="Q644" s="611"/>
      <c r="R644" s="507" t="s">
        <v>1907</v>
      </c>
      <c r="S644" s="507" t="s">
        <v>1258</v>
      </c>
      <c r="T644" s="1577" t="s">
        <v>3295</v>
      </c>
      <c r="U644" s="611"/>
      <c r="V644" s="611"/>
      <c r="W644" s="611"/>
      <c r="X644" s="611"/>
      <c r="Y644" s="611"/>
      <c r="Z644" s="611"/>
      <c r="AA644" s="611"/>
    </row>
    <row r="645" spans="1:27" ht="12" customHeight="1">
      <c r="A645" s="611"/>
      <c r="B645" s="612"/>
      <c r="C645" s="611"/>
      <c r="D645" s="611"/>
      <c r="E645" s="611"/>
      <c r="F645" s="611"/>
      <c r="G645" s="611"/>
      <c r="H645" s="611"/>
      <c r="I645" s="611"/>
      <c r="J645" s="634" t="s">
        <v>1579</v>
      </c>
      <c r="K645" s="635"/>
      <c r="L645" s="626"/>
      <c r="M645" s="627"/>
      <c r="N645" s="636" t="s">
        <v>1813</v>
      </c>
      <c r="O645" s="636" t="s">
        <v>3258</v>
      </c>
      <c r="P645" s="627" t="s">
        <v>1321</v>
      </c>
      <c r="Q645" s="611"/>
      <c r="R645" s="507" t="s">
        <v>1908</v>
      </c>
      <c r="S645" s="507" t="s">
        <v>544</v>
      </c>
      <c r="T645" s="1577" t="s">
        <v>3295</v>
      </c>
      <c r="U645" s="611"/>
      <c r="V645" s="611"/>
      <c r="W645" s="611"/>
      <c r="X645" s="611"/>
      <c r="Y645" s="611"/>
      <c r="Z645" s="611"/>
      <c r="AA645" s="611"/>
    </row>
    <row r="646" spans="1:27" ht="12" customHeight="1">
      <c r="A646" s="611"/>
      <c r="B646" s="612"/>
      <c r="C646" s="611"/>
      <c r="D646" s="611"/>
      <c r="E646" s="611"/>
      <c r="F646" s="611"/>
      <c r="G646" s="611"/>
      <c r="H646" s="611"/>
      <c r="I646" s="611"/>
      <c r="J646" s="634" t="s">
        <v>1580</v>
      </c>
      <c r="K646" s="635"/>
      <c r="L646" s="626"/>
      <c r="M646" s="627"/>
      <c r="N646" s="636" t="s">
        <v>1581</v>
      </c>
      <c r="O646" s="636" t="s">
        <v>1825</v>
      </c>
      <c r="P646" s="627" t="s">
        <v>1322</v>
      </c>
      <c r="Q646" s="611"/>
      <c r="R646" s="507" t="s">
        <v>1909</v>
      </c>
      <c r="S646" s="507" t="s">
        <v>351</v>
      </c>
      <c r="T646" s="1577" t="s">
        <v>3295</v>
      </c>
      <c r="U646" s="611"/>
      <c r="V646" s="611"/>
      <c r="W646" s="611"/>
      <c r="X646" s="611"/>
      <c r="Y646" s="611"/>
      <c r="Z646" s="611"/>
      <c r="AA646" s="611"/>
    </row>
    <row r="647" spans="1:27" ht="12" customHeight="1">
      <c r="A647" s="611"/>
      <c r="B647" s="612"/>
      <c r="C647" s="611"/>
      <c r="D647" s="611"/>
      <c r="E647" s="611"/>
      <c r="F647" s="611"/>
      <c r="G647" s="611"/>
      <c r="H647" s="611"/>
      <c r="I647" s="611"/>
      <c r="J647" s="634" t="s">
        <v>1582</v>
      </c>
      <c r="K647" s="635"/>
      <c r="L647" s="626"/>
      <c r="M647" s="627"/>
      <c r="N647" s="636" t="s">
        <v>3326</v>
      </c>
      <c r="O647" s="636" t="s">
        <v>3397</v>
      </c>
      <c r="P647" s="627" t="s">
        <v>1196</v>
      </c>
      <c r="Q647" s="611"/>
      <c r="R647" s="507" t="s">
        <v>1434</v>
      </c>
      <c r="S647" s="507" t="s">
        <v>2005</v>
      </c>
      <c r="T647" s="1577" t="s">
        <v>3295</v>
      </c>
      <c r="U647" s="611"/>
      <c r="V647" s="611"/>
      <c r="W647" s="611"/>
      <c r="X647" s="611"/>
      <c r="Y647" s="611"/>
      <c r="Z647" s="611"/>
      <c r="AA647" s="611"/>
    </row>
    <row r="648" spans="1:27" ht="12" customHeight="1">
      <c r="A648" s="611"/>
      <c r="B648" s="612"/>
      <c r="C648" s="611"/>
      <c r="D648" s="611"/>
      <c r="E648" s="611"/>
      <c r="F648" s="611"/>
      <c r="G648" s="611"/>
      <c r="H648" s="611"/>
      <c r="I648" s="611"/>
      <c r="J648" s="634" t="s">
        <v>3325</v>
      </c>
      <c r="K648" s="635"/>
      <c r="L648" s="626"/>
      <c r="M648" s="627"/>
      <c r="N648" s="636" t="s">
        <v>3328</v>
      </c>
      <c r="O648" s="636" t="s">
        <v>1097</v>
      </c>
      <c r="P648" s="627" t="s">
        <v>1197</v>
      </c>
      <c r="Q648" s="611"/>
      <c r="R648" s="507" t="s">
        <v>1910</v>
      </c>
      <c r="S648" s="507" t="s">
        <v>1349</v>
      </c>
      <c r="T648" s="1577" t="s">
        <v>3295</v>
      </c>
      <c r="U648" s="611"/>
      <c r="V648" s="611"/>
      <c r="W648" s="611"/>
      <c r="X648" s="611"/>
      <c r="Y648" s="611"/>
      <c r="Z648" s="611"/>
      <c r="AA648" s="611"/>
    </row>
    <row r="649" spans="1:27" ht="12" customHeight="1">
      <c r="A649" s="611"/>
      <c r="B649" s="612"/>
      <c r="C649" s="611"/>
      <c r="D649" s="611"/>
      <c r="E649" s="611"/>
      <c r="F649" s="611"/>
      <c r="G649" s="611"/>
      <c r="H649" s="611"/>
      <c r="I649" s="611"/>
      <c r="J649" s="634" t="s">
        <v>3327</v>
      </c>
      <c r="K649" s="635"/>
      <c r="L649" s="626"/>
      <c r="M649" s="627"/>
      <c r="N649" s="636" t="s">
        <v>2802</v>
      </c>
      <c r="O649" s="636" t="s">
        <v>1235</v>
      </c>
      <c r="P649" s="627" t="s">
        <v>1198</v>
      </c>
      <c r="Q649" s="611"/>
      <c r="R649" s="507" t="s">
        <v>1911</v>
      </c>
      <c r="S649" s="507" t="s">
        <v>2414</v>
      </c>
      <c r="T649" s="1577" t="s">
        <v>3295</v>
      </c>
      <c r="U649" s="611"/>
      <c r="V649" s="611"/>
      <c r="W649" s="611"/>
      <c r="X649" s="611"/>
      <c r="Y649" s="611"/>
      <c r="Z649" s="611"/>
      <c r="AA649" s="611"/>
    </row>
    <row r="650" spans="1:27" ht="12" customHeight="1">
      <c r="A650" s="611"/>
      <c r="B650" s="612"/>
      <c r="C650" s="611"/>
      <c r="D650" s="611"/>
      <c r="E650" s="611"/>
      <c r="F650" s="611"/>
      <c r="G650" s="611"/>
      <c r="H650" s="611"/>
      <c r="I650" s="611"/>
      <c r="J650" s="634" t="s">
        <v>2801</v>
      </c>
      <c r="K650" s="635"/>
      <c r="L650" s="626"/>
      <c r="M650" s="627"/>
      <c r="N650" s="636" t="s">
        <v>3921</v>
      </c>
      <c r="O650" s="636" t="s">
        <v>3134</v>
      </c>
      <c r="P650" s="627" t="s">
        <v>1199</v>
      </c>
      <c r="Q650" s="611"/>
      <c r="R650" s="507" t="s">
        <v>1912</v>
      </c>
      <c r="S650" s="507" t="s">
        <v>1258</v>
      </c>
      <c r="T650" s="1577" t="s">
        <v>3295</v>
      </c>
      <c r="U650" s="611"/>
      <c r="V650" s="611"/>
      <c r="W650" s="611"/>
      <c r="X650" s="611"/>
      <c r="Y650" s="611"/>
      <c r="Z650" s="611"/>
      <c r="AA650" s="611"/>
    </row>
    <row r="651" spans="1:27" ht="12" customHeight="1">
      <c r="A651" s="611"/>
      <c r="B651" s="612"/>
      <c r="C651" s="611"/>
      <c r="D651" s="611"/>
      <c r="E651" s="611"/>
      <c r="F651" s="611"/>
      <c r="G651" s="611"/>
      <c r="H651" s="611"/>
      <c r="I651" s="611"/>
      <c r="J651" s="634" t="s">
        <v>3920</v>
      </c>
      <c r="K651" s="635"/>
      <c r="L651" s="626"/>
      <c r="M651" s="627"/>
      <c r="N651" s="636" t="s">
        <v>3369</v>
      </c>
      <c r="O651" s="636" t="s">
        <v>2127</v>
      </c>
      <c r="P651" s="627" t="s">
        <v>1200</v>
      </c>
      <c r="Q651" s="611"/>
      <c r="R651" s="507" t="s">
        <v>1913</v>
      </c>
      <c r="S651" s="507" t="s">
        <v>1097</v>
      </c>
      <c r="T651" s="1577" t="s">
        <v>3295</v>
      </c>
      <c r="U651" s="611"/>
      <c r="V651" s="611"/>
      <c r="W651" s="611"/>
      <c r="X651" s="611"/>
      <c r="Y651" s="611"/>
      <c r="Z651" s="611"/>
      <c r="AA651" s="611"/>
    </row>
    <row r="652" spans="1:27" ht="12" customHeight="1">
      <c r="A652" s="611"/>
      <c r="B652" s="612"/>
      <c r="C652" s="611"/>
      <c r="D652" s="611"/>
      <c r="E652" s="611"/>
      <c r="F652" s="611"/>
      <c r="G652" s="611"/>
      <c r="H652" s="611"/>
      <c r="I652" s="611"/>
      <c r="J652" s="634" t="s">
        <v>3368</v>
      </c>
      <c r="K652" s="635"/>
      <c r="L652" s="626"/>
      <c r="M652" s="627"/>
      <c r="N652" s="636" t="s">
        <v>2772</v>
      </c>
      <c r="O652" s="636" t="s">
        <v>1099</v>
      </c>
      <c r="P652" s="627" t="s">
        <v>917</v>
      </c>
      <c r="Q652" s="611"/>
      <c r="R652" s="507" t="s">
        <v>2019</v>
      </c>
      <c r="S652" s="507" t="s">
        <v>261</v>
      </c>
      <c r="T652" s="1577" t="s">
        <v>3295</v>
      </c>
      <c r="U652" s="611"/>
      <c r="V652" s="611"/>
      <c r="W652" s="611"/>
      <c r="X652" s="611"/>
      <c r="Y652" s="611"/>
      <c r="Z652" s="611"/>
      <c r="AA652" s="611"/>
    </row>
    <row r="653" spans="1:27" ht="12" customHeight="1">
      <c r="A653" s="611"/>
      <c r="B653" s="612"/>
      <c r="C653" s="611"/>
      <c r="D653" s="611"/>
      <c r="E653" s="611"/>
      <c r="F653" s="611"/>
      <c r="G653" s="611"/>
      <c r="H653" s="611"/>
      <c r="I653" s="611"/>
      <c r="J653" s="634" t="s">
        <v>2770</v>
      </c>
      <c r="K653" s="635"/>
      <c r="L653" s="626"/>
      <c r="M653" s="627"/>
      <c r="N653" s="636" t="s">
        <v>1434</v>
      </c>
      <c r="O653" s="636" t="s">
        <v>2005</v>
      </c>
      <c r="P653" s="1576" t="s">
        <v>1426</v>
      </c>
      <c r="Q653" s="611"/>
      <c r="R653" s="507" t="s">
        <v>2020</v>
      </c>
      <c r="S653" s="507" t="s">
        <v>3221</v>
      </c>
      <c r="T653" s="1577" t="s">
        <v>3295</v>
      </c>
      <c r="U653" s="611"/>
      <c r="V653" s="611"/>
      <c r="W653" s="611"/>
      <c r="X653" s="611"/>
      <c r="Y653" s="611"/>
      <c r="Z653" s="611"/>
      <c r="AA653" s="611"/>
    </row>
    <row r="654" spans="1:27" ht="12" customHeight="1">
      <c r="A654" s="611"/>
      <c r="B654" s="612"/>
      <c r="C654" s="611"/>
      <c r="D654" s="611"/>
      <c r="E654" s="611"/>
      <c r="F654" s="611"/>
      <c r="G654" s="611"/>
      <c r="H654" s="611"/>
      <c r="I654" s="611"/>
      <c r="J654" s="634" t="s">
        <v>2771</v>
      </c>
      <c r="K654" s="635"/>
      <c r="L654" s="626"/>
      <c r="M654" s="627"/>
      <c r="N654" s="507" t="s">
        <v>1434</v>
      </c>
      <c r="O654" s="507" t="s">
        <v>2005</v>
      </c>
      <c r="P654" s="1577" t="s">
        <v>3295</v>
      </c>
      <c r="Q654" s="611"/>
      <c r="R654" s="507" t="s">
        <v>2021</v>
      </c>
      <c r="S654" s="507" t="s">
        <v>3014</v>
      </c>
      <c r="T654" s="1577" t="s">
        <v>3295</v>
      </c>
      <c r="U654" s="611"/>
      <c r="V654" s="611"/>
      <c r="W654" s="611"/>
      <c r="X654" s="611"/>
      <c r="Y654" s="611"/>
      <c r="Z654" s="611"/>
      <c r="AA654" s="611"/>
    </row>
    <row r="655" spans="1:27" ht="12" customHeight="1">
      <c r="A655" s="611"/>
      <c r="B655" s="612"/>
      <c r="C655" s="611"/>
      <c r="D655" s="611"/>
      <c r="E655" s="611"/>
      <c r="F655" s="611"/>
      <c r="G655" s="611"/>
      <c r="H655" s="611"/>
      <c r="I655" s="611"/>
      <c r="J655" s="634" t="s">
        <v>2773</v>
      </c>
      <c r="K655" s="635"/>
      <c r="L655" s="626"/>
      <c r="M655" s="627"/>
      <c r="N655" s="636" t="s">
        <v>2776</v>
      </c>
      <c r="O655" s="636" t="s">
        <v>3900</v>
      </c>
      <c r="P655" s="627" t="s">
        <v>918</v>
      </c>
      <c r="Q655" s="611"/>
      <c r="R655" s="507" t="s">
        <v>2022</v>
      </c>
      <c r="S655" s="507" t="s">
        <v>1258</v>
      </c>
      <c r="T655" s="1577" t="s">
        <v>3295</v>
      </c>
      <c r="U655" s="611"/>
      <c r="V655" s="611"/>
      <c r="W655" s="611"/>
      <c r="X655" s="611"/>
      <c r="Y655" s="611"/>
      <c r="Z655" s="611"/>
      <c r="AA655" s="611"/>
    </row>
    <row r="656" spans="1:27" ht="12" customHeight="1">
      <c r="A656" s="611"/>
      <c r="B656" s="612"/>
      <c r="C656" s="611"/>
      <c r="D656" s="611"/>
      <c r="E656" s="611"/>
      <c r="F656" s="611"/>
      <c r="G656" s="611"/>
      <c r="H656" s="611"/>
      <c r="I656" s="611"/>
      <c r="J656" s="634" t="s">
        <v>2775</v>
      </c>
      <c r="K656" s="635"/>
      <c r="L656" s="626"/>
      <c r="M656" s="627"/>
      <c r="N656" s="636" t="s">
        <v>2779</v>
      </c>
      <c r="O656" s="636" t="s">
        <v>2405</v>
      </c>
      <c r="P656" s="627" t="s">
        <v>2779</v>
      </c>
      <c r="Q656" s="611"/>
      <c r="R656" s="507" t="s">
        <v>2023</v>
      </c>
      <c r="S656" s="507" t="s">
        <v>2793</v>
      </c>
      <c r="T656" s="1577" t="s">
        <v>3295</v>
      </c>
      <c r="U656" s="611"/>
      <c r="V656" s="611"/>
      <c r="W656" s="611"/>
      <c r="X656" s="611"/>
      <c r="Y656" s="611"/>
      <c r="Z656" s="611"/>
      <c r="AA656" s="611"/>
    </row>
    <row r="657" spans="1:27" ht="12" customHeight="1">
      <c r="A657" s="611"/>
      <c r="B657" s="612"/>
      <c r="C657" s="611"/>
      <c r="D657" s="611"/>
      <c r="E657" s="611"/>
      <c r="F657" s="611"/>
      <c r="G657" s="611"/>
      <c r="H657" s="611"/>
      <c r="I657" s="611"/>
      <c r="J657" s="634" t="s">
        <v>2777</v>
      </c>
      <c r="K657" s="635"/>
      <c r="L657" s="626"/>
      <c r="M657" s="627"/>
      <c r="N657" s="507" t="s">
        <v>1911</v>
      </c>
      <c r="O657" s="507" t="s">
        <v>2414</v>
      </c>
      <c r="P657" s="1577" t="s">
        <v>3295</v>
      </c>
      <c r="Q657" s="611"/>
      <c r="R657" s="507" t="s">
        <v>2024</v>
      </c>
      <c r="S657" s="507" t="s">
        <v>3873</v>
      </c>
      <c r="T657" s="1577" t="s">
        <v>3295</v>
      </c>
      <c r="U657" s="611"/>
      <c r="V657" s="611"/>
      <c r="W657" s="611"/>
      <c r="X657" s="611"/>
      <c r="Y657" s="611"/>
      <c r="Z657" s="611"/>
      <c r="AA657" s="611"/>
    </row>
    <row r="658" spans="1:27" ht="12" customHeight="1">
      <c r="A658" s="611"/>
      <c r="B658" s="612"/>
      <c r="C658" s="611"/>
      <c r="D658" s="611"/>
      <c r="E658" s="611"/>
      <c r="F658" s="611"/>
      <c r="G658" s="611"/>
      <c r="H658" s="611"/>
      <c r="I658" s="611"/>
      <c r="J658" s="634" t="s">
        <v>2778</v>
      </c>
      <c r="K658" s="635"/>
      <c r="L658" s="626"/>
      <c r="M658" s="627"/>
      <c r="N658" s="636" t="s">
        <v>3780</v>
      </c>
      <c r="O658" s="636" t="s">
        <v>99</v>
      </c>
      <c r="P658" s="627" t="s">
        <v>802</v>
      </c>
      <c r="Q658" s="611"/>
      <c r="R658" s="507" t="s">
        <v>2026</v>
      </c>
      <c r="S658" s="507" t="s">
        <v>261</v>
      </c>
      <c r="T658" s="1577" t="s">
        <v>3295</v>
      </c>
      <c r="U658" s="611"/>
      <c r="V658" s="611"/>
      <c r="W658" s="611"/>
      <c r="X658" s="611"/>
      <c r="Y658" s="611"/>
      <c r="Z658" s="611"/>
      <c r="AA658" s="611"/>
    </row>
    <row r="659" spans="1:27" ht="12" customHeight="1">
      <c r="A659" s="611"/>
      <c r="B659" s="612"/>
      <c r="C659" s="611"/>
      <c r="D659" s="611"/>
      <c r="E659" s="611"/>
      <c r="F659" s="611"/>
      <c r="G659" s="611"/>
      <c r="H659" s="611"/>
      <c r="I659" s="611"/>
      <c r="J659" s="634" t="s">
        <v>2780</v>
      </c>
      <c r="K659" s="635"/>
      <c r="L659" s="626"/>
      <c r="M659" s="627"/>
      <c r="N659" s="636" t="s">
        <v>1391</v>
      </c>
      <c r="O659" s="636" t="s">
        <v>2127</v>
      </c>
      <c r="P659" s="627" t="s">
        <v>803</v>
      </c>
      <c r="Q659" s="611"/>
      <c r="R659" s="507" t="s">
        <v>2027</v>
      </c>
      <c r="S659" s="507" t="s">
        <v>261</v>
      </c>
      <c r="T659" s="1577" t="s">
        <v>3295</v>
      </c>
      <c r="U659" s="611"/>
      <c r="V659" s="611"/>
      <c r="W659" s="611"/>
      <c r="X659" s="611"/>
      <c r="Y659" s="611"/>
      <c r="Z659" s="611"/>
      <c r="AA659" s="611"/>
    </row>
    <row r="660" spans="1:27" ht="12" customHeight="1">
      <c r="A660" s="611"/>
      <c r="B660" s="612"/>
      <c r="C660" s="611"/>
      <c r="D660" s="611"/>
      <c r="E660" s="611"/>
      <c r="F660" s="611"/>
      <c r="G660" s="611"/>
      <c r="H660" s="611"/>
      <c r="I660" s="611"/>
      <c r="J660" s="634" t="s">
        <v>3676</v>
      </c>
      <c r="K660" s="635"/>
      <c r="L660" s="626"/>
      <c r="M660" s="627"/>
      <c r="N660" s="636" t="s">
        <v>2302</v>
      </c>
      <c r="O660" s="636" t="s">
        <v>3041</v>
      </c>
      <c r="P660" s="627" t="s">
        <v>798</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462</v>
      </c>
      <c r="K661" s="635"/>
      <c r="L661" s="626"/>
      <c r="M661" s="627"/>
      <c r="N661" s="636" t="s">
        <v>463</v>
      </c>
      <c r="O661" s="636" t="s">
        <v>2292</v>
      </c>
      <c r="P661" s="627" t="s">
        <v>799</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1744</v>
      </c>
      <c r="K662" s="635"/>
      <c r="L662" s="626"/>
      <c r="M662" s="627"/>
      <c r="N662" s="636" t="s">
        <v>1746</v>
      </c>
      <c r="O662" s="636" t="s">
        <v>2790</v>
      </c>
      <c r="P662" s="627" t="s">
        <v>800</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1745</v>
      </c>
      <c r="K663" s="635"/>
      <c r="L663" s="626"/>
      <c r="M663" s="627"/>
      <c r="N663" s="636" t="s">
        <v>2289</v>
      </c>
      <c r="O663" s="636" t="s">
        <v>261</v>
      </c>
      <c r="P663" s="627" t="s">
        <v>801</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1618</v>
      </c>
      <c r="K664" s="635"/>
      <c r="L664" s="626"/>
      <c r="M664" s="627"/>
      <c r="N664" s="636" t="s">
        <v>4020</v>
      </c>
      <c r="O664" s="636" t="s">
        <v>1476</v>
      </c>
      <c r="P664" s="627" t="s">
        <v>681</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3622</v>
      </c>
      <c r="K665" s="635"/>
      <c r="L665" s="626"/>
      <c r="M665" s="627"/>
      <c r="N665" s="507" t="s">
        <v>1912</v>
      </c>
      <c r="O665" s="507" t="s">
        <v>1258</v>
      </c>
      <c r="P665" s="1577" t="s">
        <v>3295</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4101</v>
      </c>
      <c r="K666" s="635"/>
      <c r="L666" s="626"/>
      <c r="M666" s="627"/>
      <c r="N666" s="636" t="s">
        <v>3397</v>
      </c>
      <c r="O666" s="636" t="s">
        <v>101</v>
      </c>
      <c r="P666" s="627" t="s">
        <v>682</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3127</v>
      </c>
      <c r="K667" s="635"/>
      <c r="L667" s="626"/>
      <c r="M667" s="627"/>
      <c r="N667" s="636" t="s">
        <v>2197</v>
      </c>
      <c r="O667" s="636" t="s">
        <v>2196</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1551</v>
      </c>
      <c r="K668" s="635"/>
      <c r="L668" s="626"/>
      <c r="M668" s="627"/>
      <c r="N668" s="636" t="s">
        <v>2253</v>
      </c>
      <c r="O668" s="636" t="s">
        <v>4025</v>
      </c>
      <c r="P668" s="627" t="s">
        <v>683</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1707</v>
      </c>
      <c r="K669" s="635"/>
      <c r="L669" s="626"/>
      <c r="M669" s="627"/>
      <c r="N669" s="636" t="s">
        <v>2255</v>
      </c>
      <c r="O669" s="636" t="s">
        <v>356</v>
      </c>
      <c r="P669" s="627" t="s">
        <v>684</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2252</v>
      </c>
      <c r="K670" s="635"/>
      <c r="L670" s="626"/>
      <c r="M670" s="627"/>
      <c r="N670" s="507" t="s">
        <v>1913</v>
      </c>
      <c r="O670" s="507" t="s">
        <v>1097</v>
      </c>
      <c r="P670" s="1577" t="s">
        <v>3295</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2254</v>
      </c>
      <c r="K671" s="635"/>
      <c r="L671" s="626"/>
      <c r="M671" s="627"/>
      <c r="N671" s="636" t="s">
        <v>1892</v>
      </c>
      <c r="O671" s="636" t="s">
        <v>3167</v>
      </c>
      <c r="P671" s="627" t="s">
        <v>685</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2256</v>
      </c>
      <c r="K672" s="635"/>
      <c r="L672" s="626"/>
      <c r="M672" s="627"/>
      <c r="N672" s="636" t="s">
        <v>1894</v>
      </c>
      <c r="O672" s="636" t="s">
        <v>4025</v>
      </c>
      <c r="P672" s="627" t="s">
        <v>686</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1891</v>
      </c>
      <c r="K673" s="635"/>
      <c r="L673" s="626"/>
      <c r="M673" s="627"/>
      <c r="N673" s="636" t="s">
        <v>3198</v>
      </c>
      <c r="O673" s="636" t="s">
        <v>1748</v>
      </c>
      <c r="P673" s="627" t="s">
        <v>687</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1893</v>
      </c>
      <c r="K674" s="635"/>
      <c r="L674" s="626"/>
      <c r="M674" s="627"/>
      <c r="N674" s="636" t="s">
        <v>1237</v>
      </c>
      <c r="O674" s="636" t="s">
        <v>543</v>
      </c>
      <c r="P674" s="627" t="s">
        <v>805</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3118</v>
      </c>
      <c r="K675" s="635"/>
      <c r="L675" s="626"/>
      <c r="M675" s="627"/>
      <c r="N675" s="636" t="s">
        <v>2099</v>
      </c>
      <c r="O675" s="636" t="s">
        <v>1003</v>
      </c>
      <c r="P675" s="627" t="s">
        <v>691</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1236</v>
      </c>
      <c r="K676" s="635"/>
      <c r="L676" s="626"/>
      <c r="M676" s="627"/>
      <c r="N676" s="507" t="s">
        <v>2019</v>
      </c>
      <c r="O676" s="507" t="s">
        <v>261</v>
      </c>
      <c r="P676" s="1577" t="s">
        <v>3295</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1955</v>
      </c>
      <c r="K677" s="635"/>
      <c r="L677" s="626"/>
      <c r="M677" s="627"/>
      <c r="N677" s="636" t="s">
        <v>3004</v>
      </c>
      <c r="O677" s="636" t="s">
        <v>1833</v>
      </c>
      <c r="P677" s="627" t="s">
        <v>811</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3002</v>
      </c>
      <c r="K678" s="635"/>
      <c r="L678" s="626"/>
      <c r="M678" s="627"/>
      <c r="N678" s="636" t="s">
        <v>3137</v>
      </c>
      <c r="O678" s="636" t="s">
        <v>2087</v>
      </c>
      <c r="P678" s="627" t="s">
        <v>812</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3003</v>
      </c>
      <c r="K679" s="635"/>
      <c r="L679" s="626"/>
      <c r="M679" s="627"/>
      <c r="N679" s="636" t="s">
        <v>3139</v>
      </c>
      <c r="O679" s="636" t="s">
        <v>3873</v>
      </c>
      <c r="P679" s="627" t="s">
        <v>813</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3136</v>
      </c>
      <c r="K680" s="635"/>
      <c r="L680" s="626"/>
      <c r="M680" s="627"/>
      <c r="N680" s="636" t="s">
        <v>3141</v>
      </c>
      <c r="O680" s="636" t="s">
        <v>283</v>
      </c>
      <c r="P680" s="627" t="s">
        <v>814</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3138</v>
      </c>
      <c r="K681" s="635"/>
      <c r="L681" s="626"/>
      <c r="M681" s="627"/>
      <c r="N681" s="636" t="s">
        <v>912</v>
      </c>
      <c r="O681" s="636" t="s">
        <v>3135</v>
      </c>
      <c r="P681" s="627" t="s">
        <v>815</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3140</v>
      </c>
      <c r="K682" s="635"/>
      <c r="L682" s="626"/>
      <c r="M682" s="627"/>
      <c r="N682" s="636" t="s">
        <v>3930</v>
      </c>
      <c r="O682" s="636" t="s">
        <v>3044</v>
      </c>
      <c r="P682" s="627" t="s">
        <v>816</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911</v>
      </c>
      <c r="K683" s="635"/>
      <c r="L683" s="626"/>
      <c r="M683" s="627"/>
      <c r="N683" s="636" t="s">
        <v>3828</v>
      </c>
      <c r="O683" s="636" t="s">
        <v>4023</v>
      </c>
      <c r="P683" s="627" t="s">
        <v>817</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3929</v>
      </c>
      <c r="K684" s="635"/>
      <c r="L684" s="626"/>
      <c r="M684" s="627"/>
      <c r="N684" s="636" t="s">
        <v>2016</v>
      </c>
      <c r="O684" s="636" t="s">
        <v>540</v>
      </c>
      <c r="P684" s="627" t="s">
        <v>818</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3827</v>
      </c>
      <c r="K685" s="635"/>
      <c r="L685" s="626"/>
      <c r="M685" s="627"/>
      <c r="N685" s="636" t="s">
        <v>3917</v>
      </c>
      <c r="O685" s="636" t="s">
        <v>1482</v>
      </c>
      <c r="P685" s="627" t="s">
        <v>925</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2015</v>
      </c>
      <c r="K686" s="635"/>
      <c r="L686" s="626"/>
      <c r="M686" s="627"/>
      <c r="N686" s="636" t="s">
        <v>1392</v>
      </c>
      <c r="O686" s="636" t="s">
        <v>2190</v>
      </c>
      <c r="P686" s="627" t="s">
        <v>926</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3916</v>
      </c>
      <c r="K687" s="635"/>
      <c r="L687" s="626"/>
      <c r="M687" s="627"/>
      <c r="N687" s="507" t="s">
        <v>1910</v>
      </c>
      <c r="O687" s="507" t="s">
        <v>1349</v>
      </c>
      <c r="P687" s="1577" t="s">
        <v>3295</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3918</v>
      </c>
      <c r="K688" s="635"/>
      <c r="L688" s="626"/>
      <c r="M688" s="627"/>
      <c r="N688" s="636" t="s">
        <v>2555</v>
      </c>
      <c r="O688" s="636" t="s">
        <v>437</v>
      </c>
      <c r="P688" s="627" t="s">
        <v>927</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2553</v>
      </c>
      <c r="K689" s="635"/>
      <c r="L689" s="626"/>
      <c r="M689" s="627"/>
      <c r="N689" s="636" t="s">
        <v>3278</v>
      </c>
      <c r="O689" s="636" t="s">
        <v>2290</v>
      </c>
      <c r="P689" s="627" t="s">
        <v>928</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2554</v>
      </c>
      <c r="K690" s="635"/>
      <c r="L690" s="626"/>
      <c r="M690" s="627"/>
      <c r="N690" s="636" t="s">
        <v>2639</v>
      </c>
      <c r="O690" s="636" t="s">
        <v>2005</v>
      </c>
      <c r="P690" s="627" t="s">
        <v>808</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3276</v>
      </c>
      <c r="K691" s="635"/>
      <c r="L691" s="626"/>
      <c r="M691" s="627"/>
      <c r="N691" s="636" t="s">
        <v>1611</v>
      </c>
      <c r="O691" s="636" t="s">
        <v>3585</v>
      </c>
      <c r="P691" s="627" t="s">
        <v>809</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3277</v>
      </c>
      <c r="K692" s="635"/>
      <c r="L692" s="626"/>
      <c r="M692" s="627"/>
      <c r="N692" s="636" t="s">
        <v>1613</v>
      </c>
      <c r="O692" s="636" t="s">
        <v>350</v>
      </c>
      <c r="P692" s="627" t="s">
        <v>551</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2638</v>
      </c>
      <c r="K693" s="635"/>
      <c r="L693" s="626"/>
      <c r="M693" s="627"/>
      <c r="N693" s="636" t="s">
        <v>3800</v>
      </c>
      <c r="O693" s="636" t="s">
        <v>1258</v>
      </c>
      <c r="P693" s="627" t="s">
        <v>552</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2640</v>
      </c>
      <c r="K694" s="635"/>
      <c r="L694" s="626"/>
      <c r="M694" s="627"/>
      <c r="N694" s="636" t="s">
        <v>3147</v>
      </c>
      <c r="O694" s="636" t="s">
        <v>283</v>
      </c>
      <c r="P694" s="627" t="s">
        <v>553</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1610</v>
      </c>
      <c r="K695" s="635"/>
      <c r="L695" s="626"/>
      <c r="M695" s="627"/>
      <c r="N695" s="636" t="s">
        <v>3150</v>
      </c>
      <c r="O695" s="636" t="s">
        <v>3585</v>
      </c>
      <c r="P695" s="627" t="s">
        <v>554</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1612</v>
      </c>
      <c r="K696" s="635"/>
      <c r="L696" s="626"/>
      <c r="M696" s="627"/>
      <c r="N696" s="636" t="s">
        <v>3152</v>
      </c>
      <c r="O696" s="636" t="s">
        <v>264</v>
      </c>
      <c r="P696" s="627" t="s">
        <v>555</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1614</v>
      </c>
      <c r="K697" s="635"/>
      <c r="L697" s="626"/>
      <c r="M697" s="627"/>
      <c r="N697" s="636" t="s">
        <v>1080</v>
      </c>
      <c r="O697" s="636" t="s">
        <v>3754</v>
      </c>
      <c r="P697" s="627" t="s">
        <v>556</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3886</v>
      </c>
      <c r="K698" s="635"/>
      <c r="L698" s="626"/>
      <c r="M698" s="627"/>
      <c r="N698" s="636" t="s">
        <v>1393</v>
      </c>
      <c r="O698" s="636" t="s">
        <v>3401</v>
      </c>
      <c r="P698" s="627" t="s">
        <v>557</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3801</v>
      </c>
      <c r="K699" s="635"/>
      <c r="L699" s="626"/>
      <c r="M699" s="627"/>
      <c r="N699" s="507" t="s">
        <v>2020</v>
      </c>
      <c r="O699" s="507" t="s">
        <v>3221</v>
      </c>
      <c r="P699" s="1577" t="s">
        <v>3295</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3695</v>
      </c>
      <c r="K700" s="635"/>
      <c r="L700" s="626"/>
      <c r="M700" s="627"/>
      <c r="N700" s="507" t="s">
        <v>2021</v>
      </c>
      <c r="O700" s="507" t="s">
        <v>3014</v>
      </c>
      <c r="P700" s="1577" t="s">
        <v>3295</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3148</v>
      </c>
      <c r="K701" s="635"/>
      <c r="L701" s="626"/>
      <c r="M701" s="627"/>
      <c r="N701" s="636" t="s">
        <v>2096</v>
      </c>
      <c r="O701" s="636" t="s">
        <v>2236</v>
      </c>
      <c r="P701" s="627" t="s">
        <v>558</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3149</v>
      </c>
      <c r="K702" s="635"/>
      <c r="L702" s="626"/>
      <c r="M702" s="627"/>
      <c r="N702" s="636" t="s">
        <v>3330</v>
      </c>
      <c r="O702" s="636" t="s">
        <v>283</v>
      </c>
      <c r="P702" s="627" t="s">
        <v>559</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3151</v>
      </c>
      <c r="K703" s="635"/>
      <c r="L703" s="626"/>
      <c r="M703" s="627"/>
      <c r="N703" s="636" t="s">
        <v>2154</v>
      </c>
      <c r="O703" s="636" t="s">
        <v>3585</v>
      </c>
      <c r="P703" s="627" t="s">
        <v>560</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1079</v>
      </c>
      <c r="K704" s="635"/>
      <c r="L704" s="626"/>
      <c r="M704" s="627"/>
      <c r="N704" s="636" t="s">
        <v>3494</v>
      </c>
      <c r="O704" s="636" t="s">
        <v>2937</v>
      </c>
      <c r="P704" s="627" t="s">
        <v>561</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1081</v>
      </c>
      <c r="K705" s="635"/>
      <c r="L705" s="626"/>
      <c r="M705" s="627"/>
      <c r="N705" s="636" t="s">
        <v>3386</v>
      </c>
      <c r="O705" s="636" t="s">
        <v>3397</v>
      </c>
      <c r="P705" s="627" t="s">
        <v>562</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1082</v>
      </c>
      <c r="K706" s="635"/>
      <c r="L706" s="626"/>
      <c r="M706" s="627"/>
      <c r="N706" s="636" t="s">
        <v>3388</v>
      </c>
      <c r="O706" s="636" t="s">
        <v>3754</v>
      </c>
      <c r="P706" s="627" t="s">
        <v>563</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3329</v>
      </c>
      <c r="K707" s="635"/>
      <c r="L707" s="626"/>
      <c r="M707" s="627"/>
      <c r="N707" s="636" t="s">
        <v>1757</v>
      </c>
      <c r="O707" s="636" t="s">
        <v>3165</v>
      </c>
      <c r="P707" s="627" t="s">
        <v>564</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215</v>
      </c>
      <c r="K708" s="635"/>
      <c r="L708" s="626"/>
      <c r="M708" s="627"/>
      <c r="N708" s="636" t="s">
        <v>1759</v>
      </c>
      <c r="O708" s="636" t="s">
        <v>1821</v>
      </c>
      <c r="P708" s="627" t="s">
        <v>565</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1988</v>
      </c>
      <c r="K709" s="635"/>
      <c r="L709" s="626"/>
      <c r="M709" s="627"/>
      <c r="N709" s="636" t="s">
        <v>3194</v>
      </c>
      <c r="O709" s="636" t="s">
        <v>542</v>
      </c>
      <c r="P709" s="627" t="s">
        <v>694</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3499</v>
      </c>
      <c r="K710" s="635"/>
      <c r="L710" s="626"/>
      <c r="M710" s="627"/>
      <c r="N710" s="636" t="s">
        <v>3094</v>
      </c>
      <c r="O710" s="636" t="s">
        <v>284</v>
      </c>
      <c r="P710" s="627" t="s">
        <v>695</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3387</v>
      </c>
      <c r="K711" s="635"/>
      <c r="L711" s="626"/>
      <c r="M711" s="627"/>
      <c r="N711" s="636" t="s">
        <v>3096</v>
      </c>
      <c r="O711" s="636" t="s">
        <v>354</v>
      </c>
      <c r="P711" s="627" t="s">
        <v>696</v>
      </c>
      <c r="Q711" s="1578"/>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3071</v>
      </c>
      <c r="K712" s="635"/>
      <c r="L712" s="626"/>
      <c r="M712" s="627"/>
      <c r="N712" s="636" t="s">
        <v>3099</v>
      </c>
      <c r="O712" s="636" t="s">
        <v>191</v>
      </c>
      <c r="P712" s="627" t="s">
        <v>444</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1758</v>
      </c>
      <c r="K713" s="635"/>
      <c r="L713" s="626"/>
      <c r="M713" s="627"/>
      <c r="N713" s="636" t="s">
        <v>689</v>
      </c>
      <c r="O713" s="636" t="s">
        <v>2006</v>
      </c>
      <c r="P713" s="627" t="s">
        <v>445</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3193</v>
      </c>
      <c r="K714" s="635"/>
      <c r="L714" s="626"/>
      <c r="M714" s="627"/>
      <c r="N714" s="636" t="s">
        <v>3272</v>
      </c>
      <c r="O714" s="636" t="s">
        <v>1235</v>
      </c>
      <c r="P714" s="627" t="s">
        <v>446</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3241</v>
      </c>
      <c r="K715" s="635"/>
      <c r="L715" s="626"/>
      <c r="M715" s="627"/>
      <c r="N715" s="636" t="s">
        <v>3264</v>
      </c>
      <c r="O715" s="636" t="s">
        <v>99</v>
      </c>
      <c r="P715" s="627" t="s">
        <v>1668</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3095</v>
      </c>
      <c r="K716" s="635"/>
      <c r="L716" s="626"/>
      <c r="M716" s="627"/>
      <c r="N716" s="636" t="s">
        <v>1435</v>
      </c>
      <c r="O716" s="636" t="s">
        <v>3014</v>
      </c>
      <c r="P716" s="1576" t="s">
        <v>1426</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2987</v>
      </c>
      <c r="K717" s="635"/>
      <c r="L717" s="626"/>
      <c r="M717" s="627"/>
      <c r="N717" s="636" t="s">
        <v>3265</v>
      </c>
      <c r="O717" s="636" t="s">
        <v>3014</v>
      </c>
      <c r="P717" s="627" t="s">
        <v>450</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899</v>
      </c>
      <c r="K718" s="635"/>
      <c r="L718" s="626"/>
      <c r="M718" s="627"/>
      <c r="N718" s="636" t="s">
        <v>3266</v>
      </c>
      <c r="O718" s="636" t="s">
        <v>2791</v>
      </c>
      <c r="P718" s="627" t="s">
        <v>451</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688</v>
      </c>
      <c r="K719" s="635"/>
      <c r="L719" s="626"/>
      <c r="M719" s="627"/>
      <c r="N719" s="636" t="s">
        <v>3483</v>
      </c>
      <c r="O719" s="636" t="s">
        <v>2875</v>
      </c>
      <c r="P719" s="627" t="s">
        <v>452</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3271</v>
      </c>
      <c r="K720" s="635"/>
      <c r="L720" s="626"/>
      <c r="M720" s="627"/>
      <c r="N720" s="636" t="s">
        <v>3484</v>
      </c>
      <c r="O720" s="636" t="s">
        <v>261</v>
      </c>
      <c r="P720" s="627" t="s">
        <v>697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3263</v>
      </c>
      <c r="K721" s="635"/>
      <c r="L721" s="626"/>
      <c r="M721" s="627"/>
      <c r="N721" s="636" t="s">
        <v>3574</v>
      </c>
      <c r="O721" s="636" t="s">
        <v>2793</v>
      </c>
      <c r="P721" s="627" t="s">
        <v>698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86"/>
      <c r="K722" s="787"/>
      <c r="L722" s="787"/>
      <c r="M722" s="788"/>
      <c r="N722" s="636" t="s">
        <v>3575</v>
      </c>
      <c r="O722" s="636" t="s">
        <v>1833</v>
      </c>
      <c r="P722" s="627" t="s">
        <v>699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3576</v>
      </c>
      <c r="O723" s="636" t="s">
        <v>3750</v>
      </c>
      <c r="P723" s="627" t="s">
        <v>700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3320</v>
      </c>
      <c r="O724" s="636" t="s">
        <v>3384</v>
      </c>
      <c r="P724" s="627" t="s">
        <v>701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2644</v>
      </c>
      <c r="O725" s="636" t="s">
        <v>3752</v>
      </c>
      <c r="P725" s="627" t="s">
        <v>568</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2645</v>
      </c>
      <c r="O726" s="636" t="s">
        <v>202</v>
      </c>
      <c r="P726" s="627" t="s">
        <v>569</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2847</v>
      </c>
      <c r="O727" s="636" t="s">
        <v>264</v>
      </c>
      <c r="P727" s="627" t="s">
        <v>570</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2022</v>
      </c>
      <c r="O728" s="507" t="s">
        <v>1258</v>
      </c>
      <c r="P728" s="1577" t="s">
        <v>3295</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1394</v>
      </c>
      <c r="O729" s="636" t="s">
        <v>3257</v>
      </c>
      <c r="P729" s="627" t="s">
        <v>571</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2848</v>
      </c>
      <c r="O730" s="636" t="s">
        <v>4025</v>
      </c>
      <c r="P730" s="627" t="s">
        <v>572</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2849</v>
      </c>
      <c r="O731" s="636" t="s">
        <v>3585</v>
      </c>
      <c r="P731" s="627" t="s">
        <v>2849</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2850</v>
      </c>
      <c r="O732" s="636" t="s">
        <v>2793</v>
      </c>
      <c r="P732" s="627" t="s">
        <v>573</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2851</v>
      </c>
      <c r="O733" s="636" t="s">
        <v>261</v>
      </c>
      <c r="P733" s="627" t="s">
        <v>574</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2852</v>
      </c>
      <c r="O734" s="636" t="s">
        <v>1221</v>
      </c>
      <c r="P734" s="627" t="s">
        <v>575</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2853</v>
      </c>
      <c r="O735" s="636" t="s">
        <v>1778</v>
      </c>
      <c r="P735" s="627" t="s">
        <v>834</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2856</v>
      </c>
      <c r="O736" s="636" t="s">
        <v>2127</v>
      </c>
      <c r="P736" s="627" t="s">
        <v>2856</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2857</v>
      </c>
      <c r="O737" s="636" t="s">
        <v>1003</v>
      </c>
      <c r="P737" s="627" t="s">
        <v>835</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2023</v>
      </c>
      <c r="O738" s="507" t="s">
        <v>2793</v>
      </c>
      <c r="P738" s="1577" t="s">
        <v>3295</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2858</v>
      </c>
      <c r="O739" s="636" t="s">
        <v>191</v>
      </c>
      <c r="P739" s="627" t="s">
        <v>836</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2859</v>
      </c>
      <c r="O740" s="636" t="s">
        <v>386</v>
      </c>
      <c r="P740" s="627" t="s">
        <v>837</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2860</v>
      </c>
      <c r="O741" s="636" t="s">
        <v>3257</v>
      </c>
      <c r="P741" s="627" t="s">
        <v>838</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2861</v>
      </c>
      <c r="O742" s="636" t="s">
        <v>261</v>
      </c>
      <c r="P742" s="627" t="s">
        <v>839</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2862</v>
      </c>
      <c r="O743" s="636" t="s">
        <v>3041</v>
      </c>
      <c r="P743" s="627" t="s">
        <v>840</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2863</v>
      </c>
      <c r="O744" s="636" t="s">
        <v>2292</v>
      </c>
      <c r="P744" s="1576" t="s">
        <v>1426</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2979</v>
      </c>
      <c r="O745" s="636" t="s">
        <v>1778</v>
      </c>
      <c r="P745" s="627" t="s">
        <v>841</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2980</v>
      </c>
      <c r="O746" s="636" t="s">
        <v>1235</v>
      </c>
      <c r="P746" s="627" t="s">
        <v>716</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2024</v>
      </c>
      <c r="O747" s="507" t="s">
        <v>3873</v>
      </c>
      <c r="P747" s="1577" t="s">
        <v>3295</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2981</v>
      </c>
      <c r="O748" s="636" t="s">
        <v>542</v>
      </c>
      <c r="P748" s="627" t="s">
        <v>717</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2982</v>
      </c>
      <c r="O749" s="636" t="s">
        <v>437</v>
      </c>
      <c r="P749" s="627" t="s">
        <v>718</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2983</v>
      </c>
      <c r="O750" s="636" t="s">
        <v>459</v>
      </c>
      <c r="P750" s="627" t="s">
        <v>719</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2864</v>
      </c>
      <c r="O751" s="636" t="s">
        <v>3135</v>
      </c>
      <c r="P751" s="627" t="s">
        <v>720</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2865</v>
      </c>
      <c r="O752" s="636" t="s">
        <v>2088</v>
      </c>
      <c r="P752" s="627" t="s">
        <v>721</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2866</v>
      </c>
      <c r="O753" s="636" t="s">
        <v>2877</v>
      </c>
      <c r="P753" s="627" t="s">
        <v>722</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2732</v>
      </c>
      <c r="O754" s="636" t="s">
        <v>351</v>
      </c>
      <c r="P754" s="627" t="s">
        <v>723</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2733</v>
      </c>
      <c r="O755" s="636" t="s">
        <v>97</v>
      </c>
      <c r="P755" s="627" t="s">
        <v>843</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643</v>
      </c>
      <c r="O756" s="636" t="s">
        <v>3754</v>
      </c>
      <c r="P756" s="627" t="s">
        <v>844</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99</v>
      </c>
      <c r="O757" s="636" t="s">
        <v>3750</v>
      </c>
      <c r="P757" s="627" t="s">
        <v>845</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644</v>
      </c>
      <c r="O758" s="636" t="s">
        <v>3980</v>
      </c>
      <c r="P758" s="627" t="s">
        <v>589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645</v>
      </c>
      <c r="O759" s="636" t="s">
        <v>543</v>
      </c>
      <c r="P759" s="627" t="s">
        <v>590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646</v>
      </c>
      <c r="O760" s="636" t="s">
        <v>3200</v>
      </c>
      <c r="P760" s="627" t="s">
        <v>591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647</v>
      </c>
      <c r="O761" s="636" t="s">
        <v>2292</v>
      </c>
      <c r="P761" s="627" t="s">
        <v>592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519</v>
      </c>
      <c r="O762" s="636" t="s">
        <v>3046</v>
      </c>
      <c r="P762" s="627" t="s">
        <v>593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520</v>
      </c>
      <c r="O763" s="636" t="s">
        <v>103</v>
      </c>
      <c r="P763" s="1576" t="s">
        <v>1426</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521</v>
      </c>
      <c r="O764" s="636" t="s">
        <v>1095</v>
      </c>
      <c r="P764" s="627" t="s">
        <v>594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275</v>
      </c>
      <c r="O765" s="636" t="s">
        <v>2006</v>
      </c>
      <c r="P765" s="627" t="s">
        <v>595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2711</v>
      </c>
      <c r="O766" s="636" t="s">
        <v>1003</v>
      </c>
      <c r="P766" s="627" t="s">
        <v>724</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2026</v>
      </c>
      <c r="O767" s="507" t="s">
        <v>261</v>
      </c>
      <c r="P767" s="1577" t="s">
        <v>3295</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2569</v>
      </c>
      <c r="O768" s="636" t="s">
        <v>1235</v>
      </c>
      <c r="P768" s="627" t="s">
        <v>725</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2570</v>
      </c>
      <c r="O769" s="636" t="s">
        <v>2656</v>
      </c>
      <c r="P769" s="627" t="s">
        <v>726</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2567</v>
      </c>
      <c r="O770" s="636" t="s">
        <v>1824</v>
      </c>
      <c r="P770" s="627" t="s">
        <v>727</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2027</v>
      </c>
      <c r="O771" s="507" t="s">
        <v>261</v>
      </c>
      <c r="P771" s="1577" t="s">
        <v>3295</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2568</v>
      </c>
      <c r="O772" s="636" t="s">
        <v>2005</v>
      </c>
      <c r="P772" s="627" t="s">
        <v>728</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2440</v>
      </c>
      <c r="O773" s="636" t="s">
        <v>460</v>
      </c>
      <c r="P773" s="627" t="s">
        <v>729</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2441</v>
      </c>
      <c r="O774" s="636" t="s">
        <v>2190</v>
      </c>
      <c r="P774" s="627" t="s">
        <v>730</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2442</v>
      </c>
      <c r="O775" s="636" t="s">
        <v>2877</v>
      </c>
      <c r="P775" s="627" t="s">
        <v>731</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2443</v>
      </c>
      <c r="O776" s="636" t="s">
        <v>3165</v>
      </c>
      <c r="P776" s="627" t="s">
        <v>732</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2444</v>
      </c>
      <c r="O777" s="636" t="s">
        <v>459</v>
      </c>
      <c r="P777" s="627" t="s">
        <v>733</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3623</v>
      </c>
      <c r="O778" s="636" t="s">
        <v>1003</v>
      </c>
      <c r="P778" s="627" t="s">
        <v>734</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3624</v>
      </c>
      <c r="O779" s="636" t="s">
        <v>1221</v>
      </c>
      <c r="P779" s="627" t="s">
        <v>735</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3716</v>
      </c>
      <c r="O780" s="636" t="s">
        <v>437</v>
      </c>
      <c r="P780" s="627" t="s">
        <v>737</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1438</v>
      </c>
      <c r="O781" s="636" t="s">
        <v>361</v>
      </c>
      <c r="P781" s="627" t="s">
        <v>738</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1439</v>
      </c>
      <c r="O782" s="636" t="s">
        <v>3014</v>
      </c>
      <c r="P782" s="627" t="s">
        <v>739</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1440</v>
      </c>
      <c r="O783" s="636" t="s">
        <v>3221</v>
      </c>
      <c r="P783" s="627" t="s">
        <v>740</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1441</v>
      </c>
      <c r="O784" s="636" t="s">
        <v>1824</v>
      </c>
      <c r="P784" s="627" t="s">
        <v>741</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238</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3892</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mergeCells count="159">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paperSize="0" scale="94" fitToHeight="0" orientation="landscape" horizontalDpi="4294967292" verticalDpi="4294967292"/>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sheetPr codeName="Sheet4" enableFormatConditionsCalculation="0">
    <pageSetUpPr fitToPage="1"/>
  </sheetPr>
  <dimension ref="A1:S203"/>
  <sheetViews>
    <sheetView showGridLines="0" zoomScale="125" workbookViewId="0">
      <selection activeCell="E14" sqref="E14"/>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71093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32" t="str">
        <f>CONCATENATE("PART TWO - DEVELOPMENT TEAM INFORMATION","  -  ",'Part I-Project Information'!$O$4," ",'Part I-Project Information'!$F$22,", ",'Part I-Project Information'!F24,", ",'Part I-Project Information'!J25," County")</f>
        <v>PART TWO - DEVELOPMENT TEAM INFORMATION  -  2011-028 Endeavor Pointe, LaFayette, Walker County</v>
      </c>
      <c r="B1" s="833"/>
      <c r="C1" s="833"/>
      <c r="D1" s="833"/>
      <c r="E1" s="833"/>
      <c r="F1" s="833"/>
      <c r="G1" s="833"/>
      <c r="H1" s="833"/>
      <c r="I1" s="833"/>
      <c r="J1" s="833"/>
      <c r="K1" s="833"/>
      <c r="L1" s="833"/>
      <c r="M1" s="833"/>
      <c r="N1" s="833"/>
      <c r="O1" s="833"/>
      <c r="P1" s="833"/>
      <c r="Q1" s="833"/>
      <c r="R1" s="833"/>
      <c r="S1" s="834"/>
    </row>
    <row r="3" spans="1:19" s="458" customFormat="1" ht="13.15" customHeight="1">
      <c r="A3" s="461" t="s">
        <v>1126</v>
      </c>
      <c r="B3" s="465" t="s">
        <v>3080</v>
      </c>
      <c r="C3" s="465"/>
      <c r="E3" s="465"/>
      <c r="F3" s="465"/>
      <c r="G3" s="465"/>
      <c r="H3" s="465"/>
      <c r="I3" s="465"/>
      <c r="J3" s="465"/>
    </row>
    <row r="4" spans="1:19" s="458" customFormat="1" ht="8.65" customHeight="1">
      <c r="A4" s="461"/>
      <c r="B4" s="461"/>
      <c r="C4" s="461"/>
      <c r="D4" s="465"/>
      <c r="E4" s="465"/>
      <c r="F4" s="465"/>
      <c r="G4" s="465"/>
      <c r="H4" s="465"/>
      <c r="I4" s="465"/>
      <c r="J4" s="465"/>
    </row>
    <row r="5" spans="1:19" s="458" customFormat="1" ht="12.4" customHeight="1">
      <c r="B5" s="461" t="s">
        <v>3000</v>
      </c>
      <c r="C5" s="465" t="s">
        <v>3076</v>
      </c>
      <c r="H5" s="1442" t="s">
        <v>4011</v>
      </c>
      <c r="I5" s="1190"/>
      <c r="J5" s="1190"/>
      <c r="K5" s="1190"/>
      <c r="L5" s="1190"/>
      <c r="M5" s="1190"/>
      <c r="N5" s="1191"/>
      <c r="O5" s="714" t="s">
        <v>3116</v>
      </c>
      <c r="P5" s="714"/>
      <c r="Q5" s="1442" t="s">
        <v>4066</v>
      </c>
      <c r="R5" s="1190"/>
      <c r="S5" s="1191"/>
    </row>
    <row r="6" spans="1:19" s="458" customFormat="1" ht="12.4" customHeight="1">
      <c r="D6" s="508"/>
      <c r="E6" s="464" t="s">
        <v>1670</v>
      </c>
      <c r="F6" s="472"/>
      <c r="H6" s="1442" t="s">
        <v>4063</v>
      </c>
      <c r="I6" s="1190"/>
      <c r="J6" s="1190"/>
      <c r="K6" s="1190"/>
      <c r="L6" s="1190"/>
      <c r="M6" s="1190"/>
      <c r="N6" s="1191"/>
      <c r="O6" s="714" t="s">
        <v>2913</v>
      </c>
      <c r="Q6" s="1442" t="s">
        <v>4067</v>
      </c>
      <c r="R6" s="1190"/>
      <c r="S6" s="1191"/>
    </row>
    <row r="7" spans="1:19" s="458" customFormat="1" ht="12.4" customHeight="1">
      <c r="D7" s="508"/>
      <c r="E7" s="464" t="s">
        <v>1033</v>
      </c>
      <c r="H7" s="1442" t="s">
        <v>4064</v>
      </c>
      <c r="I7" s="1190"/>
      <c r="J7" s="1191"/>
      <c r="K7" s="1472" t="s">
        <v>1648</v>
      </c>
      <c r="L7" s="1442" t="s">
        <v>4065</v>
      </c>
      <c r="M7" s="1190"/>
      <c r="N7" s="1191"/>
      <c r="O7" s="714" t="s">
        <v>2959</v>
      </c>
      <c r="Q7" s="1473">
        <v>4042196953</v>
      </c>
      <c r="R7" s="1474"/>
      <c r="S7" s="1475"/>
    </row>
    <row r="8" spans="1:19" s="458" customFormat="1" ht="12.4" customHeight="1">
      <c r="D8" s="508"/>
      <c r="E8" s="464" t="s">
        <v>3068</v>
      </c>
      <c r="H8" s="1439" t="s">
        <v>1452</v>
      </c>
      <c r="I8" s="719" t="s">
        <v>1986</v>
      </c>
      <c r="J8" s="1476">
        <v>301204886</v>
      </c>
      <c r="K8" s="1191"/>
      <c r="L8" s="398" t="s">
        <v>2133</v>
      </c>
      <c r="N8" s="1477">
        <v>11</v>
      </c>
      <c r="O8" s="714" t="s">
        <v>2996</v>
      </c>
      <c r="Q8" s="1473">
        <v>4042196953</v>
      </c>
      <c r="R8" s="1474"/>
      <c r="S8" s="1475"/>
    </row>
    <row r="9" spans="1:19" s="458" customFormat="1" ht="12.4" customHeight="1">
      <c r="D9" s="508"/>
      <c r="E9" s="464" t="s">
        <v>3111</v>
      </c>
      <c r="H9" s="1473">
        <v>4042196953</v>
      </c>
      <c r="I9" s="1475"/>
      <c r="J9" s="1478"/>
      <c r="K9" s="719" t="s">
        <v>2958</v>
      </c>
      <c r="L9" s="1479">
        <v>6786051846</v>
      </c>
      <c r="M9" s="1191"/>
      <c r="N9" s="466" t="s">
        <v>3110</v>
      </c>
      <c r="O9" s="1480" t="s">
        <v>4068</v>
      </c>
      <c r="P9" s="1481"/>
      <c r="Q9" s="1481"/>
      <c r="R9" s="1481"/>
      <c r="S9" s="1482"/>
    </row>
    <row r="10" spans="1:19" s="458" customFormat="1" ht="13.15" customHeight="1">
      <c r="D10" s="508"/>
      <c r="E10" s="441" t="s">
        <v>1217</v>
      </c>
      <c r="H10" s="501"/>
      <c r="L10" s="550" t="s">
        <v>1987</v>
      </c>
      <c r="N10" s="719"/>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3112</v>
      </c>
      <c r="C12" s="465" t="s">
        <v>3077</v>
      </c>
      <c r="F12" s="465"/>
      <c r="G12" s="465"/>
      <c r="H12" s="465"/>
      <c r="I12" s="465"/>
      <c r="J12" s="465"/>
      <c r="K12" s="465"/>
      <c r="L12" s="397" t="s">
        <v>1984</v>
      </c>
      <c r="O12" s="1483" t="s">
        <v>1985</v>
      </c>
      <c r="P12" s="1483"/>
      <c r="Q12" s="1483"/>
      <c r="R12" s="1483"/>
      <c r="S12" s="1483"/>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3113</v>
      </c>
      <c r="D14" s="506" t="s">
        <v>3114</v>
      </c>
      <c r="H14" s="721"/>
      <c r="I14" s="721"/>
      <c r="J14" s="721"/>
      <c r="K14" s="459"/>
      <c r="L14" s="397" t="s">
        <v>2241</v>
      </c>
      <c r="M14" s="482"/>
      <c r="O14" s="1484" t="s">
        <v>2137</v>
      </c>
      <c r="P14" s="1484"/>
      <c r="Q14" s="1484"/>
      <c r="R14" s="1484"/>
      <c r="S14" s="1484"/>
    </row>
    <row r="15" spans="1:19" s="458" customFormat="1" ht="4.1500000000000004" customHeight="1">
      <c r="D15" s="510"/>
      <c r="E15" s="511"/>
      <c r="H15" s="1485"/>
      <c r="I15" s="1485"/>
      <c r="J15" s="1485"/>
      <c r="K15" s="717"/>
      <c r="L15" s="1485"/>
      <c r="M15" s="1485"/>
      <c r="N15" s="717"/>
      <c r="O15" s="1486"/>
      <c r="P15" s="1486"/>
      <c r="Q15" s="719"/>
      <c r="R15" s="1486"/>
      <c r="S15" s="1486"/>
    </row>
    <row r="16" spans="1:19" s="458" customFormat="1" ht="12.4" customHeight="1">
      <c r="D16" s="461" t="s">
        <v>3317</v>
      </c>
      <c r="E16" s="458" t="s">
        <v>3078</v>
      </c>
      <c r="H16" s="1442" t="s">
        <v>4069</v>
      </c>
      <c r="I16" s="1190"/>
      <c r="J16" s="1190"/>
      <c r="K16" s="1190"/>
      <c r="L16" s="1190"/>
      <c r="M16" s="1190"/>
      <c r="N16" s="1191"/>
      <c r="O16" s="714" t="s">
        <v>3116</v>
      </c>
      <c r="P16" s="714"/>
      <c r="Q16" s="1442" t="s">
        <v>148</v>
      </c>
      <c r="R16" s="1190"/>
      <c r="S16" s="1191"/>
    </row>
    <row r="17" spans="4:19" s="458" customFormat="1" ht="12.4" customHeight="1">
      <c r="D17" s="508"/>
      <c r="E17" s="464" t="s">
        <v>1670</v>
      </c>
      <c r="F17" s="472"/>
      <c r="H17" s="1442" t="s">
        <v>4070</v>
      </c>
      <c r="I17" s="1190"/>
      <c r="J17" s="1190"/>
      <c r="K17" s="1190"/>
      <c r="L17" s="1190"/>
      <c r="M17" s="1190"/>
      <c r="N17" s="1191"/>
      <c r="O17" s="714" t="s">
        <v>2913</v>
      </c>
      <c r="Q17" s="1442" t="s">
        <v>73</v>
      </c>
      <c r="R17" s="1190"/>
      <c r="S17" s="1191"/>
    </row>
    <row r="18" spans="4:19" s="458" customFormat="1" ht="12.4" customHeight="1">
      <c r="D18" s="508"/>
      <c r="E18" s="464" t="s">
        <v>1033</v>
      </c>
      <c r="H18" s="1442" t="s">
        <v>4071</v>
      </c>
      <c r="I18" s="1190"/>
      <c r="J18" s="1191"/>
      <c r="O18" s="714" t="s">
        <v>2959</v>
      </c>
      <c r="Q18" s="1473">
        <v>4042196953</v>
      </c>
      <c r="R18" s="1474"/>
      <c r="S18" s="1475"/>
    </row>
    <row r="19" spans="4:19" s="458" customFormat="1" ht="12.4" customHeight="1">
      <c r="D19" s="461"/>
      <c r="E19" s="464" t="s">
        <v>3068</v>
      </c>
      <c r="H19" s="1439" t="s">
        <v>1452</v>
      </c>
      <c r="I19" s="719" t="s">
        <v>1986</v>
      </c>
      <c r="J19" s="1476">
        <v>301204886</v>
      </c>
      <c r="K19" s="1191"/>
      <c r="L19" s="398" t="s">
        <v>2133</v>
      </c>
      <c r="N19" s="1477">
        <v>11</v>
      </c>
      <c r="O19" s="714" t="s">
        <v>2996</v>
      </c>
      <c r="Q19" s="1473">
        <v>4042196953</v>
      </c>
      <c r="R19" s="1474"/>
      <c r="S19" s="1475"/>
    </row>
    <row r="20" spans="4:19" s="458" customFormat="1" ht="12.4" customHeight="1">
      <c r="D20" s="508"/>
      <c r="E20" s="464" t="s">
        <v>3111</v>
      </c>
      <c r="H20" s="1473">
        <v>4042196953</v>
      </c>
      <c r="I20" s="1475"/>
      <c r="J20" s="1478"/>
      <c r="K20" s="719" t="s">
        <v>2958</v>
      </c>
      <c r="L20" s="1479">
        <v>6786051846</v>
      </c>
      <c r="M20" s="1191"/>
      <c r="N20" s="466" t="s">
        <v>3110</v>
      </c>
      <c r="O20" s="1480" t="s">
        <v>74</v>
      </c>
      <c r="P20" s="1481"/>
      <c r="Q20" s="1481"/>
      <c r="R20" s="1481"/>
      <c r="S20" s="1482"/>
    </row>
    <row r="21" spans="4:19" ht="4.1500000000000004" customHeight="1">
      <c r="D21" s="491"/>
      <c r="H21" s="1487"/>
      <c r="I21" s="1487"/>
      <c r="J21" s="1487"/>
      <c r="K21" s="719"/>
      <c r="L21" s="1487"/>
      <c r="M21" s="1487"/>
      <c r="N21" s="717"/>
      <c r="O21" s="1486"/>
      <c r="P21" s="1486"/>
      <c r="Q21" s="719"/>
      <c r="R21" s="1486"/>
      <c r="S21" s="1486"/>
    </row>
    <row r="22" spans="4:19" s="458" customFormat="1" ht="12.4" customHeight="1">
      <c r="D22" s="461" t="s">
        <v>3431</v>
      </c>
      <c r="E22" s="458" t="s">
        <v>3079</v>
      </c>
      <c r="F22" s="721"/>
      <c r="H22" s="1442"/>
      <c r="I22" s="1190"/>
      <c r="J22" s="1190"/>
      <c r="K22" s="1190"/>
      <c r="L22" s="1190"/>
      <c r="M22" s="1190"/>
      <c r="N22" s="1191"/>
      <c r="O22" s="714" t="s">
        <v>3116</v>
      </c>
      <c r="P22" s="714"/>
      <c r="Q22" s="1442"/>
      <c r="R22" s="1190"/>
      <c r="S22" s="1191"/>
    </row>
    <row r="23" spans="4:19" s="458" customFormat="1" ht="12.4" customHeight="1">
      <c r="D23" s="508"/>
      <c r="E23" s="464" t="s">
        <v>1670</v>
      </c>
      <c r="F23" s="472"/>
      <c r="H23" s="1442"/>
      <c r="I23" s="1190"/>
      <c r="J23" s="1190"/>
      <c r="K23" s="1190"/>
      <c r="L23" s="1190"/>
      <c r="M23" s="1190"/>
      <c r="N23" s="1191"/>
      <c r="O23" s="714" t="s">
        <v>2913</v>
      </c>
      <c r="Q23" s="1442"/>
      <c r="R23" s="1190"/>
      <c r="S23" s="1191"/>
    </row>
    <row r="24" spans="4:19" s="458" customFormat="1" ht="12.4" customHeight="1">
      <c r="D24" s="508"/>
      <c r="E24" s="464" t="s">
        <v>1033</v>
      </c>
      <c r="H24" s="1442"/>
      <c r="I24" s="1190"/>
      <c r="J24" s="1191"/>
      <c r="O24" s="714" t="s">
        <v>2959</v>
      </c>
      <c r="Q24" s="1473"/>
      <c r="R24" s="1474"/>
      <c r="S24" s="1475"/>
    </row>
    <row r="25" spans="4:19" s="458" customFormat="1" ht="12.4" customHeight="1">
      <c r="E25" s="464" t="s">
        <v>3068</v>
      </c>
      <c r="H25" s="1439"/>
      <c r="I25" s="493" t="s">
        <v>3562</v>
      </c>
      <c r="J25" s="1476"/>
      <c r="K25" s="1191"/>
      <c r="O25" s="714" t="s">
        <v>2996</v>
      </c>
      <c r="Q25" s="1473"/>
      <c r="R25" s="1474"/>
      <c r="S25" s="1475"/>
    </row>
    <row r="26" spans="4:19" s="458" customFormat="1" ht="12.4" customHeight="1">
      <c r="D26" s="508"/>
      <c r="E26" s="464" t="s">
        <v>3111</v>
      </c>
      <c r="H26" s="1473"/>
      <c r="I26" s="1475"/>
      <c r="J26" s="1478"/>
      <c r="K26" s="719" t="s">
        <v>2958</v>
      </c>
      <c r="L26" s="1479"/>
      <c r="M26" s="1191"/>
      <c r="N26" s="466" t="s">
        <v>3110</v>
      </c>
      <c r="O26" s="1480"/>
      <c r="P26" s="1481"/>
      <c r="Q26" s="1481"/>
      <c r="R26" s="1481"/>
      <c r="S26" s="1482"/>
    </row>
    <row r="27" spans="4:19" s="458" customFormat="1" ht="4.1500000000000004" customHeight="1">
      <c r="D27" s="508"/>
      <c r="E27" s="721"/>
      <c r="F27" s="721"/>
      <c r="G27" s="714"/>
      <c r="H27" s="1487"/>
      <c r="I27" s="1487"/>
      <c r="J27" s="1487"/>
      <c r="K27" s="719"/>
      <c r="L27" s="1487"/>
      <c r="M27" s="1487"/>
      <c r="N27" s="717"/>
      <c r="O27" s="1486"/>
      <c r="P27" s="1486"/>
      <c r="Q27" s="719"/>
      <c r="R27" s="1486"/>
      <c r="S27" s="1486"/>
    </row>
    <row r="28" spans="4:19" s="458" customFormat="1" ht="12.4" customHeight="1">
      <c r="D28" s="461" t="s">
        <v>2900</v>
      </c>
      <c r="E28" s="458" t="s">
        <v>3079</v>
      </c>
      <c r="F28" s="721"/>
      <c r="H28" s="1442"/>
      <c r="I28" s="1190"/>
      <c r="J28" s="1190"/>
      <c r="K28" s="1190"/>
      <c r="L28" s="1190"/>
      <c r="M28" s="1190"/>
      <c r="N28" s="1191"/>
      <c r="O28" s="714" t="s">
        <v>3116</v>
      </c>
      <c r="P28" s="714"/>
      <c r="Q28" s="1442"/>
      <c r="R28" s="1190"/>
      <c r="S28" s="1191"/>
    </row>
    <row r="29" spans="4:19" s="458" customFormat="1" ht="12.4" customHeight="1">
      <c r="D29" s="508"/>
      <c r="E29" s="464" t="s">
        <v>1670</v>
      </c>
      <c r="F29" s="472"/>
      <c r="H29" s="1442"/>
      <c r="I29" s="1190"/>
      <c r="J29" s="1190"/>
      <c r="K29" s="1190"/>
      <c r="L29" s="1190"/>
      <c r="M29" s="1190"/>
      <c r="N29" s="1191"/>
      <c r="O29" s="714" t="s">
        <v>2913</v>
      </c>
      <c r="Q29" s="1442"/>
      <c r="R29" s="1190"/>
      <c r="S29" s="1191"/>
    </row>
    <row r="30" spans="4:19" s="458" customFormat="1" ht="12.4" customHeight="1">
      <c r="D30" s="508"/>
      <c r="E30" s="464" t="s">
        <v>1033</v>
      </c>
      <c r="H30" s="1442"/>
      <c r="I30" s="1190"/>
      <c r="J30" s="1191"/>
      <c r="O30" s="714" t="s">
        <v>2959</v>
      </c>
      <c r="Q30" s="1473"/>
      <c r="R30" s="1474"/>
      <c r="S30" s="1475"/>
    </row>
    <row r="31" spans="4:19" s="458" customFormat="1" ht="12.4" customHeight="1">
      <c r="E31" s="464" t="s">
        <v>3068</v>
      </c>
      <c r="H31" s="1439"/>
      <c r="I31" s="493" t="s">
        <v>3562</v>
      </c>
      <c r="J31" s="1476"/>
      <c r="K31" s="1191"/>
      <c r="O31" s="714" t="s">
        <v>2996</v>
      </c>
      <c r="Q31" s="1473"/>
      <c r="R31" s="1474"/>
      <c r="S31" s="1475"/>
    </row>
    <row r="32" spans="4:19" s="458" customFormat="1" ht="12.4" customHeight="1">
      <c r="D32" s="508"/>
      <c r="E32" s="464" t="s">
        <v>3111</v>
      </c>
      <c r="H32" s="1473"/>
      <c r="I32" s="1475"/>
      <c r="J32" s="1478"/>
      <c r="K32" s="719" t="s">
        <v>2958</v>
      </c>
      <c r="L32" s="1479"/>
      <c r="M32" s="1191"/>
      <c r="N32" s="466" t="s">
        <v>3110</v>
      </c>
      <c r="O32" s="1480"/>
      <c r="P32" s="1481"/>
      <c r="Q32" s="1481"/>
      <c r="R32" s="1481"/>
      <c r="S32" s="1482"/>
    </row>
    <row r="33" spans="3:19" ht="4.1500000000000004" customHeight="1"/>
    <row r="34" spans="3:19" s="458" customFormat="1" ht="13.15" customHeight="1">
      <c r="C34" s="510" t="s">
        <v>3115</v>
      </c>
      <c r="D34" s="506" t="s">
        <v>3081</v>
      </c>
      <c r="H34" s="721"/>
      <c r="I34" s="721"/>
      <c r="J34" s="721"/>
      <c r="K34" s="721"/>
      <c r="L34" s="721"/>
      <c r="M34" s="721"/>
    </row>
    <row r="35" spans="3:19" s="458" customFormat="1" ht="4.1500000000000004" customHeight="1">
      <c r="C35" s="512"/>
      <c r="D35" s="506"/>
      <c r="H35" s="1485"/>
      <c r="I35" s="1485"/>
      <c r="J35" s="1485"/>
      <c r="K35" s="717"/>
      <c r="L35" s="1485"/>
      <c r="M35" s="1485"/>
      <c r="N35" s="717"/>
      <c r="O35" s="1486"/>
      <c r="P35" s="1486"/>
      <c r="Q35" s="719"/>
      <c r="R35" s="1486"/>
      <c r="S35" s="1486"/>
    </row>
    <row r="36" spans="3:19" s="458" customFormat="1" ht="12.4" customHeight="1">
      <c r="D36" s="461" t="s">
        <v>3317</v>
      </c>
      <c r="E36" s="458" t="s">
        <v>1518</v>
      </c>
      <c r="H36" s="1442" t="s">
        <v>231</v>
      </c>
      <c r="I36" s="1190"/>
      <c r="J36" s="1190"/>
      <c r="K36" s="1190"/>
      <c r="L36" s="1190"/>
      <c r="M36" s="1190"/>
      <c r="N36" s="1191"/>
      <c r="O36" s="714" t="s">
        <v>3116</v>
      </c>
      <c r="P36" s="714"/>
      <c r="Q36" s="1442" t="s">
        <v>145</v>
      </c>
      <c r="R36" s="1190"/>
      <c r="S36" s="1191"/>
    </row>
    <row r="37" spans="3:19" s="458" customFormat="1" ht="12.4" customHeight="1">
      <c r="D37" s="508"/>
      <c r="E37" s="464" t="s">
        <v>1670</v>
      </c>
      <c r="F37" s="472"/>
      <c r="H37" s="1442" t="s">
        <v>174</v>
      </c>
      <c r="I37" s="1190"/>
      <c r="J37" s="1190"/>
      <c r="K37" s="1190"/>
      <c r="L37" s="1190"/>
      <c r="M37" s="1190"/>
      <c r="N37" s="1191"/>
      <c r="O37" s="714" t="s">
        <v>2913</v>
      </c>
      <c r="Q37" s="1442" t="s">
        <v>4007</v>
      </c>
      <c r="R37" s="1190"/>
      <c r="S37" s="1191"/>
    </row>
    <row r="38" spans="3:19" s="458" customFormat="1" ht="12.4" customHeight="1">
      <c r="D38" s="508"/>
      <c r="E38" s="464" t="s">
        <v>1033</v>
      </c>
      <c r="H38" s="1442" t="s">
        <v>175</v>
      </c>
      <c r="I38" s="1190"/>
      <c r="J38" s="1191"/>
      <c r="O38" s="714" t="s">
        <v>2959</v>
      </c>
      <c r="Q38" s="1473">
        <v>7272442440</v>
      </c>
      <c r="R38" s="1474"/>
      <c r="S38" s="1475"/>
    </row>
    <row r="39" spans="3:19" s="458" customFormat="1" ht="12.4" customHeight="1">
      <c r="E39" s="464" t="s">
        <v>3068</v>
      </c>
      <c r="H39" s="1439" t="s">
        <v>1451</v>
      </c>
      <c r="I39" s="493" t="s">
        <v>3562</v>
      </c>
      <c r="J39" s="1476">
        <v>334800000</v>
      </c>
      <c r="K39" s="1191"/>
      <c r="O39" s="714" t="s">
        <v>2996</v>
      </c>
      <c r="Q39" s="1473">
        <v>7272442440</v>
      </c>
      <c r="R39" s="1474"/>
      <c r="S39" s="1475"/>
    </row>
    <row r="40" spans="3:19" s="458" customFormat="1" ht="12.4" customHeight="1">
      <c r="D40" s="508"/>
      <c r="E40" s="464" t="s">
        <v>3111</v>
      </c>
      <c r="H40" s="1473">
        <v>5618335795</v>
      </c>
      <c r="I40" s="1475"/>
      <c r="J40" s="1478"/>
      <c r="K40" s="719" t="s">
        <v>2958</v>
      </c>
      <c r="L40" s="1479">
        <v>5618333694</v>
      </c>
      <c r="M40" s="1191"/>
      <c r="N40" s="466" t="s">
        <v>3110</v>
      </c>
      <c r="O40" s="1480" t="s">
        <v>230</v>
      </c>
      <c r="P40" s="1481"/>
      <c r="Q40" s="1481"/>
      <c r="R40" s="1481"/>
      <c r="S40" s="1482"/>
    </row>
    <row r="41" spans="3:19" ht="4.1500000000000004" customHeight="1">
      <c r="H41" s="1487"/>
      <c r="I41" s="1487"/>
      <c r="J41" s="1487"/>
      <c r="K41" s="719"/>
      <c r="L41" s="1487"/>
      <c r="M41" s="1487"/>
      <c r="N41" s="717"/>
      <c r="O41" s="1486"/>
      <c r="P41" s="1486"/>
      <c r="Q41" s="719"/>
      <c r="R41" s="1486"/>
      <c r="S41" s="1486"/>
    </row>
    <row r="42" spans="3:19" s="458" customFormat="1" ht="12.4" customHeight="1">
      <c r="D42" s="461" t="s">
        <v>3431</v>
      </c>
      <c r="E42" s="458" t="s">
        <v>1519</v>
      </c>
      <c r="F42" s="461"/>
      <c r="H42" s="1442" t="s">
        <v>231</v>
      </c>
      <c r="I42" s="1190"/>
      <c r="J42" s="1190"/>
      <c r="K42" s="1190"/>
      <c r="L42" s="1190"/>
      <c r="M42" s="1190"/>
      <c r="N42" s="1191"/>
      <c r="O42" s="714" t="s">
        <v>3116</v>
      </c>
      <c r="P42" s="714"/>
      <c r="Q42" s="1442" t="s">
        <v>145</v>
      </c>
      <c r="R42" s="1190"/>
      <c r="S42" s="1191"/>
    </row>
    <row r="43" spans="3:19" s="458" customFormat="1" ht="12.4" customHeight="1">
      <c r="D43" s="508"/>
      <c r="E43" s="464" t="s">
        <v>1670</v>
      </c>
      <c r="F43" s="472"/>
      <c r="H43" s="1442" t="s">
        <v>232</v>
      </c>
      <c r="I43" s="1190"/>
      <c r="J43" s="1190"/>
      <c r="K43" s="1190"/>
      <c r="L43" s="1190"/>
      <c r="M43" s="1190"/>
      <c r="N43" s="1191"/>
      <c r="O43" s="714" t="s">
        <v>2913</v>
      </c>
      <c r="Q43" s="1442" t="s">
        <v>4007</v>
      </c>
      <c r="R43" s="1190"/>
      <c r="S43" s="1191"/>
    </row>
    <row r="44" spans="3:19" s="458" customFormat="1" ht="12.4" customHeight="1">
      <c r="D44" s="508"/>
      <c r="E44" s="464" t="s">
        <v>1033</v>
      </c>
      <c r="H44" s="1442" t="s">
        <v>175</v>
      </c>
      <c r="I44" s="1190"/>
      <c r="J44" s="1191"/>
      <c r="O44" s="714" t="s">
        <v>2959</v>
      </c>
      <c r="Q44" s="1473">
        <v>7272442440</v>
      </c>
      <c r="R44" s="1474"/>
      <c r="S44" s="1475"/>
    </row>
    <row r="45" spans="3:19" s="458" customFormat="1" ht="12.4" customHeight="1">
      <c r="D45" s="461"/>
      <c r="E45" s="464" t="s">
        <v>3068</v>
      </c>
      <c r="H45" s="1439" t="s">
        <v>1451</v>
      </c>
      <c r="I45" s="493" t="s">
        <v>3562</v>
      </c>
      <c r="J45" s="1476">
        <v>334800000</v>
      </c>
      <c r="K45" s="1191"/>
      <c r="O45" s="714" t="s">
        <v>2996</v>
      </c>
      <c r="Q45" s="1473">
        <v>7272442440</v>
      </c>
      <c r="R45" s="1474"/>
      <c r="S45" s="1475"/>
    </row>
    <row r="46" spans="3:19" s="458" customFormat="1" ht="12.4" customHeight="1">
      <c r="D46" s="508"/>
      <c r="E46" s="464" t="s">
        <v>3111</v>
      </c>
      <c r="H46" s="1473">
        <v>5618335795</v>
      </c>
      <c r="I46" s="1475"/>
      <c r="J46" s="1478"/>
      <c r="K46" s="719" t="s">
        <v>2958</v>
      </c>
      <c r="L46" s="1479">
        <v>5618333694</v>
      </c>
      <c r="M46" s="1191"/>
      <c r="N46" s="466" t="s">
        <v>3110</v>
      </c>
      <c r="O46" s="1480" t="s">
        <v>233</v>
      </c>
      <c r="P46" s="1481"/>
      <c r="Q46" s="1481"/>
      <c r="R46" s="1481"/>
      <c r="S46" s="1482"/>
    </row>
    <row r="47" spans="3:19" s="458" customFormat="1" ht="4.1500000000000004" customHeight="1">
      <c r="D47" s="508"/>
      <c r="E47" s="464"/>
      <c r="F47" s="461"/>
      <c r="H47" s="501"/>
      <c r="I47" s="501"/>
      <c r="J47" s="1488"/>
      <c r="K47" s="719"/>
      <c r="L47" s="501"/>
      <c r="M47" s="501"/>
      <c r="N47" s="719"/>
      <c r="O47" s="501"/>
      <c r="P47" s="501"/>
      <c r="Q47" s="719"/>
      <c r="R47" s="501"/>
      <c r="S47" s="501"/>
    </row>
    <row r="48" spans="3:19" s="458" customFormat="1" ht="13.15" customHeight="1">
      <c r="C48" s="512" t="s">
        <v>4028</v>
      </c>
      <c r="D48" s="506" t="s">
        <v>1210</v>
      </c>
      <c r="H48" s="721"/>
      <c r="I48" s="721"/>
      <c r="J48" s="721"/>
      <c r="K48" s="721"/>
      <c r="L48" s="721"/>
      <c r="M48" s="721"/>
    </row>
    <row r="49" spans="1:19" s="458" customFormat="1" ht="4.1500000000000004" customHeight="1">
      <c r="D49" s="512"/>
      <c r="E49" s="511"/>
      <c r="H49" s="1485"/>
      <c r="I49" s="1485"/>
      <c r="J49" s="1485"/>
      <c r="K49" s="717"/>
      <c r="L49" s="1485"/>
      <c r="M49" s="1485"/>
      <c r="N49" s="717"/>
      <c r="O49" s="1486"/>
      <c r="P49" s="1486"/>
      <c r="Q49" s="719"/>
      <c r="R49" s="1486"/>
      <c r="S49" s="1486"/>
    </row>
    <row r="50" spans="1:19" s="458" customFormat="1" ht="12.4" customHeight="1">
      <c r="E50" s="458" t="s">
        <v>236</v>
      </c>
      <c r="H50" s="1442"/>
      <c r="I50" s="1190"/>
      <c r="J50" s="1190"/>
      <c r="K50" s="1190"/>
      <c r="L50" s="1190"/>
      <c r="M50" s="1190"/>
      <c r="N50" s="1191"/>
      <c r="O50" s="714" t="s">
        <v>3116</v>
      </c>
      <c r="P50" s="714"/>
      <c r="Q50" s="1442"/>
      <c r="R50" s="1190"/>
      <c r="S50" s="1191"/>
    </row>
    <row r="51" spans="1:19" s="458" customFormat="1" ht="12.4" customHeight="1">
      <c r="D51" s="508"/>
      <c r="E51" s="464" t="s">
        <v>1670</v>
      </c>
      <c r="F51" s="472"/>
      <c r="H51" s="1442"/>
      <c r="I51" s="1190"/>
      <c r="J51" s="1190"/>
      <c r="K51" s="1190"/>
      <c r="L51" s="1190"/>
      <c r="M51" s="1190"/>
      <c r="N51" s="1191"/>
      <c r="O51" s="714" t="s">
        <v>2913</v>
      </c>
      <c r="Q51" s="1442"/>
      <c r="R51" s="1190"/>
      <c r="S51" s="1191"/>
    </row>
    <row r="52" spans="1:19" s="458" customFormat="1" ht="12.4" customHeight="1">
      <c r="D52" s="508"/>
      <c r="E52" s="464" t="s">
        <v>1033</v>
      </c>
      <c r="H52" s="1442"/>
      <c r="I52" s="1190"/>
      <c r="J52" s="1191"/>
      <c r="O52" s="714" t="s">
        <v>2959</v>
      </c>
      <c r="Q52" s="1473"/>
      <c r="R52" s="1474"/>
      <c r="S52" s="1475"/>
    </row>
    <row r="53" spans="1:19" s="458" customFormat="1" ht="12.4" customHeight="1">
      <c r="E53" s="464" t="s">
        <v>3068</v>
      </c>
      <c r="H53" s="1439"/>
      <c r="I53" s="493" t="s">
        <v>3562</v>
      </c>
      <c r="J53" s="1476"/>
      <c r="K53" s="1191"/>
      <c r="O53" s="714" t="s">
        <v>2996</v>
      </c>
      <c r="Q53" s="1473"/>
      <c r="R53" s="1474"/>
      <c r="S53" s="1475"/>
    </row>
    <row r="54" spans="1:19" s="458" customFormat="1" ht="12.4" customHeight="1">
      <c r="D54" s="508"/>
      <c r="E54" s="464" t="s">
        <v>3111</v>
      </c>
      <c r="H54" s="1473"/>
      <c r="I54" s="1475"/>
      <c r="J54" s="1478"/>
      <c r="K54" s="719" t="s">
        <v>2958</v>
      </c>
      <c r="L54" s="1479"/>
      <c r="M54" s="1191"/>
      <c r="N54" s="466" t="s">
        <v>3110</v>
      </c>
      <c r="O54" s="1480"/>
      <c r="P54" s="1481"/>
      <c r="Q54" s="1481"/>
      <c r="R54" s="1481"/>
      <c r="S54" s="1482"/>
    </row>
    <row r="55" spans="1:19" ht="13.15" customHeight="1"/>
    <row r="56" spans="1:19" s="458" customFormat="1" ht="13.15" customHeight="1">
      <c r="A56" s="461" t="s">
        <v>1241</v>
      </c>
      <c r="B56" s="461" t="s">
        <v>1211</v>
      </c>
      <c r="F56" s="461"/>
      <c r="G56" s="719"/>
      <c r="H56" s="719"/>
      <c r="I56" s="719"/>
      <c r="J56" s="721"/>
      <c r="K56" s="721"/>
      <c r="L56" s="721"/>
      <c r="M56" s="721"/>
      <c r="N56" s="721"/>
      <c r="O56" s="721"/>
      <c r="P56" s="721"/>
      <c r="Q56" s="721"/>
      <c r="R56" s="721"/>
      <c r="S56" s="721"/>
    </row>
    <row r="57" spans="1:19" s="458" customFormat="1" ht="9" customHeight="1">
      <c r="A57" s="461"/>
      <c r="B57" s="461"/>
      <c r="F57" s="461"/>
      <c r="G57" s="719"/>
      <c r="H57" s="1485"/>
      <c r="I57" s="1485"/>
      <c r="J57" s="1485"/>
      <c r="K57" s="717"/>
      <c r="L57" s="1485"/>
      <c r="M57" s="1485"/>
      <c r="N57" s="717"/>
      <c r="O57" s="1486"/>
      <c r="P57" s="1486"/>
      <c r="Q57" s="719"/>
      <c r="R57" s="1486"/>
      <c r="S57" s="1486"/>
    </row>
    <row r="58" spans="1:19" s="458" customFormat="1" ht="13.15" customHeight="1">
      <c r="B58" s="461" t="s">
        <v>3000</v>
      </c>
      <c r="C58" s="461" t="s">
        <v>413</v>
      </c>
      <c r="H58" s="1442" t="s">
        <v>3931</v>
      </c>
      <c r="I58" s="1190"/>
      <c r="J58" s="1190"/>
      <c r="K58" s="1190"/>
      <c r="L58" s="1190"/>
      <c r="M58" s="1190"/>
      <c r="N58" s="1191"/>
      <c r="O58" s="714" t="s">
        <v>3116</v>
      </c>
      <c r="P58" s="714"/>
      <c r="Q58" s="1442" t="s">
        <v>4066</v>
      </c>
      <c r="R58" s="1190"/>
      <c r="S58" s="1191"/>
    </row>
    <row r="59" spans="1:19" s="458" customFormat="1" ht="13.15" customHeight="1">
      <c r="D59" s="508"/>
      <c r="E59" s="464" t="s">
        <v>1670</v>
      </c>
      <c r="F59" s="472"/>
      <c r="H59" s="1442" t="s">
        <v>4063</v>
      </c>
      <c r="I59" s="1190"/>
      <c r="J59" s="1190"/>
      <c r="K59" s="1190"/>
      <c r="L59" s="1190"/>
      <c r="M59" s="1190"/>
      <c r="N59" s="1191"/>
      <c r="O59" s="714" t="s">
        <v>2913</v>
      </c>
      <c r="Q59" s="1442" t="s">
        <v>4067</v>
      </c>
      <c r="R59" s="1190"/>
      <c r="S59" s="1191"/>
    </row>
    <row r="60" spans="1:19" s="458" customFormat="1" ht="13.15" customHeight="1">
      <c r="D60" s="508"/>
      <c r="E60" s="464" t="s">
        <v>1033</v>
      </c>
      <c r="H60" s="1442" t="s">
        <v>4064</v>
      </c>
      <c r="I60" s="1190"/>
      <c r="J60" s="1191"/>
      <c r="O60" s="714" t="s">
        <v>2959</v>
      </c>
      <c r="Q60" s="1473">
        <v>4042196953</v>
      </c>
      <c r="R60" s="1474"/>
      <c r="S60" s="1475"/>
    </row>
    <row r="61" spans="1:19" s="458" customFormat="1" ht="13.15" customHeight="1">
      <c r="E61" s="464" t="s">
        <v>3068</v>
      </c>
      <c r="H61" s="1439" t="s">
        <v>3932</v>
      </c>
      <c r="I61" s="493" t="s">
        <v>3562</v>
      </c>
      <c r="J61" s="1476">
        <v>301204886</v>
      </c>
      <c r="K61" s="1191"/>
      <c r="O61" s="714" t="s">
        <v>2996</v>
      </c>
      <c r="Q61" s="1473">
        <v>4042196953</v>
      </c>
      <c r="R61" s="1474"/>
      <c r="S61" s="1475"/>
    </row>
    <row r="62" spans="1:19" s="458" customFormat="1" ht="13.15" customHeight="1">
      <c r="D62" s="508"/>
      <c r="E62" s="464" t="s">
        <v>3111</v>
      </c>
      <c r="H62" s="1473">
        <v>4042196953</v>
      </c>
      <c r="I62" s="1475"/>
      <c r="J62" s="1478"/>
      <c r="K62" s="719" t="s">
        <v>2958</v>
      </c>
      <c r="L62" s="1479">
        <v>6786051846</v>
      </c>
      <c r="M62" s="1191"/>
      <c r="N62" s="466" t="s">
        <v>3110</v>
      </c>
      <c r="O62" s="1480" t="s">
        <v>4068</v>
      </c>
      <c r="P62" s="1481"/>
      <c r="Q62" s="1481"/>
      <c r="R62" s="1481"/>
      <c r="S62" s="1482"/>
    </row>
    <row r="63" spans="1:19" s="458" customFormat="1" ht="6.4" customHeight="1">
      <c r="D63" s="508"/>
      <c r="E63" s="721"/>
      <c r="F63" s="721"/>
      <c r="G63" s="714"/>
      <c r="H63" s="1487"/>
      <c r="I63" s="1487"/>
      <c r="J63" s="1487"/>
      <c r="K63" s="719"/>
      <c r="L63" s="1487"/>
      <c r="M63" s="1487"/>
      <c r="N63" s="717"/>
      <c r="O63" s="1486"/>
      <c r="P63" s="1486"/>
      <c r="Q63" s="719"/>
      <c r="R63" s="1486"/>
      <c r="S63" s="1486"/>
    </row>
    <row r="64" spans="1:19" s="458" customFormat="1" ht="13.15" customHeight="1">
      <c r="B64" s="461" t="s">
        <v>3112</v>
      </c>
      <c r="C64" s="461" t="s">
        <v>513</v>
      </c>
      <c r="H64" s="1442"/>
      <c r="I64" s="1190"/>
      <c r="J64" s="1190"/>
      <c r="K64" s="1190"/>
      <c r="L64" s="1190"/>
      <c r="M64" s="1190"/>
      <c r="N64" s="1191"/>
      <c r="O64" s="714" t="s">
        <v>3116</v>
      </c>
      <c r="P64" s="714"/>
      <c r="Q64" s="1442"/>
      <c r="R64" s="1190"/>
      <c r="S64" s="1191"/>
    </row>
    <row r="65" spans="2:19" s="458" customFormat="1" ht="13.15" customHeight="1">
      <c r="D65" s="508"/>
      <c r="E65" s="464" t="s">
        <v>1670</v>
      </c>
      <c r="F65" s="472"/>
      <c r="H65" s="1442"/>
      <c r="I65" s="1190"/>
      <c r="J65" s="1190"/>
      <c r="K65" s="1190"/>
      <c r="L65" s="1190"/>
      <c r="M65" s="1190"/>
      <c r="N65" s="1191"/>
      <c r="O65" s="714" t="s">
        <v>2913</v>
      </c>
      <c r="Q65" s="1442"/>
      <c r="R65" s="1190"/>
      <c r="S65" s="1191"/>
    </row>
    <row r="66" spans="2:19" s="458" customFormat="1" ht="13.15" customHeight="1">
      <c r="D66" s="508"/>
      <c r="E66" s="464" t="s">
        <v>1033</v>
      </c>
      <c r="H66" s="1442"/>
      <c r="I66" s="1190"/>
      <c r="J66" s="1191"/>
      <c r="O66" s="714" t="s">
        <v>2959</v>
      </c>
      <c r="Q66" s="1473"/>
      <c r="R66" s="1474"/>
      <c r="S66" s="1475"/>
    </row>
    <row r="67" spans="2:19" s="458" customFormat="1" ht="13.15" customHeight="1">
      <c r="E67" s="464" t="s">
        <v>3068</v>
      </c>
      <c r="H67" s="1439"/>
      <c r="I67" s="493" t="s">
        <v>3562</v>
      </c>
      <c r="J67" s="1476"/>
      <c r="K67" s="1191"/>
      <c r="O67" s="714" t="s">
        <v>2996</v>
      </c>
      <c r="Q67" s="1473"/>
      <c r="R67" s="1474"/>
      <c r="S67" s="1475"/>
    </row>
    <row r="68" spans="2:19" s="458" customFormat="1" ht="13.15" customHeight="1">
      <c r="D68" s="508"/>
      <c r="E68" s="464" t="s">
        <v>3111</v>
      </c>
      <c r="H68" s="1473"/>
      <c r="I68" s="1475"/>
      <c r="J68" s="1478"/>
      <c r="K68" s="719" t="s">
        <v>2958</v>
      </c>
      <c r="L68" s="1479"/>
      <c r="M68" s="1191"/>
      <c r="N68" s="466" t="s">
        <v>3110</v>
      </c>
      <c r="O68" s="1480"/>
      <c r="P68" s="1481"/>
      <c r="Q68" s="1481"/>
      <c r="R68" s="1481"/>
      <c r="S68" s="1482"/>
    </row>
    <row r="69" spans="2:19" s="458" customFormat="1" ht="6.4" customHeight="1">
      <c r="D69" s="508"/>
      <c r="E69" s="721"/>
      <c r="F69" s="721"/>
      <c r="G69" s="714"/>
      <c r="H69" s="1487"/>
      <c r="I69" s="1487"/>
      <c r="J69" s="1487"/>
      <c r="K69" s="719"/>
      <c r="L69" s="1487"/>
      <c r="M69" s="1487"/>
      <c r="N69" s="717"/>
      <c r="O69" s="1486"/>
      <c r="P69" s="1486"/>
      <c r="Q69" s="719"/>
      <c r="R69" s="1486"/>
      <c r="S69" s="1486"/>
    </row>
    <row r="70" spans="2:19" s="458" customFormat="1" ht="13.15" customHeight="1">
      <c r="B70" s="461" t="s">
        <v>1517</v>
      </c>
      <c r="C70" s="461" t="s">
        <v>2334</v>
      </c>
      <c r="H70" s="1442"/>
      <c r="I70" s="1190"/>
      <c r="J70" s="1190"/>
      <c r="K70" s="1190"/>
      <c r="L70" s="1190"/>
      <c r="M70" s="1190"/>
      <c r="N70" s="1191"/>
      <c r="O70" s="714" t="s">
        <v>3116</v>
      </c>
      <c r="P70" s="714"/>
      <c r="Q70" s="1442"/>
      <c r="R70" s="1190"/>
      <c r="S70" s="1191"/>
    </row>
    <row r="71" spans="2:19" s="458" customFormat="1" ht="13.15" customHeight="1">
      <c r="D71" s="508"/>
      <c r="E71" s="464" t="s">
        <v>1670</v>
      </c>
      <c r="F71" s="472"/>
      <c r="H71" s="1442"/>
      <c r="I71" s="1190"/>
      <c r="J71" s="1190"/>
      <c r="K71" s="1190"/>
      <c r="L71" s="1190"/>
      <c r="M71" s="1190"/>
      <c r="N71" s="1191"/>
      <c r="O71" s="714" t="s">
        <v>2913</v>
      </c>
      <c r="Q71" s="1442"/>
      <c r="R71" s="1190"/>
      <c r="S71" s="1191"/>
    </row>
    <row r="72" spans="2:19" s="458" customFormat="1" ht="13.15" customHeight="1">
      <c r="D72" s="508"/>
      <c r="E72" s="464" t="s">
        <v>1033</v>
      </c>
      <c r="H72" s="1442"/>
      <c r="I72" s="1190"/>
      <c r="J72" s="1191"/>
      <c r="O72" s="714" t="s">
        <v>2959</v>
      </c>
      <c r="Q72" s="1473"/>
      <c r="R72" s="1474"/>
      <c r="S72" s="1475"/>
    </row>
    <row r="73" spans="2:19" s="458" customFormat="1" ht="13.15" customHeight="1">
      <c r="E73" s="464" t="s">
        <v>3068</v>
      </c>
      <c r="H73" s="1439"/>
      <c r="I73" s="493" t="s">
        <v>3562</v>
      </c>
      <c r="J73" s="1476"/>
      <c r="K73" s="1191"/>
      <c r="O73" s="714" t="s">
        <v>2996</v>
      </c>
      <c r="Q73" s="1473"/>
      <c r="R73" s="1474"/>
      <c r="S73" s="1475"/>
    </row>
    <row r="74" spans="2:19" s="458" customFormat="1" ht="13.15" customHeight="1">
      <c r="D74" s="508"/>
      <c r="E74" s="464" t="s">
        <v>3111</v>
      </c>
      <c r="H74" s="1473"/>
      <c r="I74" s="1475"/>
      <c r="J74" s="1478"/>
      <c r="K74" s="719" t="s">
        <v>2958</v>
      </c>
      <c r="L74" s="1479"/>
      <c r="M74" s="1191"/>
      <c r="N74" s="466" t="s">
        <v>3110</v>
      </c>
      <c r="O74" s="1480"/>
      <c r="P74" s="1481"/>
      <c r="Q74" s="1481"/>
      <c r="R74" s="1481"/>
      <c r="S74" s="1482"/>
    </row>
    <row r="75" spans="2:19" ht="6.4" customHeight="1">
      <c r="H75" s="1487"/>
      <c r="I75" s="1487"/>
      <c r="J75" s="1487"/>
      <c r="K75" s="719"/>
      <c r="L75" s="1487"/>
      <c r="M75" s="1487"/>
      <c r="N75" s="717"/>
      <c r="O75" s="1486"/>
      <c r="P75" s="1486"/>
      <c r="Q75" s="719"/>
      <c r="R75" s="1486"/>
      <c r="S75" s="1486"/>
    </row>
    <row r="76" spans="2:19" s="458" customFormat="1" ht="13.15" customHeight="1">
      <c r="B76" s="461" t="s">
        <v>3316</v>
      </c>
      <c r="C76" s="461" t="s">
        <v>632</v>
      </c>
      <c r="H76" s="1442"/>
      <c r="I76" s="1190"/>
      <c r="J76" s="1190"/>
      <c r="K76" s="1190"/>
      <c r="L76" s="1190"/>
      <c r="M76" s="1190"/>
      <c r="N76" s="1191"/>
      <c r="O76" s="714" t="s">
        <v>3116</v>
      </c>
      <c r="P76" s="714"/>
      <c r="Q76" s="1442"/>
      <c r="R76" s="1190"/>
      <c r="S76" s="1191"/>
    </row>
    <row r="77" spans="2:19" s="458" customFormat="1" ht="13.15" customHeight="1">
      <c r="D77" s="508"/>
      <c r="E77" s="464" t="s">
        <v>1670</v>
      </c>
      <c r="F77" s="472"/>
      <c r="H77" s="1442"/>
      <c r="I77" s="1190"/>
      <c r="J77" s="1190"/>
      <c r="K77" s="1190"/>
      <c r="L77" s="1190"/>
      <c r="M77" s="1190"/>
      <c r="N77" s="1191"/>
      <c r="O77" s="714" t="s">
        <v>2913</v>
      </c>
      <c r="Q77" s="1442"/>
      <c r="R77" s="1190"/>
      <c r="S77" s="1191"/>
    </row>
    <row r="78" spans="2:19" s="458" customFormat="1" ht="13.15" customHeight="1">
      <c r="D78" s="508"/>
      <c r="E78" s="464" t="s">
        <v>1033</v>
      </c>
      <c r="H78" s="1442"/>
      <c r="I78" s="1190"/>
      <c r="J78" s="1191"/>
      <c r="O78" s="714" t="s">
        <v>2959</v>
      </c>
      <c r="Q78" s="1473"/>
      <c r="R78" s="1474"/>
      <c r="S78" s="1475"/>
    </row>
    <row r="79" spans="2:19" s="458" customFormat="1" ht="13.15" customHeight="1">
      <c r="E79" s="464" t="s">
        <v>3068</v>
      </c>
      <c r="H79" s="1439"/>
      <c r="I79" s="493" t="s">
        <v>3562</v>
      </c>
      <c r="J79" s="1476"/>
      <c r="K79" s="1191"/>
      <c r="O79" s="714" t="s">
        <v>2996</v>
      </c>
      <c r="Q79" s="1473"/>
      <c r="R79" s="1474"/>
      <c r="S79" s="1475"/>
    </row>
    <row r="80" spans="2:19" s="458" customFormat="1" ht="13.15" customHeight="1">
      <c r="D80" s="508"/>
      <c r="E80" s="464" t="s">
        <v>3111</v>
      </c>
      <c r="H80" s="1473"/>
      <c r="I80" s="1475"/>
      <c r="J80" s="1478"/>
      <c r="K80" s="719" t="s">
        <v>2958</v>
      </c>
      <c r="L80" s="1479"/>
      <c r="M80" s="1191"/>
      <c r="N80" s="466" t="s">
        <v>3110</v>
      </c>
      <c r="O80" s="1480"/>
      <c r="P80" s="1481"/>
      <c r="Q80" s="1481"/>
      <c r="R80" s="1481"/>
      <c r="S80" s="1482"/>
    </row>
    <row r="81" spans="1:19" ht="13.15" customHeight="1"/>
    <row r="82" spans="1:19" s="464" customFormat="1" ht="13.15" customHeight="1">
      <c r="A82" s="465" t="s">
        <v>1243</v>
      </c>
      <c r="B82" s="465" t="s">
        <v>635</v>
      </c>
      <c r="D82" s="465"/>
      <c r="E82" s="714"/>
      <c r="F82" s="395"/>
      <c r="G82" s="395"/>
      <c r="H82" s="395"/>
      <c r="I82" s="395"/>
      <c r="J82" s="395"/>
      <c r="K82" s="395"/>
      <c r="L82" s="395"/>
      <c r="M82" s="395"/>
    </row>
    <row r="83" spans="1:19" s="464" customFormat="1" ht="9" customHeight="1">
      <c r="A83" s="465"/>
      <c r="B83" s="465"/>
      <c r="D83" s="465"/>
      <c r="E83" s="714"/>
      <c r="F83" s="395"/>
      <c r="G83" s="395"/>
      <c r="H83" s="1485"/>
      <c r="I83" s="1485"/>
      <c r="J83" s="1485"/>
      <c r="K83" s="717"/>
      <c r="L83" s="1485"/>
      <c r="M83" s="1485"/>
      <c r="N83" s="717"/>
      <c r="O83" s="1486"/>
      <c r="P83" s="1486"/>
      <c r="Q83" s="719"/>
      <c r="R83" s="1486"/>
      <c r="S83" s="1486"/>
    </row>
    <row r="84" spans="1:19" s="458" customFormat="1" ht="13.15" customHeight="1">
      <c r="B84" s="461" t="s">
        <v>3000</v>
      </c>
      <c r="C84" s="461" t="s">
        <v>636</v>
      </c>
      <c r="H84" s="1442"/>
      <c r="I84" s="1190"/>
      <c r="J84" s="1190"/>
      <c r="K84" s="1190"/>
      <c r="L84" s="1190"/>
      <c r="M84" s="1190"/>
      <c r="N84" s="1191"/>
      <c r="O84" s="714" t="s">
        <v>3116</v>
      </c>
      <c r="P84" s="714"/>
      <c r="Q84" s="1442"/>
      <c r="R84" s="1190"/>
      <c r="S84" s="1191"/>
    </row>
    <row r="85" spans="1:19" s="458" customFormat="1" ht="13.15" customHeight="1">
      <c r="D85" s="508"/>
      <c r="E85" s="464" t="s">
        <v>1670</v>
      </c>
      <c r="F85" s="472"/>
      <c r="H85" s="1442"/>
      <c r="I85" s="1190"/>
      <c r="J85" s="1190"/>
      <c r="K85" s="1190"/>
      <c r="L85" s="1190"/>
      <c r="M85" s="1190"/>
      <c r="N85" s="1191"/>
      <c r="O85" s="714" t="s">
        <v>2913</v>
      </c>
      <c r="Q85" s="1442"/>
      <c r="R85" s="1190"/>
      <c r="S85" s="1191"/>
    </row>
    <row r="86" spans="1:19" s="458" customFormat="1" ht="13.15" customHeight="1">
      <c r="D86" s="508"/>
      <c r="E86" s="464" t="s">
        <v>1033</v>
      </c>
      <c r="H86" s="1442"/>
      <c r="I86" s="1190"/>
      <c r="J86" s="1191"/>
      <c r="O86" s="714" t="s">
        <v>2959</v>
      </c>
      <c r="Q86" s="1473"/>
      <c r="R86" s="1474"/>
      <c r="S86" s="1475"/>
    </row>
    <row r="87" spans="1:19" s="458" customFormat="1" ht="13.15" customHeight="1">
      <c r="E87" s="464" t="s">
        <v>3068</v>
      </c>
      <c r="H87" s="1439"/>
      <c r="I87" s="493" t="s">
        <v>3562</v>
      </c>
      <c r="J87" s="1476"/>
      <c r="K87" s="1191"/>
      <c r="O87" s="714" t="s">
        <v>2996</v>
      </c>
      <c r="Q87" s="1473"/>
      <c r="R87" s="1474"/>
      <c r="S87" s="1475"/>
    </row>
    <row r="88" spans="1:19" s="458" customFormat="1" ht="13.15" customHeight="1">
      <c r="D88" s="508"/>
      <c r="E88" s="464" t="s">
        <v>3111</v>
      </c>
      <c r="H88" s="1473"/>
      <c r="I88" s="1475"/>
      <c r="J88" s="1478"/>
      <c r="K88" s="719" t="s">
        <v>2958</v>
      </c>
      <c r="L88" s="1479"/>
      <c r="M88" s="1191"/>
      <c r="N88" s="466" t="s">
        <v>3110</v>
      </c>
      <c r="O88" s="1480"/>
      <c r="P88" s="1481"/>
      <c r="Q88" s="1481"/>
      <c r="R88" s="1481"/>
      <c r="S88" s="1482"/>
    </row>
    <row r="89" spans="1:19" ht="6.4" customHeight="1">
      <c r="H89" s="1487"/>
      <c r="I89" s="1487"/>
      <c r="J89" s="1487"/>
      <c r="K89" s="719"/>
      <c r="L89" s="1487"/>
      <c r="M89" s="1487"/>
      <c r="N89" s="717"/>
      <c r="O89" s="1486"/>
      <c r="P89" s="1486"/>
      <c r="Q89" s="719"/>
      <c r="R89" s="1486"/>
      <c r="S89" s="1486"/>
    </row>
    <row r="90" spans="1:19" s="458" customFormat="1" ht="13.15" customHeight="1">
      <c r="B90" s="461" t="s">
        <v>3112</v>
      </c>
      <c r="C90" s="461" t="s">
        <v>637</v>
      </c>
      <c r="H90" s="1442" t="s">
        <v>4031</v>
      </c>
      <c r="I90" s="1190"/>
      <c r="J90" s="1190"/>
      <c r="K90" s="1190"/>
      <c r="L90" s="1190"/>
      <c r="M90" s="1190"/>
      <c r="N90" s="1191"/>
      <c r="O90" s="714" t="s">
        <v>3116</v>
      </c>
      <c r="P90" s="714"/>
      <c r="Q90" s="1442" t="s">
        <v>4045</v>
      </c>
      <c r="R90" s="1190"/>
      <c r="S90" s="1191"/>
    </row>
    <row r="91" spans="1:19" s="458" customFormat="1" ht="13.15" customHeight="1">
      <c r="D91" s="508"/>
      <c r="E91" s="464" t="s">
        <v>1670</v>
      </c>
      <c r="F91" s="472"/>
      <c r="H91" s="1442" t="s">
        <v>4044</v>
      </c>
      <c r="I91" s="1190"/>
      <c r="J91" s="1190"/>
      <c r="K91" s="1190"/>
      <c r="L91" s="1190"/>
      <c r="M91" s="1190"/>
      <c r="N91" s="1191"/>
      <c r="O91" s="714" t="s">
        <v>2913</v>
      </c>
      <c r="Q91" s="1442" t="s">
        <v>4046</v>
      </c>
      <c r="R91" s="1190"/>
      <c r="S91" s="1191"/>
    </row>
    <row r="92" spans="1:19" s="458" customFormat="1" ht="13.15" customHeight="1">
      <c r="D92" s="508"/>
      <c r="E92" s="464" t="s">
        <v>1033</v>
      </c>
      <c r="H92" s="1442" t="s">
        <v>4043</v>
      </c>
      <c r="I92" s="1190"/>
      <c r="J92" s="1191"/>
      <c r="O92" s="714" t="s">
        <v>2959</v>
      </c>
      <c r="Q92" s="1473">
        <v>2568786054</v>
      </c>
      <c r="R92" s="1474"/>
      <c r="S92" s="1475"/>
    </row>
    <row r="93" spans="1:19" s="458" customFormat="1" ht="13.15" customHeight="1">
      <c r="E93" s="464" t="s">
        <v>3068</v>
      </c>
      <c r="H93" s="1439" t="s">
        <v>1442</v>
      </c>
      <c r="I93" s="493" t="s">
        <v>3562</v>
      </c>
      <c r="J93" s="1476">
        <v>359500000</v>
      </c>
      <c r="K93" s="1191"/>
      <c r="O93" s="714" t="s">
        <v>2996</v>
      </c>
      <c r="Q93" s="1473"/>
      <c r="R93" s="1474"/>
      <c r="S93" s="1475"/>
    </row>
    <row r="94" spans="1:19" s="458" customFormat="1" ht="13.15" customHeight="1">
      <c r="D94" s="508"/>
      <c r="E94" s="464" t="s">
        <v>3111</v>
      </c>
      <c r="H94" s="1473">
        <v>2568786054</v>
      </c>
      <c r="I94" s="1475"/>
      <c r="J94" s="1478"/>
      <c r="K94" s="719" t="s">
        <v>2958</v>
      </c>
      <c r="L94" s="1479">
        <v>2568786122</v>
      </c>
      <c r="M94" s="1191"/>
      <c r="N94" s="466" t="s">
        <v>3110</v>
      </c>
      <c r="O94" s="1480" t="s">
        <v>4047</v>
      </c>
      <c r="P94" s="1481"/>
      <c r="Q94" s="1481"/>
      <c r="R94" s="1481"/>
      <c r="S94" s="1482"/>
    </row>
    <row r="95" spans="1:19" ht="6.4" customHeight="1">
      <c r="H95" s="1487"/>
      <c r="I95" s="1487"/>
      <c r="J95" s="1487"/>
      <c r="K95" s="719"/>
      <c r="L95" s="1487"/>
      <c r="M95" s="1487"/>
      <c r="N95" s="717"/>
      <c r="O95" s="1486"/>
      <c r="P95" s="1486"/>
      <c r="Q95" s="719"/>
      <c r="R95" s="1486"/>
      <c r="S95" s="1486"/>
    </row>
    <row r="96" spans="1:19" s="458" customFormat="1" ht="13.15" customHeight="1">
      <c r="B96" s="461" t="s">
        <v>1517</v>
      </c>
      <c r="C96" s="461" t="s">
        <v>638</v>
      </c>
      <c r="F96" s="482"/>
      <c r="H96" s="1442" t="s">
        <v>4048</v>
      </c>
      <c r="I96" s="1190"/>
      <c r="J96" s="1190"/>
      <c r="K96" s="1190"/>
      <c r="L96" s="1190"/>
      <c r="M96" s="1190"/>
      <c r="N96" s="1191"/>
      <c r="O96" s="714" t="s">
        <v>3116</v>
      </c>
      <c r="P96" s="714"/>
      <c r="Q96" s="1442" t="s">
        <v>4050</v>
      </c>
      <c r="R96" s="1190"/>
      <c r="S96" s="1191"/>
    </row>
    <row r="97" spans="2:19" s="458" customFormat="1" ht="13.15" customHeight="1">
      <c r="D97" s="508"/>
      <c r="E97" s="464" t="s">
        <v>1670</v>
      </c>
      <c r="F97" s="472"/>
      <c r="H97" s="1442" t="s">
        <v>4049</v>
      </c>
      <c r="I97" s="1190"/>
      <c r="J97" s="1190"/>
      <c r="K97" s="1190"/>
      <c r="L97" s="1190"/>
      <c r="M97" s="1190"/>
      <c r="N97" s="1191"/>
      <c r="O97" s="714" t="s">
        <v>2913</v>
      </c>
      <c r="Q97" s="1442" t="s">
        <v>4051</v>
      </c>
      <c r="R97" s="1190"/>
      <c r="S97" s="1191"/>
    </row>
    <row r="98" spans="2:19" s="458" customFormat="1" ht="13.15" customHeight="1">
      <c r="D98" s="508"/>
      <c r="E98" s="464" t="s">
        <v>1033</v>
      </c>
      <c r="H98" s="1442" t="s">
        <v>4064</v>
      </c>
      <c r="I98" s="1190"/>
      <c r="J98" s="1191"/>
      <c r="O98" s="714" t="s">
        <v>2959</v>
      </c>
      <c r="Q98" s="1473">
        <v>7703861140</v>
      </c>
      <c r="R98" s="1474"/>
      <c r="S98" s="1475"/>
    </row>
    <row r="99" spans="2:19" s="458" customFormat="1" ht="13.15" customHeight="1">
      <c r="D99" s="508"/>
      <c r="E99" s="464" t="s">
        <v>3068</v>
      </c>
      <c r="H99" s="1439" t="s">
        <v>1452</v>
      </c>
      <c r="I99" s="493" t="s">
        <v>3562</v>
      </c>
      <c r="J99" s="1476">
        <v>301204886</v>
      </c>
      <c r="K99" s="1191"/>
      <c r="O99" s="714" t="s">
        <v>2996</v>
      </c>
      <c r="Q99" s="1473"/>
      <c r="R99" s="1474"/>
      <c r="S99" s="1475"/>
    </row>
    <row r="100" spans="2:19" s="458" customFormat="1" ht="13.15" customHeight="1">
      <c r="D100" s="508"/>
      <c r="E100" s="464" t="s">
        <v>3111</v>
      </c>
      <c r="H100" s="1473">
        <v>7703861140</v>
      </c>
      <c r="I100" s="1475"/>
      <c r="J100" s="1478"/>
      <c r="K100" s="719" t="s">
        <v>2958</v>
      </c>
      <c r="L100" s="1479">
        <v>7703861937</v>
      </c>
      <c r="M100" s="1191"/>
      <c r="N100" s="466" t="s">
        <v>3110</v>
      </c>
      <c r="O100" s="1480" t="s">
        <v>4078</v>
      </c>
      <c r="P100" s="1481"/>
      <c r="Q100" s="1481"/>
      <c r="R100" s="1481"/>
      <c r="S100" s="1482"/>
    </row>
    <row r="101" spans="2:19" ht="6.4" customHeight="1">
      <c r="H101" s="1487"/>
      <c r="I101" s="1487"/>
      <c r="J101" s="1487"/>
      <c r="K101" s="719"/>
      <c r="L101" s="1487"/>
      <c r="M101" s="1487"/>
      <c r="N101" s="717"/>
      <c r="O101" s="1486"/>
      <c r="P101" s="1486"/>
      <c r="Q101" s="719"/>
      <c r="R101" s="1486"/>
      <c r="S101" s="1486"/>
    </row>
    <row r="102" spans="2:19" s="458" customFormat="1" ht="13.15" customHeight="1">
      <c r="B102" s="461" t="s">
        <v>3316</v>
      </c>
      <c r="C102" s="461" t="s">
        <v>639</v>
      </c>
      <c r="H102" s="1442" t="s">
        <v>4079</v>
      </c>
      <c r="I102" s="1190"/>
      <c r="J102" s="1190"/>
      <c r="K102" s="1190"/>
      <c r="L102" s="1190"/>
      <c r="M102" s="1190"/>
      <c r="N102" s="1191"/>
      <c r="O102" s="714" t="s">
        <v>3116</v>
      </c>
      <c r="P102" s="714"/>
      <c r="Q102" s="1442" t="s">
        <v>4082</v>
      </c>
      <c r="R102" s="1190"/>
      <c r="S102" s="1191"/>
    </row>
    <row r="103" spans="2:19" s="458" customFormat="1" ht="13.15" customHeight="1">
      <c r="D103" s="508"/>
      <c r="E103" s="464" t="s">
        <v>1670</v>
      </c>
      <c r="F103" s="472"/>
      <c r="H103" s="1442" t="s">
        <v>4080</v>
      </c>
      <c r="I103" s="1190"/>
      <c r="J103" s="1190"/>
      <c r="K103" s="1190"/>
      <c r="L103" s="1190"/>
      <c r="M103" s="1190"/>
      <c r="N103" s="1191"/>
      <c r="O103" s="714" t="s">
        <v>2913</v>
      </c>
      <c r="Q103" s="1442" t="s">
        <v>4083</v>
      </c>
      <c r="R103" s="1190"/>
      <c r="S103" s="1191"/>
    </row>
    <row r="104" spans="2:19" s="458" customFormat="1" ht="13.15" customHeight="1">
      <c r="D104" s="508"/>
      <c r="E104" s="464" t="s">
        <v>1033</v>
      </c>
      <c r="H104" s="1442" t="s">
        <v>4081</v>
      </c>
      <c r="I104" s="1190"/>
      <c r="J104" s="1191"/>
      <c r="O104" s="714" t="s">
        <v>2959</v>
      </c>
      <c r="Q104" s="1473">
        <v>2292427562</v>
      </c>
      <c r="R104" s="1474"/>
      <c r="S104" s="1475"/>
    </row>
    <row r="105" spans="2:19" s="458" customFormat="1" ht="13.15" customHeight="1">
      <c r="D105" s="508"/>
      <c r="E105" s="464" t="s">
        <v>3068</v>
      </c>
      <c r="H105" s="1439" t="s">
        <v>1452</v>
      </c>
      <c r="I105" s="493" t="s">
        <v>3562</v>
      </c>
      <c r="J105" s="1476">
        <v>316010000</v>
      </c>
      <c r="K105" s="1191"/>
      <c r="O105" s="714" t="s">
        <v>2996</v>
      </c>
      <c r="Q105" s="1473"/>
      <c r="R105" s="1474"/>
      <c r="S105" s="1475"/>
    </row>
    <row r="106" spans="2:19" ht="13.15" customHeight="1">
      <c r="E106" s="464" t="s">
        <v>3111</v>
      </c>
      <c r="F106" s="458"/>
      <c r="G106" s="458"/>
      <c r="H106" s="1473">
        <v>2292427562</v>
      </c>
      <c r="I106" s="1475"/>
      <c r="J106" s="1478">
        <v>216</v>
      </c>
      <c r="K106" s="719" t="s">
        <v>2958</v>
      </c>
      <c r="L106" s="1479">
        <v>2293330885</v>
      </c>
      <c r="M106" s="1191"/>
      <c r="N106" s="466" t="s">
        <v>3110</v>
      </c>
      <c r="O106" s="1480" t="s">
        <v>4084</v>
      </c>
      <c r="P106" s="1481"/>
      <c r="Q106" s="1481"/>
      <c r="R106" s="1481"/>
      <c r="S106" s="1482"/>
    </row>
    <row r="107" spans="2:19" ht="6" customHeight="1">
      <c r="E107" s="464"/>
      <c r="F107" s="458"/>
      <c r="G107" s="458"/>
      <c r="H107" s="458"/>
      <c r="I107" s="458"/>
      <c r="J107" s="458"/>
      <c r="K107" s="458"/>
      <c r="L107" s="458"/>
      <c r="M107" s="458"/>
      <c r="N107" s="458"/>
      <c r="O107" s="458"/>
      <c r="P107" s="458"/>
      <c r="Q107" s="719"/>
      <c r="R107" s="719"/>
      <c r="S107" s="1489"/>
    </row>
    <row r="108" spans="2:19" ht="0.4" customHeight="1">
      <c r="E108" s="464"/>
      <c r="F108" s="458"/>
      <c r="G108" s="721"/>
      <c r="H108" s="1485"/>
      <c r="I108" s="1485"/>
      <c r="J108" s="1485"/>
      <c r="K108" s="717"/>
      <c r="L108" s="1485"/>
      <c r="M108" s="1485"/>
      <c r="N108" s="717"/>
      <c r="O108" s="1486"/>
      <c r="P108" s="1486"/>
      <c r="Q108" s="719"/>
      <c r="R108" s="1486"/>
      <c r="S108" s="1486"/>
    </row>
    <row r="109" spans="2:19" s="458" customFormat="1" ht="13.15" customHeight="1">
      <c r="B109" s="461" t="s">
        <v>2901</v>
      </c>
      <c r="C109" s="461" t="s">
        <v>640</v>
      </c>
      <c r="H109" s="1442" t="s">
        <v>4085</v>
      </c>
      <c r="I109" s="1190"/>
      <c r="J109" s="1190"/>
      <c r="K109" s="1190"/>
      <c r="L109" s="1190"/>
      <c r="M109" s="1190"/>
      <c r="N109" s="1191"/>
      <c r="O109" s="714" t="s">
        <v>3116</v>
      </c>
      <c r="P109" s="714"/>
      <c r="Q109" s="1442" t="s">
        <v>4088</v>
      </c>
      <c r="R109" s="1190"/>
      <c r="S109" s="1191"/>
    </row>
    <row r="110" spans="2:19" s="458" customFormat="1" ht="13.15" customHeight="1">
      <c r="D110" s="508"/>
      <c r="E110" s="464" t="s">
        <v>1670</v>
      </c>
      <c r="F110" s="472"/>
      <c r="H110" s="1442" t="s">
        <v>4086</v>
      </c>
      <c r="I110" s="1190"/>
      <c r="J110" s="1190"/>
      <c r="K110" s="1190"/>
      <c r="L110" s="1190"/>
      <c r="M110" s="1190"/>
      <c r="N110" s="1191"/>
      <c r="O110" s="714" t="s">
        <v>2913</v>
      </c>
      <c r="Q110" s="1442" t="s">
        <v>4083</v>
      </c>
      <c r="R110" s="1190"/>
      <c r="S110" s="1191"/>
    </row>
    <row r="111" spans="2:19" s="458" customFormat="1" ht="13.15" customHeight="1">
      <c r="D111" s="508"/>
      <c r="E111" s="464" t="s">
        <v>1033</v>
      </c>
      <c r="H111" s="1442" t="s">
        <v>4087</v>
      </c>
      <c r="I111" s="1190"/>
      <c r="J111" s="1191"/>
      <c r="O111" s="714" t="s">
        <v>2959</v>
      </c>
      <c r="Q111" s="1473">
        <v>4048988244</v>
      </c>
      <c r="R111" s="1474"/>
      <c r="S111" s="1475"/>
    </row>
    <row r="112" spans="2:19" s="458" customFormat="1" ht="13.15" customHeight="1">
      <c r="D112" s="508"/>
      <c r="E112" s="464" t="s">
        <v>3068</v>
      </c>
      <c r="H112" s="1439" t="s">
        <v>1452</v>
      </c>
      <c r="I112" s="493" t="s">
        <v>3562</v>
      </c>
      <c r="J112" s="1476">
        <v>303280000</v>
      </c>
      <c r="K112" s="1191"/>
      <c r="O112" s="714" t="s">
        <v>2996</v>
      </c>
      <c r="Q112" s="1473"/>
      <c r="R112" s="1474"/>
      <c r="S112" s="1475"/>
    </row>
    <row r="113" spans="1:19" ht="13.15" customHeight="1">
      <c r="E113" s="464" t="s">
        <v>3111</v>
      </c>
      <c r="F113" s="458"/>
      <c r="G113" s="458"/>
      <c r="H113" s="1473">
        <v>7703537115</v>
      </c>
      <c r="I113" s="1475"/>
      <c r="J113" s="1478"/>
      <c r="K113" s="719" t="s">
        <v>2958</v>
      </c>
      <c r="L113" s="1479">
        <v>7703513271</v>
      </c>
      <c r="M113" s="1191"/>
      <c r="N113" s="466" t="s">
        <v>3110</v>
      </c>
      <c r="O113" s="1480" t="s">
        <v>3954</v>
      </c>
      <c r="P113" s="1481"/>
      <c r="Q113" s="1481"/>
      <c r="R113" s="1481"/>
      <c r="S113" s="1482"/>
    </row>
    <row r="114" spans="1:19" ht="6.4" customHeight="1">
      <c r="E114" s="464"/>
      <c r="F114" s="458"/>
      <c r="G114" s="721"/>
      <c r="H114" s="1487"/>
      <c r="I114" s="1487"/>
      <c r="J114" s="1487"/>
      <c r="K114" s="719"/>
      <c r="L114" s="1487"/>
      <c r="M114" s="1487"/>
      <c r="N114" s="717"/>
      <c r="O114" s="1486"/>
      <c r="P114" s="1486"/>
      <c r="Q114" s="719"/>
      <c r="R114" s="1486"/>
      <c r="S114" s="1486"/>
    </row>
    <row r="115" spans="1:19" s="458" customFormat="1" ht="13.15" customHeight="1">
      <c r="B115" s="461" t="s">
        <v>2902</v>
      </c>
      <c r="C115" s="461" t="s">
        <v>641</v>
      </c>
      <c r="H115" s="1442" t="s">
        <v>3955</v>
      </c>
      <c r="I115" s="1190"/>
      <c r="J115" s="1190"/>
      <c r="K115" s="1190"/>
      <c r="L115" s="1190"/>
      <c r="M115" s="1190"/>
      <c r="N115" s="1191"/>
      <c r="O115" s="714" t="s">
        <v>3116</v>
      </c>
      <c r="P115" s="714"/>
      <c r="Q115" s="1442" t="s">
        <v>3958</v>
      </c>
      <c r="R115" s="1190"/>
      <c r="S115" s="1191"/>
    </row>
    <row r="116" spans="1:19" s="458" customFormat="1" ht="13.15" customHeight="1">
      <c r="D116" s="508"/>
      <c r="E116" s="464" t="s">
        <v>1670</v>
      </c>
      <c r="F116" s="472"/>
      <c r="H116" s="1442" t="s">
        <v>3956</v>
      </c>
      <c r="I116" s="1190"/>
      <c r="J116" s="1190"/>
      <c r="K116" s="1190"/>
      <c r="L116" s="1190"/>
      <c r="M116" s="1190"/>
      <c r="N116" s="1191"/>
      <c r="O116" s="714" t="s">
        <v>2913</v>
      </c>
      <c r="Q116" s="1442" t="s">
        <v>3833</v>
      </c>
      <c r="R116" s="1190"/>
      <c r="S116" s="1191"/>
    </row>
    <row r="117" spans="1:19" s="458" customFormat="1" ht="13.15" customHeight="1">
      <c r="D117" s="508"/>
      <c r="E117" s="464" t="s">
        <v>1033</v>
      </c>
      <c r="H117" s="1442" t="s">
        <v>3957</v>
      </c>
      <c r="I117" s="1190"/>
      <c r="J117" s="1191"/>
      <c r="O117" s="714" t="s">
        <v>2959</v>
      </c>
      <c r="Q117" s="1473">
        <v>3342724044</v>
      </c>
      <c r="R117" s="1474"/>
      <c r="S117" s="1475"/>
    </row>
    <row r="118" spans="1:19" s="458" customFormat="1" ht="13.15" customHeight="1">
      <c r="D118" s="513"/>
      <c r="E118" s="464" t="s">
        <v>3068</v>
      </c>
      <c r="H118" s="1439" t="s">
        <v>1442</v>
      </c>
      <c r="I118" s="493" t="s">
        <v>3562</v>
      </c>
      <c r="J118" s="1476">
        <v>361060000</v>
      </c>
      <c r="K118" s="1191"/>
      <c r="O118" s="714" t="s">
        <v>2996</v>
      </c>
      <c r="Q118" s="1473"/>
      <c r="R118" s="1474"/>
      <c r="S118" s="1475"/>
    </row>
    <row r="119" spans="1:19" s="458" customFormat="1" ht="13.15" customHeight="1">
      <c r="D119" s="513"/>
      <c r="E119" s="464" t="s">
        <v>3111</v>
      </c>
      <c r="H119" s="1473">
        <v>3342724044</v>
      </c>
      <c r="I119" s="1475"/>
      <c r="J119" s="1478"/>
      <c r="K119" s="719" t="s">
        <v>2958</v>
      </c>
      <c r="L119" s="1479">
        <v>3342440347</v>
      </c>
      <c r="M119" s="1191"/>
      <c r="N119" s="466" t="s">
        <v>3110</v>
      </c>
      <c r="O119" s="1480" t="s">
        <v>3832</v>
      </c>
      <c r="P119" s="1481"/>
      <c r="Q119" s="1481"/>
      <c r="R119" s="1481"/>
      <c r="S119" s="1482"/>
    </row>
    <row r="120" spans="1:19" ht="13.15" customHeight="1"/>
    <row r="121" spans="1:19" s="458" customFormat="1" ht="13.15" customHeight="1">
      <c r="A121" s="461" t="s">
        <v>2950</v>
      </c>
      <c r="B121" s="461" t="s">
        <v>4010</v>
      </c>
      <c r="F121" s="461"/>
      <c r="G121" s="719"/>
      <c r="H121" s="719"/>
      <c r="I121" s="719"/>
      <c r="J121" s="719"/>
      <c r="K121" s="719"/>
      <c r="L121" s="719"/>
      <c r="M121" s="719"/>
      <c r="N121" s="719"/>
      <c r="O121" s="719"/>
      <c r="P121" s="719"/>
      <c r="Q121" s="713"/>
    </row>
    <row r="122" spans="1:19" s="458" customFormat="1" ht="6.4" customHeight="1">
      <c r="A122" s="461"/>
      <c r="B122" s="461"/>
      <c r="F122" s="461"/>
      <c r="G122" s="719"/>
      <c r="H122" s="719"/>
      <c r="I122" s="719"/>
      <c r="J122" s="719"/>
      <c r="K122" s="719"/>
      <c r="L122" s="719"/>
      <c r="M122" s="719"/>
      <c r="N122" s="719"/>
      <c r="O122" s="719"/>
      <c r="P122" s="719"/>
      <c r="Q122" s="713"/>
    </row>
    <row r="123" spans="1:19" s="458" customFormat="1" ht="21.4" customHeight="1">
      <c r="A123" s="835" t="s">
        <v>1046</v>
      </c>
      <c r="B123" s="1490"/>
      <c r="C123" s="1490"/>
      <c r="D123" s="1491"/>
      <c r="E123" s="836" t="s">
        <v>3730</v>
      </c>
      <c r="F123" s="811" t="s">
        <v>3551</v>
      </c>
      <c r="G123" s="804" t="s">
        <v>3630</v>
      </c>
      <c r="H123" s="815"/>
      <c r="I123" s="816"/>
      <c r="J123" s="804" t="s">
        <v>3569</v>
      </c>
      <c r="K123" s="822"/>
      <c r="L123" s="804" t="s">
        <v>3570</v>
      </c>
      <c r="M123" s="827"/>
      <c r="N123" s="804" t="s">
        <v>3571</v>
      </c>
      <c r="O123" s="816"/>
      <c r="P123" s="804" t="s">
        <v>3572</v>
      </c>
      <c r="Q123" s="816"/>
      <c r="R123" s="804" t="s">
        <v>3573</v>
      </c>
      <c r="S123" s="805"/>
    </row>
    <row r="124" spans="1:19" s="458" customFormat="1" ht="21.4" customHeight="1">
      <c r="A124" s="1492"/>
      <c r="B124" s="1493"/>
      <c r="C124" s="1493"/>
      <c r="D124" s="1494"/>
      <c r="E124" s="837"/>
      <c r="F124" s="812"/>
      <c r="G124" s="806"/>
      <c r="H124" s="817"/>
      <c r="I124" s="818"/>
      <c r="J124" s="823"/>
      <c r="K124" s="824"/>
      <c r="L124" s="806"/>
      <c r="M124" s="828"/>
      <c r="N124" s="806"/>
      <c r="O124" s="818"/>
      <c r="P124" s="806"/>
      <c r="Q124" s="818"/>
      <c r="R124" s="806"/>
      <c r="S124" s="807"/>
    </row>
    <row r="125" spans="1:19" s="458" customFormat="1" ht="21.4" customHeight="1">
      <c r="A125" s="1492"/>
      <c r="B125" s="1493"/>
      <c r="C125" s="1493"/>
      <c r="D125" s="1494"/>
      <c r="E125" s="837"/>
      <c r="F125" s="813"/>
      <c r="G125" s="806"/>
      <c r="H125" s="817"/>
      <c r="I125" s="818"/>
      <c r="J125" s="823"/>
      <c r="K125" s="824"/>
      <c r="L125" s="829"/>
      <c r="M125" s="828"/>
      <c r="N125" s="806"/>
      <c r="O125" s="818"/>
      <c r="P125" s="806"/>
      <c r="Q125" s="818"/>
      <c r="R125" s="808"/>
      <c r="S125" s="807"/>
    </row>
    <row r="126" spans="1:19" s="458" customFormat="1" ht="21.4" customHeight="1">
      <c r="A126" s="1492"/>
      <c r="B126" s="1493"/>
      <c r="C126" s="1493"/>
      <c r="D126" s="1494"/>
      <c r="E126" s="837"/>
      <c r="F126" s="813"/>
      <c r="G126" s="806"/>
      <c r="H126" s="817"/>
      <c r="I126" s="818"/>
      <c r="J126" s="823"/>
      <c r="K126" s="824"/>
      <c r="L126" s="829"/>
      <c r="M126" s="828"/>
      <c r="N126" s="806"/>
      <c r="O126" s="818"/>
      <c r="P126" s="806"/>
      <c r="Q126" s="818"/>
      <c r="R126" s="808"/>
      <c r="S126" s="807"/>
    </row>
    <row r="127" spans="1:19" s="458" customFormat="1" ht="21.4" customHeight="1">
      <c r="A127" s="1495"/>
      <c r="B127" s="1496"/>
      <c r="C127" s="1496"/>
      <c r="D127" s="1497"/>
      <c r="E127" s="838"/>
      <c r="F127" s="814"/>
      <c r="G127" s="819"/>
      <c r="H127" s="820"/>
      <c r="I127" s="821"/>
      <c r="J127" s="825"/>
      <c r="K127" s="826"/>
      <c r="L127" s="830"/>
      <c r="M127" s="831"/>
      <c r="N127" s="819"/>
      <c r="O127" s="821"/>
      <c r="P127" s="819"/>
      <c r="Q127" s="821"/>
      <c r="R127" s="809"/>
      <c r="S127" s="810"/>
    </row>
    <row r="128" spans="1:19" s="458" customFormat="1" ht="13.9" customHeight="1">
      <c r="A128" s="723" t="s">
        <v>3550</v>
      </c>
      <c r="B128" s="724"/>
      <c r="C128" s="724"/>
      <c r="D128" s="725"/>
      <c r="E128" s="1498" t="s">
        <v>139</v>
      </c>
      <c r="F128" s="1498" t="s">
        <v>139</v>
      </c>
      <c r="G128" s="1499" t="s">
        <v>139</v>
      </c>
      <c r="H128" s="1500"/>
      <c r="I128" s="1501"/>
      <c r="J128" s="1499" t="s">
        <v>3834</v>
      </c>
      <c r="K128" s="1501"/>
      <c r="L128" s="1499" t="s">
        <v>139</v>
      </c>
      <c r="M128" s="1501"/>
      <c r="N128" s="1499" t="s">
        <v>139</v>
      </c>
      <c r="O128" s="1501"/>
      <c r="P128" s="1502" t="s">
        <v>4060</v>
      </c>
      <c r="Q128" s="1503"/>
      <c r="R128" s="1504">
        <v>1E-4</v>
      </c>
      <c r="S128" s="1505"/>
    </row>
    <row r="129" spans="1:19" s="458" customFormat="1" ht="13.9" customHeight="1">
      <c r="A129" s="720" t="s">
        <v>3546</v>
      </c>
      <c r="B129" s="721"/>
      <c r="C129" s="721"/>
      <c r="D129" s="722"/>
      <c r="E129" s="1506"/>
      <c r="F129" s="1506"/>
      <c r="G129" s="1507"/>
      <c r="H129" s="1508"/>
      <c r="I129" s="1509"/>
      <c r="J129" s="1507"/>
      <c r="K129" s="1509"/>
      <c r="L129" s="1507"/>
      <c r="M129" s="1509"/>
      <c r="N129" s="1507"/>
      <c r="O129" s="1509"/>
      <c r="P129" s="1510"/>
      <c r="Q129" s="1511"/>
      <c r="R129" s="1512"/>
      <c r="S129" s="1513"/>
    </row>
    <row r="130" spans="1:19" s="458" customFormat="1" ht="13.9" customHeight="1">
      <c r="A130" s="720" t="s">
        <v>3547</v>
      </c>
      <c r="B130" s="721"/>
      <c r="C130" s="721"/>
      <c r="D130" s="722"/>
      <c r="E130" s="1506"/>
      <c r="F130" s="1506"/>
      <c r="G130" s="1507"/>
      <c r="H130" s="1508"/>
      <c r="I130" s="1509"/>
      <c r="J130" s="1507"/>
      <c r="K130" s="1509"/>
      <c r="L130" s="1507"/>
      <c r="M130" s="1509"/>
      <c r="N130" s="1507"/>
      <c r="O130" s="1509"/>
      <c r="P130" s="1510"/>
      <c r="Q130" s="1511"/>
      <c r="R130" s="1512"/>
      <c r="S130" s="1513"/>
    </row>
    <row r="131" spans="1:19" s="458" customFormat="1" ht="13.9" customHeight="1">
      <c r="A131" s="720" t="s">
        <v>3548</v>
      </c>
      <c r="B131" s="721"/>
      <c r="C131" s="721"/>
      <c r="D131" s="722"/>
      <c r="E131" s="1506" t="s">
        <v>139</v>
      </c>
      <c r="F131" s="1506" t="s">
        <v>139</v>
      </c>
      <c r="G131" s="1507" t="s">
        <v>139</v>
      </c>
      <c r="H131" s="1508"/>
      <c r="I131" s="1509"/>
      <c r="J131" s="1507" t="s">
        <v>139</v>
      </c>
      <c r="K131" s="1509"/>
      <c r="L131" s="1507" t="s">
        <v>139</v>
      </c>
      <c r="M131" s="1509"/>
      <c r="N131" s="1507" t="s">
        <v>139</v>
      </c>
      <c r="O131" s="1509"/>
      <c r="P131" s="1510" t="s">
        <v>4060</v>
      </c>
      <c r="Q131" s="1511"/>
      <c r="R131" s="1512">
        <v>0.99990000000000001</v>
      </c>
      <c r="S131" s="1513"/>
    </row>
    <row r="132" spans="1:19" s="458" customFormat="1" ht="13.9" customHeight="1">
      <c r="A132" s="720" t="s">
        <v>3549</v>
      </c>
      <c r="B132" s="721"/>
      <c r="C132" s="721"/>
      <c r="D132" s="722"/>
      <c r="E132" s="1506" t="s">
        <v>139</v>
      </c>
      <c r="F132" s="1506" t="s">
        <v>139</v>
      </c>
      <c r="G132" s="1507" t="s">
        <v>139</v>
      </c>
      <c r="H132" s="1508"/>
      <c r="I132" s="1509"/>
      <c r="J132" s="1507" t="s">
        <v>140</v>
      </c>
      <c r="K132" s="1509"/>
      <c r="L132" s="1507" t="s">
        <v>139</v>
      </c>
      <c r="M132" s="1509"/>
      <c r="N132" s="1507" t="s">
        <v>139</v>
      </c>
      <c r="O132" s="1509"/>
      <c r="P132" s="1510" t="s">
        <v>4060</v>
      </c>
      <c r="Q132" s="1511"/>
      <c r="R132" s="1512"/>
      <c r="S132" s="1513"/>
    </row>
    <row r="133" spans="1:19" s="458" customFormat="1" ht="13.9" customHeight="1">
      <c r="A133" s="720" t="s">
        <v>3451</v>
      </c>
      <c r="B133" s="721"/>
      <c r="C133" s="721"/>
      <c r="D133" s="722"/>
      <c r="E133" s="1506"/>
      <c r="F133" s="1506"/>
      <c r="G133" s="1507"/>
      <c r="H133" s="1508"/>
      <c r="I133" s="1509"/>
      <c r="J133" s="1507"/>
      <c r="K133" s="1509"/>
      <c r="L133" s="1507"/>
      <c r="M133" s="1509"/>
      <c r="N133" s="1507"/>
      <c r="O133" s="1509"/>
      <c r="P133" s="1510"/>
      <c r="Q133" s="1511"/>
      <c r="R133" s="1512"/>
      <c r="S133" s="1513"/>
    </row>
    <row r="134" spans="1:19" s="458" customFormat="1" ht="13.9" customHeight="1">
      <c r="A134" s="720" t="s">
        <v>1212</v>
      </c>
      <c r="B134" s="721"/>
      <c r="C134" s="721"/>
      <c r="D134" s="722"/>
      <c r="E134" s="1506" t="s">
        <v>139</v>
      </c>
      <c r="F134" s="1506" t="s">
        <v>139</v>
      </c>
      <c r="G134" s="1507" t="s">
        <v>139</v>
      </c>
      <c r="H134" s="1508"/>
      <c r="I134" s="1509"/>
      <c r="J134" s="1507" t="s">
        <v>3834</v>
      </c>
      <c r="K134" s="1509"/>
      <c r="L134" s="1507" t="s">
        <v>139</v>
      </c>
      <c r="M134" s="1509"/>
      <c r="N134" s="1507" t="s">
        <v>139</v>
      </c>
      <c r="O134" s="1509"/>
      <c r="P134" s="1510" t="s">
        <v>4060</v>
      </c>
      <c r="Q134" s="1511"/>
      <c r="R134" s="1512"/>
      <c r="S134" s="1513"/>
    </row>
    <row r="135" spans="1:19" s="458" customFormat="1" ht="13.9" customHeight="1">
      <c r="A135" s="720" t="s">
        <v>3452</v>
      </c>
      <c r="B135" s="721"/>
      <c r="C135" s="721"/>
      <c r="D135" s="722"/>
      <c r="E135" s="1506"/>
      <c r="F135" s="1506"/>
      <c r="G135" s="1507"/>
      <c r="H135" s="1508"/>
      <c r="I135" s="1509"/>
      <c r="J135" s="1507"/>
      <c r="K135" s="1509"/>
      <c r="L135" s="1507"/>
      <c r="M135" s="1509"/>
      <c r="N135" s="1507"/>
      <c r="O135" s="1509"/>
      <c r="P135" s="1510"/>
      <c r="Q135" s="1511"/>
      <c r="R135" s="1512"/>
      <c r="S135" s="1513"/>
    </row>
    <row r="136" spans="1:19" s="458" customFormat="1" ht="13.9" customHeight="1">
      <c r="A136" s="720" t="s">
        <v>3453</v>
      </c>
      <c r="B136" s="721"/>
      <c r="C136" s="721"/>
      <c r="D136" s="722"/>
      <c r="E136" s="1506"/>
      <c r="F136" s="1506"/>
      <c r="G136" s="1507"/>
      <c r="H136" s="1508"/>
      <c r="I136" s="1509"/>
      <c r="J136" s="1507"/>
      <c r="K136" s="1509"/>
      <c r="L136" s="1507"/>
      <c r="M136" s="1509"/>
      <c r="N136" s="1507"/>
      <c r="O136" s="1509"/>
      <c r="P136" s="1510"/>
      <c r="Q136" s="1511"/>
      <c r="R136" s="1512"/>
      <c r="S136" s="1513"/>
    </row>
    <row r="137" spans="1:19" s="458" customFormat="1" ht="13.9" customHeight="1">
      <c r="A137" s="720" t="s">
        <v>3454</v>
      </c>
      <c r="B137" s="721"/>
      <c r="C137" s="721"/>
      <c r="D137" s="722"/>
      <c r="E137" s="1506"/>
      <c r="F137" s="1506"/>
      <c r="G137" s="1507"/>
      <c r="H137" s="1508"/>
      <c r="I137" s="1509"/>
      <c r="J137" s="1507"/>
      <c r="K137" s="1509"/>
      <c r="L137" s="1507"/>
      <c r="M137" s="1509"/>
      <c r="N137" s="1507"/>
      <c r="O137" s="1509"/>
      <c r="P137" s="1510"/>
      <c r="Q137" s="1511"/>
      <c r="R137" s="1512"/>
      <c r="S137" s="1513"/>
    </row>
    <row r="138" spans="1:19" s="458" customFormat="1" ht="13.9" customHeight="1">
      <c r="A138" s="720" t="s">
        <v>3455</v>
      </c>
      <c r="B138" s="721"/>
      <c r="C138" s="721"/>
      <c r="D138" s="722"/>
      <c r="E138" s="1506"/>
      <c r="F138" s="1506"/>
      <c r="G138" s="1507"/>
      <c r="H138" s="1508"/>
      <c r="I138" s="1509"/>
      <c r="J138" s="1507"/>
      <c r="K138" s="1509"/>
      <c r="L138" s="1507"/>
      <c r="M138" s="1509"/>
      <c r="N138" s="1507"/>
      <c r="O138" s="1509"/>
      <c r="P138" s="1510"/>
      <c r="Q138" s="1511"/>
      <c r="R138" s="1512"/>
      <c r="S138" s="1513"/>
    </row>
    <row r="139" spans="1:19" s="458" customFormat="1" ht="13.9" customHeight="1">
      <c r="A139" s="720" t="s">
        <v>2335</v>
      </c>
      <c r="B139" s="721"/>
      <c r="C139" s="721"/>
      <c r="D139" s="722"/>
      <c r="E139" s="1506" t="s">
        <v>139</v>
      </c>
      <c r="F139" s="1506" t="s">
        <v>139</v>
      </c>
      <c r="G139" s="1507" t="s">
        <v>139</v>
      </c>
      <c r="H139" s="1508"/>
      <c r="I139" s="1509"/>
      <c r="J139" s="1507" t="s">
        <v>141</v>
      </c>
      <c r="K139" s="1509"/>
      <c r="L139" s="1507" t="s">
        <v>139</v>
      </c>
      <c r="M139" s="1509"/>
      <c r="N139" s="1507" t="s">
        <v>139</v>
      </c>
      <c r="O139" s="1509"/>
      <c r="P139" s="1510" t="s">
        <v>4060</v>
      </c>
      <c r="Q139" s="1511"/>
      <c r="R139" s="1512"/>
      <c r="S139" s="1513"/>
    </row>
    <row r="140" spans="1:19" s="458" customFormat="1" ht="13.9" customHeight="1">
      <c r="A140" s="726" t="s">
        <v>3456</v>
      </c>
      <c r="B140" s="727"/>
      <c r="C140" s="727"/>
      <c r="D140" s="514"/>
      <c r="E140" s="1514" t="s">
        <v>139</v>
      </c>
      <c r="F140" s="1514" t="s">
        <v>3834</v>
      </c>
      <c r="G140" s="1515" t="s">
        <v>139</v>
      </c>
      <c r="H140" s="1516"/>
      <c r="I140" s="1517"/>
      <c r="J140" s="1515" t="s">
        <v>3834</v>
      </c>
      <c r="K140" s="1517"/>
      <c r="L140" s="1515" t="s">
        <v>139</v>
      </c>
      <c r="M140" s="1517"/>
      <c r="N140" s="1515" t="s">
        <v>139</v>
      </c>
      <c r="O140" s="1517"/>
      <c r="P140" s="1518" t="s">
        <v>4060</v>
      </c>
      <c r="Q140" s="1519"/>
      <c r="R140" s="1520"/>
      <c r="S140" s="1521"/>
    </row>
    <row r="141" spans="1:19" s="721" customFormat="1" ht="13.9" customHeight="1">
      <c r="G141" s="470"/>
      <c r="H141" s="470"/>
      <c r="I141" s="470"/>
      <c r="J141" s="719"/>
      <c r="K141" s="719"/>
      <c r="L141" s="719"/>
      <c r="M141" s="719"/>
      <c r="P141" s="468"/>
      <c r="Q141" s="489" t="s">
        <v>772</v>
      </c>
      <c r="R141" s="802">
        <f>SUM(R128:S140)</f>
        <v>1</v>
      </c>
      <c r="S141" s="803"/>
    </row>
    <row r="142" spans="1:19" s="721" customFormat="1" ht="12" customHeight="1">
      <c r="G142" s="470"/>
      <c r="H142" s="470"/>
      <c r="I142" s="470"/>
      <c r="J142" s="719"/>
      <c r="K142" s="719"/>
      <c r="L142" s="719"/>
      <c r="M142" s="719"/>
      <c r="P142" s="468"/>
      <c r="R142" s="459"/>
      <c r="S142" s="515"/>
    </row>
    <row r="143" spans="1:19" ht="12" customHeight="1">
      <c r="A143" s="491" t="s">
        <v>2952</v>
      </c>
      <c r="B143" s="506"/>
      <c r="C143" s="491" t="s">
        <v>953</v>
      </c>
      <c r="N143" s="491" t="s">
        <v>973</v>
      </c>
      <c r="O143" s="491" t="s">
        <v>224</v>
      </c>
    </row>
    <row r="144" spans="1:19" ht="3.4" customHeight="1">
      <c r="B144" s="506"/>
    </row>
    <row r="145" spans="1:19" ht="42.4" customHeight="1">
      <c r="A145" s="1290" t="s">
        <v>107</v>
      </c>
      <c r="B145" s="1349"/>
      <c r="C145" s="1349"/>
      <c r="D145" s="1349"/>
      <c r="E145" s="1349"/>
      <c r="F145" s="1349"/>
      <c r="G145" s="1349"/>
      <c r="H145" s="1349"/>
      <c r="I145" s="1349"/>
      <c r="J145" s="1349"/>
      <c r="K145" s="1349"/>
      <c r="L145" s="1349"/>
      <c r="M145" s="1350"/>
      <c r="N145" s="1293"/>
      <c r="O145" s="1351"/>
      <c r="P145" s="1351"/>
      <c r="Q145" s="1351"/>
      <c r="R145" s="1351"/>
      <c r="S145" s="1352"/>
    </row>
    <row r="146" spans="1:19" s="458" customFormat="1" ht="42.4" customHeight="1">
      <c r="A146" s="1294" t="s">
        <v>65</v>
      </c>
      <c r="B146" s="1353"/>
      <c r="C146" s="1353"/>
      <c r="D146" s="1353"/>
      <c r="E146" s="1353"/>
      <c r="F146" s="1353"/>
      <c r="G146" s="1353"/>
      <c r="H146" s="1353"/>
      <c r="I146" s="1353"/>
      <c r="J146" s="1353"/>
      <c r="K146" s="1353"/>
      <c r="L146" s="1353"/>
      <c r="M146" s="1354"/>
      <c r="N146" s="1297"/>
      <c r="O146" s="1355"/>
      <c r="P146" s="1355"/>
      <c r="Q146" s="1355"/>
      <c r="R146" s="1355"/>
      <c r="S146" s="1356"/>
    </row>
    <row r="147" spans="1:19" s="458" customFormat="1" ht="42.4" customHeight="1">
      <c r="A147" s="1298" t="s">
        <v>32</v>
      </c>
      <c r="B147" s="1357"/>
      <c r="C147" s="1357"/>
      <c r="D147" s="1357"/>
      <c r="E147" s="1357"/>
      <c r="F147" s="1357"/>
      <c r="G147" s="1357"/>
      <c r="H147" s="1357"/>
      <c r="I147" s="1357"/>
      <c r="J147" s="1357"/>
      <c r="K147" s="1357"/>
      <c r="L147" s="1357"/>
      <c r="M147" s="1358"/>
      <c r="N147" s="1301"/>
      <c r="O147" s="1359"/>
      <c r="P147" s="1359"/>
      <c r="Q147" s="1359"/>
      <c r="R147" s="1359"/>
      <c r="S147" s="1360"/>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2" t="s">
        <v>3068</v>
      </c>
    </row>
    <row r="153" spans="1:19" s="458" customFormat="1" ht="12" customHeight="1">
      <c r="A153" s="508"/>
      <c r="B153" s="482"/>
      <c r="C153" s="482"/>
      <c r="D153" s="482"/>
      <c r="E153" s="482"/>
      <c r="F153" s="482"/>
      <c r="G153" s="482"/>
      <c r="H153" s="482"/>
      <c r="I153" s="482"/>
      <c r="J153" s="482"/>
      <c r="K153" s="482"/>
      <c r="L153" s="482"/>
      <c r="M153" s="482"/>
      <c r="N153" s="482"/>
      <c r="O153" s="482"/>
      <c r="P153" s="507" t="s">
        <v>1442</v>
      </c>
    </row>
    <row r="154" spans="1:19" s="458" customFormat="1" ht="12" customHeight="1">
      <c r="A154" s="508"/>
      <c r="B154" s="482"/>
      <c r="C154" s="482"/>
      <c r="D154" s="482"/>
      <c r="E154" s="482"/>
      <c r="F154" s="482"/>
      <c r="G154" s="482"/>
      <c r="H154" s="482"/>
      <c r="I154" s="482"/>
      <c r="J154" s="482"/>
      <c r="K154" s="482"/>
      <c r="L154" s="482"/>
      <c r="M154" s="482"/>
      <c r="N154" s="482"/>
      <c r="O154" s="482"/>
      <c r="P154" s="507" t="s">
        <v>1443</v>
      </c>
    </row>
    <row r="155" spans="1:19" s="458" customFormat="1" ht="12" customHeight="1">
      <c r="A155" s="508"/>
      <c r="B155" s="482"/>
      <c r="C155" s="482"/>
      <c r="D155" s="482"/>
      <c r="E155" s="482"/>
      <c r="F155" s="482"/>
      <c r="G155" s="482"/>
      <c r="H155" s="482"/>
      <c r="I155" s="482"/>
      <c r="J155" s="482"/>
      <c r="K155" s="482"/>
      <c r="L155" s="482"/>
      <c r="M155" s="482"/>
      <c r="N155" s="482"/>
      <c r="O155" s="482"/>
      <c r="P155" s="507" t="s">
        <v>1444</v>
      </c>
    </row>
    <row r="156" spans="1:19" s="458" customFormat="1" ht="12" customHeight="1">
      <c r="A156" s="735"/>
      <c r="B156" s="482"/>
      <c r="C156" s="482"/>
      <c r="D156" s="482"/>
      <c r="E156" s="482"/>
      <c r="F156" s="482"/>
      <c r="G156" s="482"/>
      <c r="H156" s="482"/>
      <c r="I156" s="482"/>
      <c r="J156" s="482"/>
      <c r="K156" s="482"/>
      <c r="L156" s="482"/>
      <c r="M156" s="482"/>
      <c r="N156" s="482"/>
      <c r="O156" s="482"/>
      <c r="P156" s="507" t="s">
        <v>1445</v>
      </c>
    </row>
    <row r="157" spans="1:19" s="458" customFormat="1" ht="12" customHeight="1">
      <c r="B157" s="482"/>
      <c r="C157" s="482"/>
      <c r="D157" s="482"/>
      <c r="E157" s="482"/>
      <c r="F157" s="482"/>
      <c r="G157" s="482"/>
      <c r="H157" s="482"/>
      <c r="I157" s="482"/>
      <c r="J157" s="482"/>
      <c r="K157" s="482"/>
      <c r="L157" s="482"/>
      <c r="M157" s="482"/>
      <c r="N157" s="482"/>
      <c r="O157" s="482"/>
      <c r="P157" s="507" t="s">
        <v>1446</v>
      </c>
    </row>
    <row r="158" spans="1:19" s="458" customFormat="1" ht="12" customHeight="1">
      <c r="B158" s="482"/>
      <c r="C158" s="482"/>
      <c r="D158" s="482"/>
      <c r="E158" s="482"/>
      <c r="F158" s="482"/>
      <c r="G158" s="482"/>
      <c r="H158" s="482"/>
      <c r="I158" s="482"/>
      <c r="J158" s="482"/>
      <c r="K158" s="482"/>
      <c r="L158" s="482"/>
      <c r="M158" s="482"/>
      <c r="N158" s="482"/>
      <c r="O158" s="482"/>
      <c r="P158" s="507" t="s">
        <v>1447</v>
      </c>
    </row>
    <row r="159" spans="1:19" s="458" customFormat="1" ht="12" customHeight="1">
      <c r="B159" s="482"/>
      <c r="C159" s="482"/>
      <c r="D159" s="482"/>
      <c r="E159" s="482"/>
      <c r="F159" s="482"/>
      <c r="G159" s="482"/>
      <c r="H159" s="482"/>
      <c r="I159" s="482"/>
      <c r="J159" s="482"/>
      <c r="K159" s="482"/>
      <c r="L159" s="482"/>
      <c r="M159" s="482"/>
      <c r="N159" s="482"/>
      <c r="O159" s="482"/>
      <c r="P159" s="507" t="s">
        <v>1448</v>
      </c>
    </row>
    <row r="160" spans="1:19" s="458" customFormat="1" ht="12" customHeight="1">
      <c r="B160" s="482"/>
      <c r="C160" s="482"/>
      <c r="D160" s="482"/>
      <c r="E160" s="482"/>
      <c r="F160" s="482"/>
      <c r="G160" s="482"/>
      <c r="H160" s="482"/>
      <c r="I160" s="482"/>
      <c r="J160" s="482"/>
      <c r="K160" s="482"/>
      <c r="L160" s="482"/>
      <c r="M160" s="482"/>
      <c r="N160" s="482"/>
      <c r="O160" s="482"/>
      <c r="P160" s="507" t="s">
        <v>1449</v>
      </c>
    </row>
    <row r="161" spans="1:16" ht="12" customHeight="1">
      <c r="P161" s="507" t="s">
        <v>1450</v>
      </c>
    </row>
    <row r="162" spans="1:16" ht="12" customHeight="1">
      <c r="A162" s="491"/>
      <c r="P162" s="507" t="s">
        <v>1451</v>
      </c>
    </row>
    <row r="163" spans="1:16" ht="12" customHeight="1">
      <c r="P163" s="507" t="s">
        <v>1452</v>
      </c>
    </row>
    <row r="164" spans="1:16" ht="12" customHeight="1">
      <c r="P164" s="507" t="s">
        <v>1453</v>
      </c>
    </row>
    <row r="165" spans="1:16" ht="12" customHeight="1">
      <c r="P165" s="507" t="s">
        <v>1454</v>
      </c>
    </row>
    <row r="166" spans="1:16" ht="12" customHeight="1">
      <c r="P166" s="507" t="s">
        <v>1455</v>
      </c>
    </row>
    <row r="167" spans="1:16" ht="12" customHeight="1">
      <c r="P167" s="507" t="s">
        <v>1456</v>
      </c>
    </row>
    <row r="168" spans="1:16" ht="12" customHeight="1">
      <c r="P168" s="507" t="s">
        <v>1457</v>
      </c>
    </row>
    <row r="169" spans="1:16" ht="12" customHeight="1">
      <c r="P169" s="507" t="s">
        <v>1458</v>
      </c>
    </row>
    <row r="170" spans="1:16" ht="12" customHeight="1">
      <c r="P170" s="507" t="s">
        <v>1459</v>
      </c>
    </row>
    <row r="171" spans="1:16" ht="12" customHeight="1">
      <c r="P171" s="507" t="s">
        <v>1460</v>
      </c>
    </row>
    <row r="172" spans="1:16" ht="12" customHeight="1">
      <c r="P172" s="507" t="s">
        <v>1461</v>
      </c>
    </row>
    <row r="173" spans="1:16" ht="12" customHeight="1">
      <c r="P173" s="507" t="s">
        <v>1462</v>
      </c>
    </row>
    <row r="174" spans="1:16" ht="12" customHeight="1">
      <c r="P174" s="507" t="s">
        <v>1463</v>
      </c>
    </row>
    <row r="175" spans="1:16" ht="12" customHeight="1">
      <c r="P175" s="507" t="s">
        <v>1464</v>
      </c>
    </row>
    <row r="176" spans="1:16" ht="12" customHeight="1">
      <c r="P176" s="507" t="s">
        <v>1465</v>
      </c>
    </row>
    <row r="177" spans="16:16" ht="12" customHeight="1">
      <c r="P177" s="507" t="s">
        <v>1466</v>
      </c>
    </row>
    <row r="178" spans="16:16" ht="12" customHeight="1">
      <c r="P178" s="507" t="s">
        <v>2056</v>
      </c>
    </row>
    <row r="179" spans="16:16" ht="12" customHeight="1">
      <c r="P179" s="507" t="s">
        <v>2057</v>
      </c>
    </row>
    <row r="180" spans="16:16" ht="12" customHeight="1">
      <c r="P180" s="507" t="s">
        <v>2058</v>
      </c>
    </row>
    <row r="181" spans="16:16" ht="12" customHeight="1">
      <c r="P181" s="507" t="s">
        <v>2059</v>
      </c>
    </row>
    <row r="182" spans="16:16" ht="12" customHeight="1">
      <c r="P182" s="507" t="s">
        <v>2060</v>
      </c>
    </row>
    <row r="183" spans="16:16" ht="13.5">
      <c r="P183" s="507" t="s">
        <v>2061</v>
      </c>
    </row>
    <row r="184" spans="16:16" ht="12" customHeight="1">
      <c r="P184" s="507" t="s">
        <v>2062</v>
      </c>
    </row>
    <row r="185" spans="16:16" ht="12" customHeight="1">
      <c r="P185" s="507" t="s">
        <v>2063</v>
      </c>
    </row>
    <row r="186" spans="16:16" ht="12" customHeight="1">
      <c r="P186" s="507" t="s">
        <v>2064</v>
      </c>
    </row>
    <row r="187" spans="16:16" ht="12" customHeight="1">
      <c r="P187" s="507" t="s">
        <v>2065</v>
      </c>
    </row>
    <row r="188" spans="16:16" ht="12" customHeight="1">
      <c r="P188" s="507" t="s">
        <v>2066</v>
      </c>
    </row>
    <row r="189" spans="16:16" ht="12" customHeight="1">
      <c r="P189" s="507" t="s">
        <v>2067</v>
      </c>
    </row>
    <row r="190" spans="16:16" ht="12" customHeight="1">
      <c r="P190" s="507" t="s">
        <v>2068</v>
      </c>
    </row>
    <row r="191" spans="16:16" ht="12" customHeight="1">
      <c r="P191" s="507" t="s">
        <v>2069</v>
      </c>
    </row>
    <row r="192" spans="16:16" ht="12" customHeight="1">
      <c r="P192" s="507" t="s">
        <v>2070</v>
      </c>
    </row>
    <row r="193" spans="16:16" ht="12" customHeight="1">
      <c r="P193" s="507" t="s">
        <v>2071</v>
      </c>
    </row>
    <row r="194" spans="16:16" ht="12" customHeight="1">
      <c r="P194" s="507" t="s">
        <v>2072</v>
      </c>
    </row>
    <row r="195" spans="16:16" ht="12" customHeight="1">
      <c r="P195" s="507" t="s">
        <v>2073</v>
      </c>
    </row>
    <row r="196" spans="16:16" ht="12" customHeight="1">
      <c r="P196" s="507" t="s">
        <v>2074</v>
      </c>
    </row>
    <row r="197" spans="16:16" ht="12" customHeight="1">
      <c r="P197" s="507" t="s">
        <v>2075</v>
      </c>
    </row>
    <row r="198" spans="16:16" ht="12" customHeight="1">
      <c r="P198" s="507" t="s">
        <v>2076</v>
      </c>
    </row>
    <row r="199" spans="16:16" ht="12" customHeight="1">
      <c r="P199" s="507" t="s">
        <v>2077</v>
      </c>
    </row>
    <row r="200" spans="16:16" ht="12" customHeight="1">
      <c r="P200" s="507" t="s">
        <v>2078</v>
      </c>
    </row>
    <row r="201" spans="16:16" ht="12" customHeight="1">
      <c r="P201" s="507" t="s">
        <v>2079</v>
      </c>
    </row>
    <row r="202" spans="16:16" ht="12" customHeight="1">
      <c r="P202" s="507" t="s">
        <v>2080</v>
      </c>
    </row>
    <row r="203" spans="16:16" ht="12" customHeight="1">
      <c r="P203" s="507" t="s">
        <v>2081</v>
      </c>
    </row>
  </sheetData>
  <sheetProtection password="DDE0" sheet="1" objects="1" scenarios="1"/>
  <mergeCells count="285">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R141:S141"/>
    <mergeCell ref="P140:Q140"/>
    <mergeCell ref="R140:S140"/>
    <mergeCell ref="L140:M140"/>
    <mergeCell ref="N140:O140"/>
    <mergeCell ref="G139:I139"/>
    <mergeCell ref="J139:K139"/>
    <mergeCell ref="G140:I140"/>
    <mergeCell ref="J140:K140"/>
    <mergeCell ref="L139:M139"/>
    <mergeCell ref="N139:O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O41:P41 O15:P15 R15:S15 M41 R47:S47 R21:S21 O21:P21 Q18:Q19 Q117:Q118 Q98:Q99 O27:P27 R41:S41 L40:L41 Q30:Q31 Q38:Q39 Q24:Q25 L20:L21 L106 L32 R63:S63 Q44:Q45">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paperSize="0" scale="93" fitToHeight="0" orientation="landscape" horizontalDpi="4294967292" verticalDpi="4294967292"/>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sheetPr codeName="Sheet5" enableFormatConditionsCalculation="0">
    <pageSetUpPr fitToPage="1"/>
  </sheetPr>
  <dimension ref="A1:S101"/>
  <sheetViews>
    <sheetView showGridLines="0" topLeftCell="A16" zoomScaleNormal="85" zoomScaleSheetLayoutView="90" zoomScalePageLayoutView="85" workbookViewId="0">
      <selection activeCell="E14" sqref="E14"/>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32" t="str">
        <f>CONCATENATE("PART THREE - SOURCES OF FUNDS","  -  ",'Part I-Project Information'!$O$4," ",'Part I-Project Information'!$F$22,", ",'Part I-Project Information'!$F$24,", ",'Part I-Project Information'!$J$25," County")</f>
        <v>PART THREE - SOURCES OF FUNDS  -  2011-028 Endeavor Pointe, LaFayette, Walker County</v>
      </c>
      <c r="B1" s="833"/>
      <c r="C1" s="833"/>
      <c r="D1" s="833"/>
      <c r="E1" s="833"/>
      <c r="F1" s="833"/>
      <c r="G1" s="833"/>
      <c r="H1" s="833"/>
      <c r="I1" s="833"/>
      <c r="J1" s="833"/>
      <c r="K1" s="833"/>
      <c r="L1" s="833"/>
      <c r="M1" s="833"/>
      <c r="N1" s="833"/>
      <c r="O1" s="833"/>
      <c r="P1" s="833"/>
      <c r="Q1" s="834"/>
    </row>
    <row r="2" spans="1:17" ht="17.649999999999999" customHeight="1">
      <c r="A2" s="482"/>
      <c r="B2" s="482"/>
      <c r="C2" s="482"/>
      <c r="D2" s="482"/>
      <c r="E2" s="482"/>
      <c r="F2" s="482"/>
      <c r="G2" s="482"/>
      <c r="H2" s="482"/>
      <c r="I2" s="482"/>
      <c r="J2" s="482"/>
      <c r="N2" s="482"/>
      <c r="O2" s="482"/>
      <c r="P2" s="482"/>
      <c r="Q2" s="482"/>
    </row>
    <row r="3" spans="1:17" s="398" customFormat="1" ht="13.15" customHeight="1">
      <c r="A3" s="461" t="s">
        <v>1126</v>
      </c>
      <c r="B3" s="485" t="s">
        <v>3951</v>
      </c>
      <c r="C3" s="458"/>
      <c r="D3" s="721"/>
      <c r="E3" s="721"/>
      <c r="F3" s="721"/>
      <c r="G3" s="721"/>
      <c r="H3" s="721"/>
      <c r="I3" s="458"/>
      <c r="J3" s="458"/>
      <c r="K3" s="458"/>
      <c r="L3" s="458"/>
      <c r="M3" s="458"/>
    </row>
    <row r="4" spans="1:17" s="398" customFormat="1" ht="13.9" customHeight="1">
      <c r="A4" s="491"/>
      <c r="B4" s="735"/>
      <c r="C4" s="485"/>
      <c r="D4" s="721"/>
      <c r="E4" s="721"/>
      <c r="F4" s="721"/>
      <c r="G4" s="721"/>
      <c r="I4" s="458"/>
      <c r="J4" s="458"/>
      <c r="K4" s="458"/>
      <c r="L4" s="458"/>
      <c r="M4" s="458"/>
    </row>
    <row r="5" spans="1:17" s="398" customFormat="1" ht="16.899999999999999" customHeight="1">
      <c r="A5" s="735"/>
      <c r="B5" s="1439" t="s">
        <v>3834</v>
      </c>
      <c r="C5" s="714" t="s">
        <v>3775</v>
      </c>
      <c r="D5" s="458"/>
      <c r="E5" s="1439" t="s">
        <v>3834</v>
      </c>
      <c r="F5" s="716" t="s">
        <v>2782</v>
      </c>
      <c r="G5" s="458"/>
      <c r="J5" s="1440">
        <v>1600000</v>
      </c>
      <c r="K5" s="1441"/>
      <c r="M5" s="1439"/>
      <c r="N5" s="714" t="s">
        <v>886</v>
      </c>
    </row>
    <row r="6" spans="1:17" s="398" customFormat="1" ht="16.899999999999999" customHeight="1">
      <c r="A6" s="735"/>
      <c r="B6" s="1439"/>
      <c r="C6" s="714" t="s">
        <v>2960</v>
      </c>
      <c r="D6" s="458"/>
      <c r="E6" s="1439"/>
      <c r="F6" s="716" t="s">
        <v>3517</v>
      </c>
      <c r="J6" s="1439"/>
      <c r="K6" s="721" t="s">
        <v>887</v>
      </c>
      <c r="M6" s="1439"/>
      <c r="N6" s="716" t="s">
        <v>885</v>
      </c>
    </row>
    <row r="7" spans="1:17" s="398" customFormat="1" ht="16.899999999999999" customHeight="1">
      <c r="A7" s="458"/>
      <c r="B7" s="1439"/>
      <c r="C7" s="714" t="s">
        <v>2961</v>
      </c>
      <c r="E7" s="1439"/>
      <c r="F7" s="716" t="s">
        <v>3516</v>
      </c>
      <c r="G7" s="458"/>
      <c r="J7" s="1439"/>
      <c r="K7" s="721" t="s">
        <v>2436</v>
      </c>
      <c r="M7" s="1439"/>
      <c r="N7" s="464" t="s">
        <v>1974</v>
      </c>
      <c r="P7" s="1440"/>
      <c r="Q7" s="1441"/>
    </row>
    <row r="8" spans="1:17" s="398" customFormat="1" ht="16.899999999999999" customHeight="1">
      <c r="A8" s="735"/>
      <c r="B8" s="1439"/>
      <c r="C8" s="721" t="s">
        <v>3914</v>
      </c>
      <c r="D8" s="458"/>
      <c r="E8" s="1439"/>
      <c r="F8" s="487" t="s">
        <v>3915</v>
      </c>
      <c r="H8" s="1439"/>
      <c r="I8" s="458" t="s">
        <v>3776</v>
      </c>
      <c r="J8" s="1439"/>
      <c r="K8" s="458" t="s">
        <v>930</v>
      </c>
      <c r="M8" s="1439"/>
      <c r="N8" s="1442" t="s">
        <v>3287</v>
      </c>
      <c r="O8" s="1443"/>
      <c r="P8" s="1443"/>
      <c r="Q8" s="1444"/>
    </row>
    <row r="9" spans="1:17" s="398" customFormat="1" ht="16.899999999999999" customHeight="1">
      <c r="A9" s="735"/>
      <c r="B9" s="398" t="s">
        <v>433</v>
      </c>
      <c r="C9" s="458"/>
      <c r="D9" s="458"/>
      <c r="E9" s="458"/>
      <c r="F9" s="458"/>
      <c r="G9" s="458"/>
      <c r="H9" s="458"/>
      <c r="I9" s="458"/>
      <c r="J9" s="458"/>
      <c r="K9" s="458"/>
      <c r="L9" s="458"/>
      <c r="M9" s="487"/>
      <c r="N9" s="458"/>
      <c r="O9" s="458"/>
      <c r="P9" s="458"/>
      <c r="Q9" s="458"/>
    </row>
    <row r="10" spans="1:17" s="398" customFormat="1" ht="17.649999999999999" customHeight="1">
      <c r="A10" s="735"/>
      <c r="H10" s="458"/>
      <c r="L10" s="458"/>
      <c r="M10" s="487"/>
      <c r="N10" s="458"/>
      <c r="O10" s="458"/>
      <c r="P10" s="458"/>
      <c r="Q10" s="458"/>
    </row>
    <row r="11" spans="1:17" s="517" customFormat="1" ht="15" customHeight="1">
      <c r="A11" s="461" t="s">
        <v>1241</v>
      </c>
      <c r="B11" s="395" t="s">
        <v>3838</v>
      </c>
      <c r="C11" s="458"/>
      <c r="D11" s="721"/>
      <c r="E11" s="458"/>
      <c r="F11" s="458"/>
      <c r="G11" s="458"/>
      <c r="H11" s="461"/>
      <c r="I11" s="482"/>
      <c r="J11" s="461"/>
      <c r="K11" s="458"/>
      <c r="L11" s="458"/>
      <c r="M11" s="721"/>
      <c r="N11" s="798"/>
      <c r="O11" s="798"/>
      <c r="P11" s="458"/>
      <c r="Q11" s="458"/>
    </row>
    <row r="12" spans="1:17" s="517" customFormat="1" ht="13.9" customHeight="1">
      <c r="A12" s="461"/>
      <c r="B12" s="395"/>
      <c r="C12" s="458"/>
      <c r="K12" s="458"/>
      <c r="L12" s="458"/>
      <c r="M12" s="721"/>
      <c r="N12" s="713"/>
      <c r="O12" s="713"/>
      <c r="P12" s="458"/>
      <c r="Q12" s="458"/>
    </row>
    <row r="13" spans="1:17" s="398" customFormat="1" ht="16.899999999999999" customHeight="1">
      <c r="A13" s="458"/>
      <c r="B13" s="714" t="s">
        <v>2985</v>
      </c>
      <c r="C13" s="458"/>
      <c r="D13" s="458"/>
      <c r="E13" s="458"/>
      <c r="F13" s="458"/>
      <c r="G13" s="458"/>
      <c r="H13" s="872" t="s">
        <v>2276</v>
      </c>
      <c r="I13" s="872"/>
      <c r="J13" s="872"/>
      <c r="K13" s="872"/>
      <c r="L13" s="782" t="s">
        <v>3117</v>
      </c>
      <c r="M13" s="782"/>
      <c r="N13" s="782" t="s">
        <v>2184</v>
      </c>
      <c r="O13" s="782"/>
      <c r="P13" s="782" t="s">
        <v>2401</v>
      </c>
      <c r="Q13" s="782"/>
    </row>
    <row r="14" spans="1:17" s="398" customFormat="1" ht="16.899999999999999" customHeight="1">
      <c r="A14" s="458"/>
      <c r="B14" s="839" t="s">
        <v>2629</v>
      </c>
      <c r="C14" s="840"/>
      <c r="D14" s="840"/>
      <c r="E14" s="724"/>
      <c r="F14" s="724"/>
      <c r="G14" s="724"/>
      <c r="H14" s="1442" t="s">
        <v>4041</v>
      </c>
      <c r="I14" s="1443"/>
      <c r="J14" s="1443"/>
      <c r="K14" s="1444"/>
      <c r="L14" s="1391">
        <v>1600000</v>
      </c>
      <c r="M14" s="1392"/>
      <c r="N14" s="1445">
        <v>0</v>
      </c>
      <c r="O14" s="1446"/>
      <c r="P14" s="1447">
        <v>24</v>
      </c>
      <c r="Q14" s="1448"/>
    </row>
    <row r="15" spans="1:17" s="398" customFormat="1" ht="16.899999999999999" customHeight="1">
      <c r="A15" s="458"/>
      <c r="B15" s="841" t="s">
        <v>2630</v>
      </c>
      <c r="C15" s="842"/>
      <c r="D15" s="842"/>
      <c r="E15" s="721"/>
      <c r="F15" s="721"/>
      <c r="G15" s="721"/>
      <c r="H15" s="1442"/>
      <c r="I15" s="1443"/>
      <c r="J15" s="1443"/>
      <c r="K15" s="1444"/>
      <c r="L15" s="1391"/>
      <c r="M15" s="1392"/>
      <c r="N15" s="1445"/>
      <c r="O15" s="1446"/>
      <c r="P15" s="1449"/>
      <c r="Q15" s="1450"/>
    </row>
    <row r="16" spans="1:17" s="398" customFormat="1" ht="16.899999999999999" customHeight="1">
      <c r="A16" s="458"/>
      <c r="B16" s="859" t="s">
        <v>2631</v>
      </c>
      <c r="C16" s="860"/>
      <c r="D16" s="860"/>
      <c r="E16" s="727"/>
      <c r="F16" s="727"/>
      <c r="G16" s="727"/>
      <c r="H16" s="1442"/>
      <c r="I16" s="1443"/>
      <c r="J16" s="1443"/>
      <c r="K16" s="1444"/>
      <c r="L16" s="1391"/>
      <c r="M16" s="1392"/>
      <c r="N16" s="1445"/>
      <c r="O16" s="1446"/>
      <c r="P16" s="1449"/>
      <c r="Q16" s="1450"/>
    </row>
    <row r="17" spans="1:17" s="398" customFormat="1" ht="16.899999999999999" customHeight="1">
      <c r="A17" s="458"/>
      <c r="B17" s="839" t="s">
        <v>3537</v>
      </c>
      <c r="C17" s="840"/>
      <c r="D17" s="840"/>
      <c r="E17" s="721"/>
      <c r="F17" s="721"/>
      <c r="G17" s="721"/>
      <c r="H17" s="1442"/>
      <c r="I17" s="1443"/>
      <c r="J17" s="1443"/>
      <c r="K17" s="1444"/>
      <c r="L17" s="1391"/>
      <c r="M17" s="1392"/>
      <c r="N17" s="857"/>
      <c r="O17" s="858"/>
      <c r="P17" s="854"/>
      <c r="Q17" s="854"/>
    </row>
    <row r="18" spans="1:17" s="398" customFormat="1" ht="16.899999999999999" customHeight="1">
      <c r="A18" s="458"/>
      <c r="B18" s="841" t="s">
        <v>1376</v>
      </c>
      <c r="C18" s="842"/>
      <c r="D18" s="842"/>
      <c r="E18" s="721"/>
      <c r="H18" s="1442"/>
      <c r="I18" s="1443"/>
      <c r="J18" s="1443"/>
      <c r="K18" s="1444"/>
      <c r="L18" s="1391"/>
      <c r="M18" s="1392"/>
      <c r="N18" s="857"/>
      <c r="O18" s="858"/>
      <c r="P18" s="854"/>
      <c r="Q18" s="854"/>
    </row>
    <row r="19" spans="1:17" s="398" customFormat="1" ht="16.899999999999999" customHeight="1">
      <c r="A19" s="458"/>
      <c r="B19" s="841" t="s">
        <v>1047</v>
      </c>
      <c r="C19" s="842"/>
      <c r="D19" s="842"/>
      <c r="E19" s="721"/>
      <c r="H19" s="1442"/>
      <c r="I19" s="1443"/>
      <c r="J19" s="1443"/>
      <c r="K19" s="1444"/>
      <c r="L19" s="1391"/>
      <c r="M19" s="1392"/>
      <c r="N19" s="857"/>
      <c r="O19" s="858"/>
      <c r="P19" s="854"/>
      <c r="Q19" s="854"/>
    </row>
    <row r="20" spans="1:17" s="398" customFormat="1" ht="16.899999999999999" customHeight="1">
      <c r="A20" s="458"/>
      <c r="B20" s="841" t="s">
        <v>1377</v>
      </c>
      <c r="C20" s="842"/>
      <c r="D20" s="842"/>
      <c r="E20" s="721"/>
      <c r="H20" s="1442" t="s">
        <v>41</v>
      </c>
      <c r="I20" s="1443"/>
      <c r="J20" s="1443"/>
      <c r="K20" s="1444"/>
      <c r="L20" s="1391">
        <v>5896166</v>
      </c>
      <c r="M20" s="1392"/>
      <c r="N20" s="458"/>
      <c r="O20" s="458"/>
      <c r="P20" s="458"/>
      <c r="Q20" s="458"/>
    </row>
    <row r="21" spans="1:17" s="398" customFormat="1" ht="16.899999999999999" customHeight="1">
      <c r="A21" s="458"/>
      <c r="B21" s="841" t="s">
        <v>1378</v>
      </c>
      <c r="C21" s="842"/>
      <c r="D21" s="842"/>
      <c r="E21" s="721"/>
      <c r="H21" s="1442" t="s">
        <v>38</v>
      </c>
      <c r="I21" s="1443"/>
      <c r="J21" s="1443"/>
      <c r="K21" s="1444"/>
      <c r="L21" s="1391">
        <v>0</v>
      </c>
      <c r="M21" s="1392"/>
      <c r="N21" s="458"/>
      <c r="O21" s="458"/>
      <c r="P21" s="458"/>
      <c r="Q21" s="458"/>
    </row>
    <row r="22" spans="1:17" s="398" customFormat="1" ht="16.899999999999999" customHeight="1">
      <c r="A22" s="458"/>
      <c r="B22" s="720" t="s">
        <v>432</v>
      </c>
      <c r="C22" s="721"/>
      <c r="D22" s="1451"/>
      <c r="E22" s="1451"/>
      <c r="F22" s="1451"/>
      <c r="G22" s="1451"/>
      <c r="H22" s="1442"/>
      <c r="I22" s="1443"/>
      <c r="J22" s="1443"/>
      <c r="K22" s="1444"/>
      <c r="L22" s="1391"/>
      <c r="M22" s="1392"/>
      <c r="N22" s="458"/>
      <c r="O22" s="458"/>
      <c r="P22" s="458"/>
      <c r="Q22" s="458"/>
    </row>
    <row r="23" spans="1:17" s="398" customFormat="1" ht="16.899999999999999" customHeight="1">
      <c r="A23" s="458"/>
      <c r="B23" s="720" t="s">
        <v>432</v>
      </c>
      <c r="C23" s="721"/>
      <c r="D23" s="1451"/>
      <c r="E23" s="1451"/>
      <c r="F23" s="1451"/>
      <c r="G23" s="1451"/>
      <c r="H23" s="1442"/>
      <c r="I23" s="1443"/>
      <c r="J23" s="1443"/>
      <c r="K23" s="1444"/>
      <c r="L23" s="1391"/>
      <c r="M23" s="1392"/>
      <c r="N23" s="458"/>
      <c r="O23" s="458"/>
      <c r="P23" s="458"/>
      <c r="Q23" s="458"/>
    </row>
    <row r="24" spans="1:17" s="398" customFormat="1" ht="16.899999999999999" customHeight="1">
      <c r="A24" s="458"/>
      <c r="B24" s="726" t="s">
        <v>432</v>
      </c>
      <c r="C24" s="727"/>
      <c r="D24" s="1451"/>
      <c r="E24" s="1451"/>
      <c r="F24" s="1451"/>
      <c r="G24" s="1451"/>
      <c r="H24" s="1442"/>
      <c r="I24" s="1443"/>
      <c r="J24" s="1443"/>
      <c r="K24" s="1444"/>
      <c r="L24" s="1391"/>
      <c r="M24" s="1392"/>
      <c r="N24" s="458"/>
      <c r="O24" s="458"/>
      <c r="P24" s="458"/>
      <c r="Q24" s="458"/>
    </row>
    <row r="25" spans="1:17" s="398" customFormat="1" ht="16.899999999999999" customHeight="1">
      <c r="A25" s="458"/>
      <c r="B25" s="395" t="s">
        <v>2277</v>
      </c>
      <c r="C25" s="458"/>
      <c r="D25" s="458"/>
      <c r="E25" s="458"/>
      <c r="F25" s="458"/>
      <c r="G25" s="458"/>
      <c r="H25" s="458"/>
      <c r="I25" s="458"/>
      <c r="L25" s="868">
        <f>SUM(L14:L24)</f>
        <v>7496166</v>
      </c>
      <c r="M25" s="869"/>
      <c r="N25" s="482"/>
      <c r="O25" s="482"/>
      <c r="P25" s="482"/>
      <c r="Q25" s="482"/>
    </row>
    <row r="26" spans="1:17" s="398" customFormat="1" ht="16.899999999999999" customHeight="1">
      <c r="A26" s="458"/>
      <c r="B26" s="714" t="s">
        <v>2298</v>
      </c>
      <c r="C26" s="458"/>
      <c r="D26" s="458"/>
      <c r="E26" s="458"/>
      <c r="F26" s="458"/>
      <c r="G26" s="458"/>
      <c r="H26" s="458"/>
      <c r="I26" s="458"/>
      <c r="L26" s="86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7496166</v>
      </c>
      <c r="M26" s="869"/>
      <c r="N26" s="864"/>
      <c r="O26" s="865"/>
      <c r="P26" s="865"/>
      <c r="Q26" s="865"/>
    </row>
    <row r="27" spans="1:17" s="398" customFormat="1" ht="16.899999999999999" customHeight="1">
      <c r="A27" s="458"/>
      <c r="B27" s="464" t="s">
        <v>3476</v>
      </c>
      <c r="C27" s="458"/>
      <c r="D27" s="458"/>
      <c r="E27" s="458"/>
      <c r="F27" s="458"/>
      <c r="G27" s="458"/>
      <c r="H27" s="458"/>
      <c r="I27" s="458"/>
      <c r="L27" s="870">
        <f>L25-L26</f>
        <v>0</v>
      </c>
      <c r="M27" s="871"/>
      <c r="N27" s="864"/>
      <c r="O27" s="865"/>
      <c r="P27" s="865"/>
      <c r="Q27" s="865"/>
    </row>
    <row r="28" spans="1:17" ht="9.4" customHeight="1">
      <c r="A28" s="491"/>
      <c r="B28" s="395"/>
      <c r="C28" s="482"/>
      <c r="D28" s="482"/>
      <c r="E28" s="482"/>
      <c r="F28" s="482"/>
      <c r="G28" s="482"/>
      <c r="H28" s="482"/>
      <c r="I28" s="482"/>
      <c r="J28" s="482"/>
      <c r="K28" s="482"/>
      <c r="L28" s="482"/>
      <c r="M28" s="719"/>
      <c r="N28" s="719"/>
      <c r="O28" s="482"/>
      <c r="P28" s="461"/>
      <c r="Q28" s="461"/>
    </row>
    <row r="29" spans="1:17" ht="9.4" customHeight="1">
      <c r="A29" s="461" t="s">
        <v>1243</v>
      </c>
      <c r="B29" s="395" t="s">
        <v>1375</v>
      </c>
      <c r="C29" s="482"/>
      <c r="D29" s="482"/>
      <c r="E29" s="482"/>
      <c r="F29" s="482"/>
      <c r="G29" s="482"/>
      <c r="H29" s="482"/>
      <c r="I29" s="482"/>
      <c r="J29" s="482"/>
      <c r="K29" s="482"/>
      <c r="L29" s="482"/>
      <c r="M29" s="719"/>
      <c r="N29" s="719"/>
      <c r="O29" s="482"/>
      <c r="P29" s="461"/>
      <c r="Q29" s="461"/>
    </row>
    <row r="30" spans="1:17" s="398" customFormat="1" ht="13.15" customHeight="1">
      <c r="A30" s="458"/>
      <c r="B30" s="458"/>
      <c r="C30" s="458"/>
      <c r="D30" s="458"/>
      <c r="E30" s="458"/>
      <c r="F30" s="719"/>
      <c r="G30" s="719"/>
      <c r="H30" s="854"/>
      <c r="I30" s="854"/>
      <c r="J30" s="552" t="s">
        <v>3273</v>
      </c>
      <c r="K30" s="719" t="s">
        <v>2160</v>
      </c>
      <c r="L30" s="719" t="s">
        <v>2299</v>
      </c>
      <c r="M30" s="777" t="s">
        <v>115</v>
      </c>
      <c r="N30" s="777"/>
      <c r="O30" s="713"/>
      <c r="P30" s="719"/>
      <c r="Q30" s="844" t="s">
        <v>3640</v>
      </c>
    </row>
    <row r="31" spans="1:17" s="398" customFormat="1" ht="13.15" customHeight="1" thickBot="1">
      <c r="A31" s="458"/>
      <c r="B31" s="718" t="s">
        <v>2985</v>
      </c>
      <c r="C31" s="727"/>
      <c r="D31" s="727"/>
      <c r="E31" s="842" t="s">
        <v>2276</v>
      </c>
      <c r="F31" s="842"/>
      <c r="G31" s="842"/>
      <c r="H31" s="782" t="s">
        <v>877</v>
      </c>
      <c r="I31" s="782"/>
      <c r="J31" s="717" t="s">
        <v>2968</v>
      </c>
      <c r="K31" s="717" t="s">
        <v>3536</v>
      </c>
      <c r="L31" s="717" t="s">
        <v>3536</v>
      </c>
      <c r="M31" s="1452"/>
      <c r="N31" s="1452"/>
      <c r="O31" s="782" t="s">
        <v>219</v>
      </c>
      <c r="P31" s="782"/>
      <c r="Q31" s="845"/>
    </row>
    <row r="32" spans="1:17" s="398" customFormat="1" ht="13.15" customHeight="1" thickBot="1">
      <c r="A32" s="458"/>
      <c r="B32" s="839" t="str">
        <f>IF(E32 ="&lt;&lt;Select applicable option&gt;&gt;", "Make a selection FIRST --&gt;",IF(E32 = "Neither","N/A","Mortgage A"))</f>
        <v>N/A</v>
      </c>
      <c r="C32" s="840"/>
      <c r="D32" s="840"/>
      <c r="E32" s="1453" t="s">
        <v>58</v>
      </c>
      <c r="F32" s="1454"/>
      <c r="G32" s="1455"/>
      <c r="H32" s="855">
        <f>IF($E$32="USDA 538 Loan", 'Part III B-USDA 538 Loan'!C5,IF($E$32="HUD Insured Loan", 'Part III C-HUD Insured Loan'!D5,0))</f>
        <v>0</v>
      </c>
      <c r="I32" s="856"/>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66" t="str">
        <f>IF(OR(H32&lt;=0,H32=""),"",IF(O32="Amortizing",-PMT(J32/12,L32*12,H32,0,0)*12,IF(NOT(O32="Amortizing"),'Part VII-Pro Forma'!B23,"")))</f>
        <v/>
      </c>
      <c r="N32" s="867"/>
      <c r="O32" s="873" t="s">
        <v>3249</v>
      </c>
      <c r="P32" s="874"/>
      <c r="Q32" s="1456" t="s">
        <v>2899</v>
      </c>
    </row>
    <row r="33" spans="1:19" s="398" customFormat="1" ht="13.15" customHeight="1">
      <c r="A33" s="458"/>
      <c r="B33" s="841" t="str">
        <f>IF(OR(E32 = "Neither",E32 = "&lt;&lt;Select applicable option&gt;&gt;"), "Mortgage A","Mortgage B")</f>
        <v>Mortgage A</v>
      </c>
      <c r="C33" s="842"/>
      <c r="D33" s="843"/>
      <c r="E33" s="1457" t="s">
        <v>59</v>
      </c>
      <c r="F33" s="1458"/>
      <c r="G33" s="1459"/>
      <c r="H33" s="1460">
        <v>1600000</v>
      </c>
      <c r="I33" s="1461"/>
      <c r="J33" s="1462">
        <v>0.01</v>
      </c>
      <c r="K33" s="1439">
        <v>20</v>
      </c>
      <c r="L33" s="1439">
        <v>0</v>
      </c>
      <c r="M33" s="1463">
        <v>39000</v>
      </c>
      <c r="N33" s="1464"/>
      <c r="O33" s="1402" t="s">
        <v>2035</v>
      </c>
      <c r="P33" s="1403"/>
      <c r="Q33" s="1465">
        <v>1.2</v>
      </c>
    </row>
    <row r="34" spans="1:19" s="398" customFormat="1" ht="13.15" customHeight="1">
      <c r="A34" s="458"/>
      <c r="B34" s="720" t="str">
        <f>IF(OR(E32 = "Neither",E32 = "&lt;&lt;Select applicable option&gt;&gt;"), "Mortgage B","Mortgage C")</f>
        <v>Mortgage B</v>
      </c>
      <c r="C34" s="721"/>
      <c r="D34" s="722"/>
      <c r="E34" s="1442"/>
      <c r="F34" s="1466"/>
      <c r="G34" s="1461"/>
      <c r="H34" s="1460"/>
      <c r="I34" s="1461"/>
      <c r="J34" s="1462"/>
      <c r="K34" s="1439"/>
      <c r="L34" s="1439"/>
      <c r="M34" s="1463" t="str">
        <f>IF(OR(H34&lt;=0,H34=""),"",IF(O34="Amortizing",-PMT(J34/12,L34*12,H34,0,0)*12,""))</f>
        <v/>
      </c>
      <c r="N34" s="1464"/>
      <c r="O34" s="1402"/>
      <c r="P34" s="1403"/>
      <c r="Q34" s="1465"/>
    </row>
    <row r="35" spans="1:19" s="398" customFormat="1" ht="13.15" customHeight="1">
      <c r="A35" s="458"/>
      <c r="B35" s="720" t="s">
        <v>1242</v>
      </c>
      <c r="C35" s="1402"/>
      <c r="D35" s="1403"/>
      <c r="E35" s="1442"/>
      <c r="F35" s="1466"/>
      <c r="G35" s="1461"/>
      <c r="H35" s="1460"/>
      <c r="I35" s="1461"/>
      <c r="J35" s="1462"/>
      <c r="K35" s="1439"/>
      <c r="L35" s="1439"/>
      <c r="M35" s="1463" t="str">
        <f>IF(OR(H35&lt;=0,H35=""),"",IF(O35="Amortizing",-PMT(J35/12,L35*12,H35,0,0)*12,""))</f>
        <v/>
      </c>
      <c r="N35" s="1464"/>
      <c r="O35" s="1402"/>
      <c r="P35" s="1403"/>
      <c r="Q35" s="1465"/>
    </row>
    <row r="36" spans="1:19" s="398" customFormat="1" ht="13.15" customHeight="1">
      <c r="A36" s="458"/>
      <c r="B36" s="720" t="s">
        <v>2098</v>
      </c>
      <c r="C36" s="721"/>
      <c r="D36" s="722"/>
      <c r="E36" s="1442"/>
      <c r="F36" s="1466"/>
      <c r="G36" s="1461"/>
      <c r="H36" s="1460"/>
      <c r="I36" s="1461"/>
      <c r="J36" s="1462"/>
      <c r="K36" s="1439"/>
      <c r="L36" s="1439"/>
      <c r="M36" s="1463" t="str">
        <f>IF(OR(H36&lt;=0,H36=""),"",IF(O36="Amortizing",-PMT(J36/12,L36*12,H36,0,0)*12,""))</f>
        <v/>
      </c>
      <c r="N36" s="1464"/>
      <c r="O36" s="1402"/>
      <c r="P36" s="1403"/>
      <c r="Q36" s="1465"/>
    </row>
    <row r="37" spans="1:19" s="398" customFormat="1" ht="13.15" customHeight="1">
      <c r="A37" s="458"/>
      <c r="B37" s="726" t="s">
        <v>337</v>
      </c>
      <c r="C37" s="727"/>
      <c r="D37" s="555">
        <f>IF(OR(H37="",H37=0,'Part IV-Uses of Funds'!$G$109="",'Part IV-Uses of Funds'!$G$109=0),"",H37/'Part IV-Uses of Funds'!$G$109)</f>
        <v>4.4016397658922068E-2</v>
      </c>
      <c r="E37" s="1442" t="s">
        <v>127</v>
      </c>
      <c r="F37" s="1466"/>
      <c r="G37" s="1461"/>
      <c r="H37" s="1460">
        <v>50486.5</v>
      </c>
      <c r="I37" s="1461"/>
      <c r="J37" s="1462">
        <v>0</v>
      </c>
      <c r="K37" s="1439">
        <v>10</v>
      </c>
      <c r="L37" s="1439">
        <v>10</v>
      </c>
      <c r="M37" s="1463">
        <v>4000</v>
      </c>
      <c r="N37" s="1464"/>
      <c r="O37" s="1402" t="s">
        <v>3249</v>
      </c>
      <c r="P37" s="1403"/>
      <c r="Q37" s="1465"/>
    </row>
    <row r="38" spans="1:19" s="398" customFormat="1" ht="13.15" customHeight="1">
      <c r="A38" s="458"/>
      <c r="B38" s="839" t="s">
        <v>3537</v>
      </c>
      <c r="C38" s="840"/>
      <c r="D38" s="863"/>
      <c r="E38" s="1442"/>
      <c r="F38" s="1466"/>
      <c r="G38" s="1461"/>
      <c r="H38" s="1467"/>
      <c r="I38" s="1468"/>
      <c r="K38" s="556"/>
      <c r="L38" s="556"/>
      <c r="M38" s="556"/>
      <c r="N38" s="556"/>
      <c r="O38" s="556"/>
      <c r="P38" s="556"/>
      <c r="Q38" s="556"/>
      <c r="S38" s="648" t="s">
        <v>863</v>
      </c>
    </row>
    <row r="39" spans="1:19" s="398" customFormat="1" ht="13.15" customHeight="1">
      <c r="A39" s="458"/>
      <c r="B39" s="841" t="s">
        <v>1376</v>
      </c>
      <c r="C39" s="842"/>
      <c r="D39" s="843"/>
      <c r="E39" s="1442"/>
      <c r="F39" s="1466"/>
      <c r="G39" s="1461"/>
      <c r="H39" s="1467"/>
      <c r="I39" s="1468"/>
      <c r="J39" s="846" t="s">
        <v>864</v>
      </c>
      <c r="K39" s="847"/>
      <c r="L39" s="652" t="s">
        <v>865</v>
      </c>
      <c r="M39" s="557"/>
      <c r="N39" s="557"/>
      <c r="O39" s="557"/>
      <c r="P39" s="557"/>
      <c r="Q39" s="556"/>
      <c r="S39" s="649" t="s">
        <v>3961</v>
      </c>
    </row>
    <row r="40" spans="1:19" s="398" customFormat="1" ht="13.15" customHeight="1">
      <c r="A40" s="458"/>
      <c r="B40" s="841" t="s">
        <v>1377</v>
      </c>
      <c r="C40" s="842"/>
      <c r="D40" s="843"/>
      <c r="E40" s="1442" t="s">
        <v>173</v>
      </c>
      <c r="F40" s="1443"/>
      <c r="G40" s="1444"/>
      <c r="H40" s="1460">
        <v>5642367</v>
      </c>
      <c r="I40" s="1469"/>
      <c r="J40" s="848">
        <f>'Part IV-Uses of Funds'!$J$165*10*'Part IV-Uses of Funds'!$N$158</f>
        <v>5643067.5</v>
      </c>
      <c r="K40" s="849"/>
      <c r="L40" s="653">
        <f>H40-J40</f>
        <v>-700.5</v>
      </c>
      <c r="M40" s="835" t="s">
        <v>2402</v>
      </c>
      <c r="N40" s="850"/>
      <c r="O40" s="850"/>
      <c r="P40" s="850"/>
      <c r="Q40" s="851"/>
      <c r="S40" s="650">
        <f>H40/H50</f>
        <v>0.61187422931038282</v>
      </c>
    </row>
    <row r="41" spans="1:19" s="398" customFormat="1" ht="13.15" customHeight="1">
      <c r="A41" s="458"/>
      <c r="B41" s="841" t="s">
        <v>1378</v>
      </c>
      <c r="C41" s="842"/>
      <c r="D41" s="843"/>
      <c r="E41" s="1442" t="s">
        <v>173</v>
      </c>
      <c r="F41" s="1443"/>
      <c r="G41" s="1444"/>
      <c r="H41" s="1460">
        <v>1880788.8</v>
      </c>
      <c r="I41" s="1469"/>
      <c r="J41" s="848">
        <f>'Part IV-Uses of Funds'!$J$165*10*'Part IV-Uses of Funds'!$Q$158</f>
        <v>1881022.5</v>
      </c>
      <c r="K41" s="849"/>
      <c r="L41" s="653">
        <f>H41-J41</f>
        <v>-233.69999999995343</v>
      </c>
      <c r="M41" s="852"/>
      <c r="N41" s="845"/>
      <c r="O41" s="845"/>
      <c r="P41" s="845"/>
      <c r="Q41" s="853"/>
      <c r="S41" s="650">
        <f>H41/H50</f>
        <v>0.20395805474822884</v>
      </c>
    </row>
    <row r="42" spans="1:19" s="398" customFormat="1" ht="13.15" customHeight="1">
      <c r="A42" s="458"/>
      <c r="B42" s="841" t="s">
        <v>2151</v>
      </c>
      <c r="C42" s="842"/>
      <c r="D42" s="843"/>
      <c r="E42" s="1442"/>
      <c r="F42" s="1443"/>
      <c r="G42" s="1444"/>
      <c r="H42" s="1460"/>
      <c r="I42" s="1469"/>
      <c r="M42" s="558" t="s">
        <v>3253</v>
      </c>
      <c r="N42" s="559" t="s">
        <v>3254</v>
      </c>
      <c r="O42" s="558">
        <v>8</v>
      </c>
      <c r="P42" s="558">
        <v>9</v>
      </c>
      <c r="Q42" s="558">
        <v>10</v>
      </c>
      <c r="S42" s="651">
        <f>SUM(S40:S41)</f>
        <v>0.81583228405861163</v>
      </c>
    </row>
    <row r="43" spans="1:19" s="398" customFormat="1" ht="13.15" customHeight="1">
      <c r="A43" s="458"/>
      <c r="B43" s="720" t="s">
        <v>975</v>
      </c>
      <c r="C43" s="721"/>
      <c r="D43" s="722"/>
      <c r="E43" s="1442"/>
      <c r="F43" s="1443"/>
      <c r="G43" s="1444"/>
      <c r="H43" s="1460"/>
      <c r="I43" s="1469"/>
      <c r="K43" s="458"/>
      <c r="L43" s="458"/>
      <c r="M43" s="558" t="s">
        <v>3255</v>
      </c>
      <c r="N43" s="1462">
        <v>0.01</v>
      </c>
      <c r="O43" s="1462">
        <v>5.0000000000000001E-3</v>
      </c>
      <c r="P43" s="1462">
        <v>5.0000000000000001E-3</v>
      </c>
      <c r="Q43" s="1462">
        <v>5.0000000000000001E-3</v>
      </c>
      <c r="S43" s="458"/>
    </row>
    <row r="44" spans="1:19" s="398" customFormat="1" ht="13.15" customHeight="1">
      <c r="A44" s="458"/>
      <c r="B44" s="720" t="s">
        <v>3092</v>
      </c>
      <c r="C44" s="721"/>
      <c r="D44" s="722"/>
      <c r="E44" s="1442"/>
      <c r="F44" s="1443"/>
      <c r="G44" s="1444"/>
      <c r="H44" s="1460"/>
      <c r="I44" s="1469"/>
      <c r="J44" s="458"/>
      <c r="M44" s="560">
        <v>11</v>
      </c>
      <c r="N44" s="560">
        <v>12</v>
      </c>
      <c r="O44" s="713">
        <v>13</v>
      </c>
      <c r="P44" s="558">
        <v>14</v>
      </c>
      <c r="Q44" s="558">
        <v>15</v>
      </c>
    </row>
    <row r="45" spans="1:19" s="398" customFormat="1" ht="13.15" customHeight="1">
      <c r="A45" s="458"/>
      <c r="B45" s="720" t="s">
        <v>3093</v>
      </c>
      <c r="C45" s="721"/>
      <c r="D45" s="722"/>
      <c r="E45" s="1442"/>
      <c r="F45" s="1443"/>
      <c r="G45" s="1444"/>
      <c r="H45" s="1460"/>
      <c r="I45" s="1469"/>
      <c r="J45" s="458"/>
      <c r="M45" s="1462">
        <v>5.0000000000000001E-3</v>
      </c>
      <c r="N45" s="1462">
        <v>5.0000000000000001E-3</v>
      </c>
      <c r="O45" s="1462">
        <v>5.0000000000000001E-3</v>
      </c>
      <c r="P45" s="1462">
        <v>5.0000000000000001E-3</v>
      </c>
      <c r="Q45" s="1462">
        <v>5.0000000000000001E-3</v>
      </c>
    </row>
    <row r="46" spans="1:19" s="398" customFormat="1" ht="13.15" customHeight="1">
      <c r="A46" s="458"/>
      <c r="B46" s="720" t="s">
        <v>1242</v>
      </c>
      <c r="C46" s="1442" t="s">
        <v>75</v>
      </c>
      <c r="D46" s="1444"/>
      <c r="E46" s="1442" t="s">
        <v>159</v>
      </c>
      <c r="F46" s="1443"/>
      <c r="G46" s="1444"/>
      <c r="H46" s="1460">
        <v>47807</v>
      </c>
      <c r="I46" s="1469"/>
      <c r="J46" s="458"/>
      <c r="M46" s="558">
        <v>16</v>
      </c>
      <c r="N46" s="558">
        <v>17</v>
      </c>
      <c r="O46" s="558">
        <v>18</v>
      </c>
      <c r="P46" s="719">
        <v>19</v>
      </c>
      <c r="Q46" s="719">
        <v>20</v>
      </c>
    </row>
    <row r="47" spans="1:19" s="398" customFormat="1" ht="13.15" customHeight="1">
      <c r="A47" s="458"/>
      <c r="B47" s="720" t="s">
        <v>1242</v>
      </c>
      <c r="C47" s="1442"/>
      <c r="D47" s="1444"/>
      <c r="E47" s="1442"/>
      <c r="F47" s="1443"/>
      <c r="G47" s="1444"/>
      <c r="H47" s="1460"/>
      <c r="I47" s="1469"/>
      <c r="J47" s="458"/>
      <c r="K47" s="458"/>
      <c r="L47" s="558"/>
      <c r="M47" s="1462">
        <v>2.5000000000000001E-3</v>
      </c>
      <c r="N47" s="1462">
        <v>2.5000000000000001E-3</v>
      </c>
      <c r="O47" s="1462">
        <v>2.5000000000000001E-3</v>
      </c>
      <c r="P47" s="1462">
        <v>2.5000000000000001E-3</v>
      </c>
      <c r="Q47" s="1462">
        <v>2.5000000000000001E-3</v>
      </c>
    </row>
    <row r="48" spans="1:19" s="398" customFormat="1" ht="13.15" customHeight="1">
      <c r="A48" s="458"/>
      <c r="B48" s="726" t="s">
        <v>1242</v>
      </c>
      <c r="C48" s="1442"/>
      <c r="D48" s="1444"/>
      <c r="E48" s="1442"/>
      <c r="F48" s="1443"/>
      <c r="G48" s="1444"/>
      <c r="H48" s="1460"/>
      <c r="I48" s="1469"/>
      <c r="J48" s="458"/>
      <c r="K48" s="458"/>
      <c r="L48" s="558"/>
      <c r="M48" s="719">
        <v>21</v>
      </c>
      <c r="N48" s="719">
        <v>22</v>
      </c>
      <c r="O48" s="719">
        <v>23</v>
      </c>
      <c r="P48" s="719">
        <v>24</v>
      </c>
      <c r="Q48" s="719">
        <v>25</v>
      </c>
    </row>
    <row r="49" spans="1:17" s="398" customFormat="1" ht="13.15" customHeight="1">
      <c r="A49" s="458"/>
      <c r="B49" s="714" t="s">
        <v>3433</v>
      </c>
      <c r="C49" s="458"/>
      <c r="D49" s="458"/>
      <c r="E49" s="458"/>
      <c r="F49" s="458"/>
      <c r="G49" s="458"/>
      <c r="H49" s="877">
        <f>SUM(H32:I48)</f>
        <v>9221449.3000000007</v>
      </c>
      <c r="I49" s="878"/>
      <c r="J49" s="482"/>
      <c r="K49" s="458"/>
      <c r="L49" s="558"/>
      <c r="M49" s="1462"/>
      <c r="N49" s="1462"/>
      <c r="O49" s="1462"/>
      <c r="P49" s="1462"/>
      <c r="Q49" s="1462"/>
    </row>
    <row r="50" spans="1:17" s="398" customFormat="1" ht="13.15" customHeight="1" thickBot="1">
      <c r="A50" s="458"/>
      <c r="B50" s="714" t="s">
        <v>3434</v>
      </c>
      <c r="C50" s="458"/>
      <c r="D50" s="458"/>
      <c r="E50" s="458"/>
      <c r="F50" s="458"/>
      <c r="G50" s="458"/>
      <c r="H50" s="875">
        <f>'Part IV-Uses of Funds'!$G$123</f>
        <v>9221449</v>
      </c>
      <c r="I50" s="876"/>
      <c r="J50" s="482"/>
      <c r="K50" s="458"/>
      <c r="L50" s="558"/>
      <c r="M50" s="719">
        <v>26</v>
      </c>
      <c r="N50" s="719">
        <v>27</v>
      </c>
      <c r="O50" s="719">
        <v>28</v>
      </c>
      <c r="P50" s="719">
        <v>29</v>
      </c>
      <c r="Q50" s="719">
        <v>30</v>
      </c>
    </row>
    <row r="51" spans="1:17" s="398" customFormat="1" ht="13.15" customHeight="1" thickBot="1">
      <c r="A51" s="458"/>
      <c r="B51" s="464" t="s">
        <v>2331</v>
      </c>
      <c r="C51" s="458"/>
      <c r="D51" s="458"/>
      <c r="E51" s="458"/>
      <c r="F51" s="458"/>
      <c r="G51" s="458"/>
      <c r="H51" s="861">
        <f>H49-H50</f>
        <v>0.30000000074505806</v>
      </c>
      <c r="I51" s="862"/>
      <c r="J51" s="482"/>
      <c r="K51" s="458"/>
      <c r="L51" s="558"/>
      <c r="M51" s="1462"/>
      <c r="N51" s="1462"/>
      <c r="O51" s="1462"/>
      <c r="P51" s="1462"/>
      <c r="Q51" s="1462"/>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2950</v>
      </c>
      <c r="B53" s="461" t="s">
        <v>953</v>
      </c>
      <c r="C53" s="482"/>
      <c r="D53" s="482"/>
      <c r="E53" s="482"/>
      <c r="F53" s="482"/>
      <c r="G53" s="482"/>
      <c r="H53" s="482"/>
      <c r="I53" s="482"/>
      <c r="J53" s="482"/>
      <c r="K53" s="461" t="s">
        <v>2950</v>
      </c>
      <c r="L53" s="461" t="s">
        <v>224</v>
      </c>
      <c r="M53" s="482"/>
      <c r="N53" s="482"/>
      <c r="O53" s="482"/>
      <c r="P53" s="482"/>
      <c r="Q53" s="482"/>
    </row>
    <row r="54" spans="1:17" ht="5.65" customHeight="1">
      <c r="B54" s="519"/>
    </row>
    <row r="55" spans="1:17" ht="51" customHeight="1">
      <c r="A55" s="1290" t="s">
        <v>64</v>
      </c>
      <c r="B55" s="1256"/>
      <c r="C55" s="1256"/>
      <c r="D55" s="1256"/>
      <c r="E55" s="1256"/>
      <c r="F55" s="1256"/>
      <c r="G55" s="1256"/>
      <c r="H55" s="1256"/>
      <c r="I55" s="1256"/>
      <c r="J55" s="1257"/>
      <c r="K55" s="1293"/>
      <c r="L55" s="1256"/>
      <c r="M55" s="1256"/>
      <c r="N55" s="1256"/>
      <c r="O55" s="1256"/>
      <c r="P55" s="1256"/>
      <c r="Q55" s="1257"/>
    </row>
    <row r="56" spans="1:17" ht="51" customHeight="1">
      <c r="A56" s="1294"/>
      <c r="B56" s="1470"/>
      <c r="C56" s="1470"/>
      <c r="D56" s="1470"/>
      <c r="E56" s="1470"/>
      <c r="F56" s="1470"/>
      <c r="G56" s="1470"/>
      <c r="H56" s="1470"/>
      <c r="I56" s="1470"/>
      <c r="J56" s="1471"/>
      <c r="K56" s="1297"/>
      <c r="L56" s="1470"/>
      <c r="M56" s="1470"/>
      <c r="N56" s="1470"/>
      <c r="O56" s="1470"/>
      <c r="P56" s="1470"/>
      <c r="Q56" s="1471"/>
    </row>
    <row r="57" spans="1:17" s="398" customFormat="1" ht="51" customHeight="1">
      <c r="A57" s="1294"/>
      <c r="B57" s="1470"/>
      <c r="C57" s="1470"/>
      <c r="D57" s="1470"/>
      <c r="E57" s="1470"/>
      <c r="F57" s="1470"/>
      <c r="G57" s="1470"/>
      <c r="H57" s="1470"/>
      <c r="I57" s="1470"/>
      <c r="J57" s="1471"/>
      <c r="K57" s="1297"/>
      <c r="L57" s="1470"/>
      <c r="M57" s="1470"/>
      <c r="N57" s="1470"/>
      <c r="O57" s="1470"/>
      <c r="P57" s="1470"/>
      <c r="Q57" s="1471"/>
    </row>
    <row r="58" spans="1:17" ht="51" customHeight="1">
      <c r="A58" s="1298"/>
      <c r="B58" s="1267"/>
      <c r="C58" s="1267"/>
      <c r="D58" s="1267"/>
      <c r="E58" s="1267"/>
      <c r="F58" s="1267"/>
      <c r="G58" s="1267"/>
      <c r="H58" s="1267"/>
      <c r="I58" s="1267"/>
      <c r="J58" s="1268"/>
      <c r="K58" s="1301"/>
      <c r="L58" s="1267"/>
      <c r="M58" s="1267"/>
      <c r="N58" s="1267"/>
      <c r="O58" s="1267"/>
      <c r="P58" s="1267"/>
      <c r="Q58" s="1268"/>
    </row>
    <row r="59" spans="1:17" ht="11.25" customHeight="1"/>
    <row r="60" spans="1:17" ht="12" customHeight="1"/>
    <row r="61" spans="1:17" ht="12" customHeight="1">
      <c r="B61" s="519"/>
    </row>
    <row r="62" spans="1:17" ht="14.65" customHeight="1"/>
    <row r="63" spans="1:17" s="398" customFormat="1" ht="14.65" customHeight="1"/>
    <row r="64" spans="1:17" s="398" customFormat="1" ht="14.65" customHeight="1"/>
    <row r="65" spans="1:1" s="398" customFormat="1" ht="14.65" customHeight="1"/>
    <row r="66" spans="1:1" ht="14.65" customHeight="1"/>
    <row r="67" spans="1:1" s="398" customFormat="1" ht="14.65" customHeight="1">
      <c r="A67" s="520"/>
    </row>
    <row r="68" spans="1:1" s="398" customFormat="1" ht="14.65" customHeight="1">
      <c r="A68" s="520"/>
    </row>
    <row r="69" spans="1:1" s="398" customFormat="1" ht="14.65" customHeight="1"/>
    <row r="70" spans="1:1" s="398" customFormat="1" ht="14.65" customHeight="1">
      <c r="A70" s="520"/>
    </row>
    <row r="71" spans="1:1" s="398" customFormat="1" ht="14.65" customHeight="1">
      <c r="A71" s="518"/>
    </row>
    <row r="72" spans="1:1" s="398" customFormat="1" ht="14.65" customHeight="1">
      <c r="A72" s="518"/>
    </row>
    <row r="73" spans="1:1" s="398" customFormat="1" ht="14.65" customHeight="1">
      <c r="A73" s="521"/>
    </row>
    <row r="74" spans="1:1" s="398" customFormat="1" ht="14.65" customHeight="1">
      <c r="A74" s="520"/>
    </row>
    <row r="75" spans="1:1" s="398" customFormat="1" ht="14.65" customHeight="1">
      <c r="A75" s="518"/>
    </row>
    <row r="76" spans="1:1" s="398" customFormat="1" ht="14.65" customHeight="1">
      <c r="A76" s="518"/>
    </row>
    <row r="77" spans="1:1" s="398" customFormat="1" ht="14.65" customHeight="1">
      <c r="A77" s="521"/>
    </row>
    <row r="78" spans="1:1" s="398" customFormat="1" ht="14.65" customHeight="1">
      <c r="A78" s="520"/>
    </row>
    <row r="79" spans="1:1" s="398" customFormat="1" ht="14.65" customHeight="1">
      <c r="A79" s="518"/>
    </row>
    <row r="80" spans="1:1" s="398" customFormat="1" ht="14.65" customHeight="1">
      <c r="A80" s="518"/>
    </row>
    <row r="81" spans="1:1" s="398" customFormat="1" ht="14.65" customHeight="1">
      <c r="A81" s="521"/>
    </row>
    <row r="82" spans="1:1" s="398" customFormat="1" ht="14.65" customHeight="1">
      <c r="A82" s="521"/>
    </row>
    <row r="83" spans="1:1" s="398" customFormat="1" ht="14.65" customHeight="1">
      <c r="A83" s="521"/>
    </row>
    <row r="84" spans="1:1" s="398" customFormat="1" ht="14.65" customHeight="1">
      <c r="A84" s="521"/>
    </row>
    <row r="85" spans="1:1" s="398" customFormat="1" ht="14.65" customHeight="1"/>
    <row r="86" spans="1:1" s="398" customFormat="1" ht="14.65" customHeight="1"/>
    <row r="87" spans="1:1" ht="14.65" customHeight="1"/>
    <row r="88" spans="1:1" ht="14.65" customHeight="1"/>
    <row r="89" spans="1:1" ht="14.65" customHeight="1"/>
    <row r="90" spans="1:1" ht="14.65" customHeight="1"/>
    <row r="91" spans="1:1" ht="14.65" customHeight="1"/>
    <row r="92" spans="1:1" ht="14.65" customHeight="1"/>
    <row r="93" spans="1:1" ht="14.65" customHeight="1"/>
    <row r="94" spans="1:1" ht="14.65" customHeight="1"/>
    <row r="95" spans="1:1" ht="14.65" customHeight="1"/>
    <row r="96" spans="1:1" ht="14.65" customHeight="1"/>
    <row r="97" ht="14.65" customHeight="1"/>
    <row r="98" ht="14.65" customHeight="1"/>
    <row r="99" ht="14.65" customHeight="1"/>
    <row r="100" ht="14.65" customHeight="1"/>
    <row r="101" ht="14.65" customHeight="1"/>
  </sheetData>
  <sheetProtection password="DDE0" sheet="1" objects="1" scenarios="1"/>
  <mergeCells count="136">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C35:D35"/>
    <mergeCell ref="B42:D42"/>
    <mergeCell ref="H45:I45"/>
    <mergeCell ref="H43:I43"/>
    <mergeCell ref="H44:I44"/>
    <mergeCell ref="E45:G45"/>
    <mergeCell ref="E43:G43"/>
    <mergeCell ref="B41:D41"/>
    <mergeCell ref="B40:D40"/>
    <mergeCell ref="H38:I38"/>
    <mergeCell ref="H40:I40"/>
    <mergeCell ref="H37:I37"/>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paperSize="0" scale="91" fitToHeight="0" orientation="landscape" horizontalDpi="4294967292" verticalDpi="4294967292"/>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sheetPr codeName="Sheet6" enableFormatConditionsCalculation="0">
    <pageSetUpPr fitToPage="1"/>
  </sheetPr>
  <dimension ref="A1:Q744"/>
  <sheetViews>
    <sheetView showGridLines="0" workbookViewId="0">
      <selection activeCell="A14" sqref="A14:F14"/>
    </sheetView>
  </sheetViews>
  <sheetFormatPr defaultColWidth="8.7109375" defaultRowHeight="12.75"/>
  <cols>
    <col min="1" max="1" width="17.7109375" style="31" customWidth="1"/>
    <col min="2" max="5" width="16.7109375" style="31" customWidth="1"/>
    <col min="6" max="6" width="4.71093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7109375" style="31"/>
  </cols>
  <sheetData>
    <row r="1" spans="1:17" s="236" customFormat="1" ht="16.149999999999999" customHeight="1">
      <c r="A1" s="887" t="str">
        <f>CONCATENATE("PART III B: USD 538 LOAN","  -  ",'Part I-Project Information'!$O$4," ",'Part I-Project Information'!$F$22,", ",'Part I-Project Information'!$F$24,", ",'Part I-Project Information'!$J$25," County")</f>
        <v>PART III B: USD 538 LOAN  -  2011-028 Endeavor Pointe, LaFayette, Walker County</v>
      </c>
      <c r="B1" s="888"/>
      <c r="C1" s="888"/>
      <c r="D1" s="888"/>
      <c r="E1" s="888"/>
      <c r="F1" s="889"/>
      <c r="G1" s="231"/>
      <c r="H1" s="231"/>
      <c r="I1" s="231"/>
      <c r="J1" s="231"/>
      <c r="K1" s="231"/>
      <c r="L1" s="231"/>
      <c r="M1" s="231"/>
      <c r="N1" s="231"/>
      <c r="O1" s="231"/>
      <c r="P1" s="231"/>
      <c r="Q1" s="231"/>
    </row>
    <row r="2" spans="1:17" ht="10.9" customHeight="1">
      <c r="A2" s="275"/>
      <c r="B2" s="275"/>
      <c r="C2" s="275"/>
      <c r="D2" s="275"/>
      <c r="E2" s="275"/>
      <c r="F2" s="275"/>
      <c r="G2" s="275"/>
      <c r="H2" s="275"/>
    </row>
    <row r="3" spans="1:17" ht="14.65" customHeight="1">
      <c r="A3" s="880" t="s">
        <v>504</v>
      </c>
      <c r="B3" s="880"/>
      <c r="C3" s="880"/>
      <c r="D3" s="880"/>
      <c r="E3" s="880"/>
      <c r="F3" s="880"/>
      <c r="G3" s="275"/>
      <c r="H3" s="275"/>
    </row>
    <row r="4" spans="1:17" s="264" customFormat="1" ht="6" customHeight="1"/>
    <row r="5" spans="1:17">
      <c r="A5" s="42" t="s">
        <v>3493</v>
      </c>
      <c r="B5" s="42"/>
      <c r="C5" s="1436"/>
      <c r="D5" s="374">
        <f>IF(C5&gt;1500000,1500000,0)</f>
        <v>0</v>
      </c>
      <c r="E5" s="375">
        <f>IF(C5&gt;1500000,C5-1500000,0)</f>
        <v>0</v>
      </c>
    </row>
    <row r="6" spans="1:17">
      <c r="A6" s="42" t="s">
        <v>3765</v>
      </c>
      <c r="B6" s="300" t="s">
        <v>915</v>
      </c>
      <c r="C6" s="376">
        <v>0</v>
      </c>
      <c r="D6" s="160" t="s">
        <v>916</v>
      </c>
      <c r="E6" s="42"/>
    </row>
    <row r="7" spans="1:17">
      <c r="A7" s="42"/>
      <c r="B7" s="300" t="s">
        <v>3863</v>
      </c>
      <c r="C7" s="1437"/>
      <c r="D7" s="160" t="s">
        <v>2926</v>
      </c>
      <c r="E7" s="42"/>
    </row>
    <row r="8" spans="1:17" ht="13.15" customHeight="1">
      <c r="A8" s="42" t="s">
        <v>3851</v>
      </c>
      <c r="B8" s="42"/>
      <c r="C8" s="376">
        <v>0</v>
      </c>
      <c r="D8" s="160" t="s">
        <v>2789</v>
      </c>
      <c r="E8" s="42"/>
    </row>
    <row r="9" spans="1:17">
      <c r="A9" s="42" t="s">
        <v>2346</v>
      </c>
      <c r="B9" s="42"/>
      <c r="C9" s="1438"/>
      <c r="D9" s="42"/>
      <c r="E9" s="42"/>
    </row>
    <row r="10" spans="1:17">
      <c r="A10" s="42" t="s">
        <v>2347</v>
      </c>
      <c r="B10" s="42"/>
      <c r="C10" s="1438"/>
      <c r="D10" s="42"/>
      <c r="E10" s="42"/>
    </row>
    <row r="11" spans="1:17">
      <c r="A11" s="42" t="s">
        <v>2344</v>
      </c>
      <c r="B11" s="42"/>
      <c r="C11" s="377" t="e">
        <f>PMT(C7/12,C10*12,-C5,0,0)*12</f>
        <v>#DIV/0!</v>
      </c>
      <c r="D11" s="374" t="e">
        <f>PMT($C$7/12,$C$10*12,-D5,0,0)*12</f>
        <v>#DIV/0!</v>
      </c>
      <c r="E11" s="374" t="e">
        <f>PMT($C$7/12,$C$10*12,-E5,0,0)*12</f>
        <v>#DIV/0!</v>
      </c>
    </row>
    <row r="12" spans="1:17">
      <c r="A12" s="42" t="s">
        <v>2345</v>
      </c>
      <c r="B12" s="42"/>
      <c r="C12" s="378" t="e">
        <f>C11/12</f>
        <v>#DIV/0!</v>
      </c>
      <c r="D12" s="374" t="e">
        <f>D11/12</f>
        <v>#DIV/0!</v>
      </c>
      <c r="E12" s="374" t="e">
        <f>E11/12</f>
        <v>#DIV/0!</v>
      </c>
    </row>
    <row r="13" spans="1:17" ht="10.9" customHeight="1">
      <c r="A13" s="275"/>
      <c r="B13" s="275"/>
      <c r="C13" s="275"/>
      <c r="D13" s="275"/>
      <c r="E13" s="275"/>
      <c r="F13" s="275"/>
      <c r="G13" s="275"/>
      <c r="H13" s="275"/>
    </row>
    <row r="14" spans="1:17" ht="12.4" customHeight="1">
      <c r="A14" s="881" t="s">
        <v>378</v>
      </c>
      <c r="B14" s="881"/>
      <c r="C14" s="881"/>
      <c r="D14" s="881"/>
      <c r="E14" s="881"/>
      <c r="F14" s="881"/>
      <c r="G14" s="275"/>
      <c r="H14" s="275"/>
    </row>
    <row r="15" spans="1:17" ht="5.65" customHeight="1">
      <c r="A15" s="34"/>
      <c r="E15" s="288"/>
      <c r="F15" s="275"/>
      <c r="G15" s="275"/>
      <c r="H15" s="275"/>
    </row>
    <row r="16" spans="1:17" ht="13.15" customHeight="1">
      <c r="A16" s="290" t="s">
        <v>3865</v>
      </c>
      <c r="B16" s="731" t="s">
        <v>3861</v>
      </c>
      <c r="C16" s="731" t="s">
        <v>3862</v>
      </c>
      <c r="D16" s="890" t="s">
        <v>3492</v>
      </c>
      <c r="E16" s="890"/>
      <c r="F16" s="275"/>
      <c r="G16" s="275"/>
      <c r="H16" s="275"/>
    </row>
    <row r="17" spans="1:8" ht="12.4" customHeight="1">
      <c r="A17" s="111">
        <v>1</v>
      </c>
      <c r="B17" s="265">
        <f>IF(A17&gt;$C$9,0,SUM(C64:C75)*($C$6/$C$7))</f>
        <v>0</v>
      </c>
      <c r="C17" s="289">
        <f>IF(A17&gt;C9,0,(E63+K63)*$C$8)</f>
        <v>0</v>
      </c>
      <c r="D17" s="885">
        <f t="shared" ref="D17:D56" si="0">IF(A17&gt;$C$9,0,$C$11+C17)</f>
        <v>0</v>
      </c>
      <c r="E17" s="885"/>
      <c r="F17" s="275"/>
      <c r="G17" s="275"/>
      <c r="H17" s="275"/>
    </row>
    <row r="18" spans="1:8" ht="12.4" customHeight="1">
      <c r="A18" s="111">
        <v>2</v>
      </c>
      <c r="B18" s="265">
        <f>IF(A18&gt;C9,0,SUM(C76:C87)*($C$6/$C$7))</f>
        <v>0</v>
      </c>
      <c r="C18" s="293">
        <f>IF(A18&gt;C9,0,(E75+K75)*$C$8)</f>
        <v>0</v>
      </c>
      <c r="D18" s="883">
        <f t="shared" si="0"/>
        <v>0</v>
      </c>
      <c r="E18" s="883"/>
      <c r="F18" s="275"/>
      <c r="G18" s="275"/>
      <c r="H18" s="275"/>
    </row>
    <row r="19" spans="1:8" ht="12.4" customHeight="1">
      <c r="A19" s="111">
        <v>3</v>
      </c>
      <c r="B19" s="265">
        <f>IF(A19&gt;C9,0,SUM(C88:C99)*($C$6/$C$7))</f>
        <v>0</v>
      </c>
      <c r="C19" s="289">
        <f>IF(A19&gt;C9,0,(E87+K87)*$C$8)</f>
        <v>0</v>
      </c>
      <c r="D19" s="883">
        <f t="shared" si="0"/>
        <v>0</v>
      </c>
      <c r="E19" s="883"/>
      <c r="F19" s="275"/>
      <c r="G19" s="275"/>
      <c r="H19" s="275"/>
    </row>
    <row r="20" spans="1:8" ht="12.4" customHeight="1">
      <c r="A20" s="111">
        <v>4</v>
      </c>
      <c r="B20" s="265">
        <f>IF(A20&gt;C9,0,SUM(C100:C111)*($C$6/$C$7))</f>
        <v>0</v>
      </c>
      <c r="C20" s="289">
        <f>IF(A20&gt;C9,0,(E99+K99)*$C$8)</f>
        <v>0</v>
      </c>
      <c r="D20" s="883">
        <f t="shared" si="0"/>
        <v>0</v>
      </c>
      <c r="E20" s="883"/>
      <c r="F20" s="275"/>
      <c r="G20" s="275"/>
      <c r="H20" s="275"/>
    </row>
    <row r="21" spans="1:8" ht="12.4" customHeight="1">
      <c r="A21" s="111">
        <v>5</v>
      </c>
      <c r="B21" s="265">
        <f>IF(A21&gt;C9,0,SUM(C112:C123)*($C$6/$C$7))</f>
        <v>0</v>
      </c>
      <c r="C21" s="289">
        <f>IF(A21&gt;C9,0,(E111+K111)*$C$8)</f>
        <v>0</v>
      </c>
      <c r="D21" s="884">
        <f t="shared" si="0"/>
        <v>0</v>
      </c>
      <c r="E21" s="884"/>
      <c r="F21" s="275"/>
      <c r="G21" s="275"/>
      <c r="H21" s="275"/>
    </row>
    <row r="22" spans="1:8" ht="12.4" customHeight="1">
      <c r="A22" s="266">
        <v>6</v>
      </c>
      <c r="B22" s="267">
        <f>IF(A22&gt;C9,0,SUM(C124:C135)*($C$6/$C$7))</f>
        <v>0</v>
      </c>
      <c r="C22" s="730">
        <f>IF(A22&gt;C9,0,(E123+K123)*$C$8)</f>
        <v>0</v>
      </c>
      <c r="D22" s="883">
        <f t="shared" si="0"/>
        <v>0</v>
      </c>
      <c r="E22" s="883"/>
      <c r="F22" s="275"/>
      <c r="G22" s="275"/>
      <c r="H22" s="275"/>
    </row>
    <row r="23" spans="1:8" ht="12.4" customHeight="1">
      <c r="A23" s="268">
        <v>7</v>
      </c>
      <c r="B23" s="269">
        <f>IF(A23&gt;C9,0,SUM(C136:C147)*($C$6/$C$7))</f>
        <v>0</v>
      </c>
      <c r="C23" s="728">
        <f>IF(A23&gt;C9,0,(E135+K135)*$C$8)</f>
        <v>0</v>
      </c>
      <c r="D23" s="883">
        <f t="shared" si="0"/>
        <v>0</v>
      </c>
      <c r="E23" s="883"/>
      <c r="F23" s="275"/>
      <c r="G23" s="275"/>
      <c r="H23" s="275"/>
    </row>
    <row r="24" spans="1:8" ht="12.4" customHeight="1">
      <c r="A24" s="268">
        <v>8</v>
      </c>
      <c r="B24" s="269">
        <f>IF(A24&gt;C9,0,SUM(C148:C159)*($C$6/$C$7))</f>
        <v>0</v>
      </c>
      <c r="C24" s="728">
        <f>IF(A24&gt;C9,0,(E147+K147)*$C$8)</f>
        <v>0</v>
      </c>
      <c r="D24" s="883">
        <f t="shared" si="0"/>
        <v>0</v>
      </c>
      <c r="E24" s="883"/>
      <c r="F24" s="275"/>
      <c r="G24" s="275"/>
      <c r="H24" s="275"/>
    </row>
    <row r="25" spans="1:8" ht="12.4" customHeight="1">
      <c r="A25" s="268">
        <v>9</v>
      </c>
      <c r="B25" s="269">
        <f>IF(A25&gt;C9,0,SUM(C160:C171)*($C$6/$C$7))</f>
        <v>0</v>
      </c>
      <c r="C25" s="728">
        <f>IF(A25&gt;C9,0,(E159+K159)*$C$8)</f>
        <v>0</v>
      </c>
      <c r="D25" s="883">
        <f t="shared" si="0"/>
        <v>0</v>
      </c>
      <c r="E25" s="883"/>
      <c r="F25" s="275"/>
      <c r="G25" s="275"/>
      <c r="H25" s="275"/>
    </row>
    <row r="26" spans="1:8" ht="12.4" customHeight="1">
      <c r="A26" s="270">
        <v>10</v>
      </c>
      <c r="B26" s="271">
        <f>IF(A26&gt;C9,0,SUM(C172:C183)*($C$6/$C$7))</f>
        <v>0</v>
      </c>
      <c r="C26" s="729">
        <f>IF(A26&gt;C9,0,(E171+K171)*$C$8)</f>
        <v>0</v>
      </c>
      <c r="D26" s="884">
        <f t="shared" si="0"/>
        <v>0</v>
      </c>
      <c r="E26" s="884"/>
      <c r="F26" s="275"/>
      <c r="G26" s="275"/>
      <c r="H26" s="275"/>
    </row>
    <row r="27" spans="1:8" ht="12.4" customHeight="1">
      <c r="A27" s="272">
        <v>11</v>
      </c>
      <c r="B27" s="265">
        <f>IF(A27&gt;C9,0,SUM(C184:C195)*($C$6/$C$7))</f>
        <v>0</v>
      </c>
      <c r="C27" s="289">
        <f>IF(A27&gt;C9,0,(E183+K183)*$C$8)</f>
        <v>0</v>
      </c>
      <c r="D27" s="883">
        <f t="shared" si="0"/>
        <v>0</v>
      </c>
      <c r="E27" s="883"/>
      <c r="F27" s="275"/>
      <c r="G27" s="275"/>
      <c r="H27" s="275"/>
    </row>
    <row r="28" spans="1:8" ht="12.4" customHeight="1">
      <c r="A28" s="272">
        <v>12</v>
      </c>
      <c r="B28" s="265">
        <f>IF(A28&gt;C9,0,SUM(C196:C207)*($C$6/$C$7))</f>
        <v>0</v>
      </c>
      <c r="C28" s="289">
        <f>IF(A28&gt;C9,0,(E195+K195)*$C$8)</f>
        <v>0</v>
      </c>
      <c r="D28" s="883">
        <f t="shared" si="0"/>
        <v>0</v>
      </c>
      <c r="E28" s="883"/>
      <c r="F28" s="275"/>
      <c r="G28" s="275"/>
      <c r="H28" s="275"/>
    </row>
    <row r="29" spans="1:8" ht="12.4" customHeight="1">
      <c r="A29" s="272">
        <v>13</v>
      </c>
      <c r="B29" s="265">
        <f>IF(A29&gt;C9,0,SUM(C208:C219)*($C$6/$C$7))</f>
        <v>0</v>
      </c>
      <c r="C29" s="289">
        <f>IF(A29&gt;C9,0,(E207+K207)*$C$8)</f>
        <v>0</v>
      </c>
      <c r="D29" s="883">
        <f t="shared" si="0"/>
        <v>0</v>
      </c>
      <c r="E29" s="883"/>
      <c r="F29" s="275"/>
      <c r="G29" s="275"/>
      <c r="H29" s="275"/>
    </row>
    <row r="30" spans="1:8" ht="12.4" customHeight="1">
      <c r="A30" s="272">
        <v>14</v>
      </c>
      <c r="B30" s="265">
        <f>IF(A30&gt;C9,0,SUM(C220:C231)*($C$6/$C$7))</f>
        <v>0</v>
      </c>
      <c r="C30" s="289">
        <f>IF(A30&gt;C9,0,(E219+K219)*$C$8)</f>
        <v>0</v>
      </c>
      <c r="D30" s="883">
        <f t="shared" si="0"/>
        <v>0</v>
      </c>
      <c r="E30" s="883"/>
      <c r="F30" s="275"/>
      <c r="G30" s="275"/>
      <c r="H30" s="275"/>
    </row>
    <row r="31" spans="1:8" ht="12.4" customHeight="1">
      <c r="A31" s="272">
        <v>15</v>
      </c>
      <c r="B31" s="265">
        <f>IF(A31&gt;C9,0,SUM(C232:C243)*($C$6/$C$7))</f>
        <v>0</v>
      </c>
      <c r="C31" s="289">
        <f>IF(A31&gt;C9,0,(E231+K231)*$C$8)</f>
        <v>0</v>
      </c>
      <c r="D31" s="884">
        <f t="shared" si="0"/>
        <v>0</v>
      </c>
      <c r="E31" s="884"/>
      <c r="F31" s="275"/>
      <c r="G31" s="275"/>
      <c r="H31" s="275"/>
    </row>
    <row r="32" spans="1:8" ht="12.4" customHeight="1">
      <c r="A32" s="274">
        <v>16</v>
      </c>
      <c r="B32" s="267">
        <f>IF(A32&gt;C9,0,SUM(C244:C255)*($C$6/$C$7))</f>
        <v>0</v>
      </c>
      <c r="C32" s="730">
        <f>IF(A32&gt;C9,0,(E243+K243)*$C$8)</f>
        <v>0</v>
      </c>
      <c r="D32" s="883">
        <f t="shared" si="0"/>
        <v>0</v>
      </c>
      <c r="E32" s="883"/>
      <c r="F32" s="275"/>
      <c r="G32" s="275"/>
      <c r="H32" s="275"/>
    </row>
    <row r="33" spans="1:8" ht="12.4" customHeight="1">
      <c r="A33" s="268">
        <v>17</v>
      </c>
      <c r="B33" s="269">
        <f>IF(A33&gt;C9,0,SUM(C256:C267)*($C$6/$C$7))</f>
        <v>0</v>
      </c>
      <c r="C33" s="728">
        <f>IF(A33&gt;C9,0,(E255+K255)*$C$8)</f>
        <v>0</v>
      </c>
      <c r="D33" s="883">
        <f t="shared" si="0"/>
        <v>0</v>
      </c>
      <c r="E33" s="883"/>
      <c r="F33" s="275"/>
      <c r="G33" s="275"/>
      <c r="H33" s="275"/>
    </row>
    <row r="34" spans="1:8" ht="12.4" customHeight="1">
      <c r="A34" s="268">
        <v>18</v>
      </c>
      <c r="B34" s="269">
        <f>IF(A34&gt;C9,0,SUM(C268:C279)*($C$6/$C$7))</f>
        <v>0</v>
      </c>
      <c r="C34" s="728">
        <f>IF(A34&gt;C9,0,(E267+K267)*$C$8)</f>
        <v>0</v>
      </c>
      <c r="D34" s="883">
        <f t="shared" si="0"/>
        <v>0</v>
      </c>
      <c r="E34" s="883"/>
      <c r="F34" s="275"/>
      <c r="G34" s="275"/>
      <c r="H34" s="275"/>
    </row>
    <row r="35" spans="1:8" ht="12.4" customHeight="1">
      <c r="A35" s="268">
        <v>19</v>
      </c>
      <c r="B35" s="269">
        <f>IF(A35&gt;C9,0,SUM(C280:C291)*($C$6/$C$7))</f>
        <v>0</v>
      </c>
      <c r="C35" s="728">
        <f>IF(A35&gt;C9,0,(E279+K279)*$C$8)</f>
        <v>0</v>
      </c>
      <c r="D35" s="883">
        <f t="shared" si="0"/>
        <v>0</v>
      </c>
      <c r="E35" s="883"/>
      <c r="F35" s="275"/>
      <c r="G35" s="275"/>
      <c r="H35" s="275"/>
    </row>
    <row r="36" spans="1:8" ht="12.4" customHeight="1">
      <c r="A36" s="270">
        <v>20</v>
      </c>
      <c r="B36" s="271">
        <f>IF(A36&gt;C9,0,SUM(C292:C303)*($C$6/$C$7))</f>
        <v>0</v>
      </c>
      <c r="C36" s="729">
        <f>IF(A36&gt;C9,0,(E291+K291)*$C$8)</f>
        <v>0</v>
      </c>
      <c r="D36" s="884">
        <f t="shared" si="0"/>
        <v>0</v>
      </c>
      <c r="E36" s="884"/>
      <c r="F36" s="275"/>
      <c r="G36" s="275"/>
      <c r="H36" s="275"/>
    </row>
    <row r="37" spans="1:8" ht="12.4" customHeight="1">
      <c r="A37" s="111">
        <v>21</v>
      </c>
      <c r="B37" s="267">
        <f>IF(A37&gt;C9,0,SUM(C293:C304)*($C$6/$C$7))</f>
        <v>0</v>
      </c>
      <c r="C37" s="730">
        <f>IF(A37&gt;C9,0,(E303+K303)*$C$8)</f>
        <v>0</v>
      </c>
      <c r="D37" s="886">
        <f t="shared" si="0"/>
        <v>0</v>
      </c>
      <c r="E37" s="886"/>
      <c r="F37" s="275"/>
      <c r="G37" s="275"/>
      <c r="H37" s="275"/>
    </row>
    <row r="38" spans="1:8" ht="12.4" customHeight="1">
      <c r="A38" s="111">
        <v>22</v>
      </c>
      <c r="B38" s="269">
        <f>IF(A38&gt;C9,0,SUM(C294:C305)*($C$6/$C$7))</f>
        <v>0</v>
      </c>
      <c r="C38" s="728">
        <f>IF(A38&gt;C9,0,(E315+K315)*$C$8)</f>
        <v>0</v>
      </c>
      <c r="D38" s="883">
        <f t="shared" si="0"/>
        <v>0</v>
      </c>
      <c r="E38" s="883"/>
      <c r="F38" s="275"/>
      <c r="G38" s="275"/>
      <c r="H38" s="275"/>
    </row>
    <row r="39" spans="1:8" ht="12.4" customHeight="1">
      <c r="A39" s="111">
        <v>23</v>
      </c>
      <c r="B39" s="269">
        <f>IF(A39&gt;C9,0,SUM(C295:C306)*($C$6/$C$7))</f>
        <v>0</v>
      </c>
      <c r="C39" s="728">
        <f>IF(A39&gt;C9,0,(E327+K327)*$C$8)</f>
        <v>0</v>
      </c>
      <c r="D39" s="883">
        <f t="shared" si="0"/>
        <v>0</v>
      </c>
      <c r="E39" s="883"/>
      <c r="F39" s="275"/>
      <c r="G39" s="275"/>
      <c r="H39" s="275"/>
    </row>
    <row r="40" spans="1:8" ht="12.4" customHeight="1">
      <c r="A40" s="111">
        <v>24</v>
      </c>
      <c r="B40" s="269">
        <f>IF(A40&gt;C9,0,SUM(C296:C307)*($C$6/$C$7))</f>
        <v>0</v>
      </c>
      <c r="C40" s="728">
        <f>IF(A40&gt;C9,0,(E339+K339)*$C$8)</f>
        <v>0</v>
      </c>
      <c r="D40" s="883">
        <f t="shared" si="0"/>
        <v>0</v>
      </c>
      <c r="E40" s="883"/>
      <c r="F40" s="275"/>
      <c r="G40" s="275"/>
      <c r="H40" s="275"/>
    </row>
    <row r="41" spans="1:8" ht="12.4" customHeight="1">
      <c r="A41" s="111">
        <v>25</v>
      </c>
      <c r="B41" s="271">
        <f>IF(A41&gt;C9,0,SUM(C297:C308)*($C$6/$C$7))</f>
        <v>0</v>
      </c>
      <c r="C41" s="729">
        <f>IF(A41&gt;C9,0,(E351+K351)*$C$8)</f>
        <v>0</v>
      </c>
      <c r="D41" s="884">
        <f t="shared" si="0"/>
        <v>0</v>
      </c>
      <c r="E41" s="884"/>
      <c r="F41" s="275"/>
      <c r="G41" s="275"/>
      <c r="H41" s="275"/>
    </row>
    <row r="42" spans="1:8" ht="12.4" customHeight="1">
      <c r="A42" s="266">
        <v>26</v>
      </c>
      <c r="B42" s="267">
        <f>IF(A42&gt;C9,0,SUM(C298:C309)*($C$6/$C$7))</f>
        <v>0</v>
      </c>
      <c r="C42" s="730">
        <f>IF(A42&gt;C9,0,(E363+K363)*$C$8)</f>
        <v>0</v>
      </c>
      <c r="D42" s="886">
        <f t="shared" si="0"/>
        <v>0</v>
      </c>
      <c r="E42" s="886"/>
      <c r="F42" s="275"/>
      <c r="G42" s="275"/>
      <c r="H42" s="275"/>
    </row>
    <row r="43" spans="1:8" ht="12.4" customHeight="1">
      <c r="A43" s="268">
        <v>27</v>
      </c>
      <c r="B43" s="269">
        <f>IF(A43&gt;C9,0,SUM(C299:C310)*($C$6/$C$7))</f>
        <v>0</v>
      </c>
      <c r="C43" s="728">
        <f>IF(A43&gt;C9,0,(E375+K375)*$C$8)</f>
        <v>0</v>
      </c>
      <c r="D43" s="883">
        <f t="shared" si="0"/>
        <v>0</v>
      </c>
      <c r="E43" s="883"/>
      <c r="F43" s="275"/>
      <c r="G43" s="275"/>
      <c r="H43" s="275"/>
    </row>
    <row r="44" spans="1:8" ht="12.4" customHeight="1">
      <c r="A44" s="268">
        <v>28</v>
      </c>
      <c r="B44" s="269">
        <f>IF(A44&gt;C9,0,SUM(C300:C311)*($C$6/$C$7))</f>
        <v>0</v>
      </c>
      <c r="C44" s="728">
        <f>IF(A44&gt;C9,0,(E387+K387)*$C$8)</f>
        <v>0</v>
      </c>
      <c r="D44" s="883">
        <f t="shared" si="0"/>
        <v>0</v>
      </c>
      <c r="E44" s="883"/>
      <c r="F44" s="275"/>
      <c r="G44" s="275"/>
      <c r="H44" s="275"/>
    </row>
    <row r="45" spans="1:8" ht="12.4" customHeight="1">
      <c r="A45" s="268">
        <v>29</v>
      </c>
      <c r="B45" s="269">
        <f>IF(A45&gt;C9,0,SUM(C301:C312)*($C$6/$C$7))</f>
        <v>0</v>
      </c>
      <c r="C45" s="728">
        <f>IF(A45&gt;C9,0,(E411+K411)*$C$8)</f>
        <v>0</v>
      </c>
      <c r="D45" s="883">
        <f t="shared" si="0"/>
        <v>0</v>
      </c>
      <c r="E45" s="883"/>
      <c r="F45" s="275"/>
      <c r="G45" s="275"/>
      <c r="H45" s="275"/>
    </row>
    <row r="46" spans="1:8" ht="12.4" customHeight="1">
      <c r="A46" s="270">
        <v>30</v>
      </c>
      <c r="B46" s="271">
        <f>IF(A46&gt;C9,0,SUM(C302:C313)*($C$6/$C$7))</f>
        <v>0</v>
      </c>
      <c r="C46" s="729">
        <f>IF(A46&gt;C9,0,(E423+K423)*$C$8)</f>
        <v>0</v>
      </c>
      <c r="D46" s="884">
        <f t="shared" si="0"/>
        <v>0</v>
      </c>
      <c r="E46" s="884"/>
      <c r="F46" s="275"/>
      <c r="G46" s="275"/>
      <c r="H46" s="275"/>
    </row>
    <row r="47" spans="1:8" ht="12.4" customHeight="1">
      <c r="A47" s="274">
        <v>31</v>
      </c>
      <c r="B47" s="267">
        <f>IF(A47&gt;C9,0,SUM(C303:C314)*($C$6/$C$7))</f>
        <v>0</v>
      </c>
      <c r="C47" s="730">
        <f>IF(A47&gt;C9,0,(E435+K435)*$C$8)</f>
        <v>0</v>
      </c>
      <c r="D47" s="886">
        <f t="shared" si="0"/>
        <v>0</v>
      </c>
      <c r="E47" s="886"/>
      <c r="F47" s="275"/>
      <c r="G47" s="275"/>
      <c r="H47" s="275"/>
    </row>
    <row r="48" spans="1:8" ht="12.4" customHeight="1">
      <c r="A48" s="268">
        <v>32</v>
      </c>
      <c r="B48" s="269">
        <f>IF(A48&gt;C9,0,SUM(C304:C315)*($C$6/$C$7))</f>
        <v>0</v>
      </c>
      <c r="C48" s="728">
        <f>IF(A48&gt;C9,0,(E447+K447)*$C$8)</f>
        <v>0</v>
      </c>
      <c r="D48" s="883">
        <f t="shared" si="0"/>
        <v>0</v>
      </c>
      <c r="E48" s="883"/>
      <c r="F48" s="275"/>
      <c r="G48" s="275"/>
      <c r="H48" s="275"/>
    </row>
    <row r="49" spans="1:12" ht="12.4" customHeight="1">
      <c r="A49" s="268">
        <v>33</v>
      </c>
      <c r="B49" s="269">
        <f>IF(A49&gt;C9,0,SUM(C305:C316)*($C$6/$C$7))</f>
        <v>0</v>
      </c>
      <c r="C49" s="728">
        <f>IF(A49&gt;C9,0,(E459+K459)*$C$8)</f>
        <v>0</v>
      </c>
      <c r="D49" s="883">
        <f t="shared" si="0"/>
        <v>0</v>
      </c>
      <c r="E49" s="883"/>
      <c r="F49" s="275"/>
      <c r="G49" s="275"/>
      <c r="H49" s="275"/>
    </row>
    <row r="50" spans="1:12" ht="12.4" customHeight="1">
      <c r="A50" s="268">
        <v>34</v>
      </c>
      <c r="B50" s="269">
        <f>IF(A50&gt;C9,0,SUM(C306:C317)*($C$6/$C$7))</f>
        <v>0</v>
      </c>
      <c r="C50" s="728">
        <f>IF(A50&gt;C9,0,(E471+K471)*$C$8)</f>
        <v>0</v>
      </c>
      <c r="D50" s="883">
        <f t="shared" si="0"/>
        <v>0</v>
      </c>
      <c r="E50" s="883"/>
      <c r="F50" s="275"/>
      <c r="G50" s="275"/>
      <c r="H50" s="275"/>
    </row>
    <row r="51" spans="1:12" ht="12.4" customHeight="1">
      <c r="A51" s="270">
        <v>35</v>
      </c>
      <c r="B51" s="271">
        <f>IF(A51&gt;C9,0,SUM(C307:C318)*($C$6/$C$7))</f>
        <v>0</v>
      </c>
      <c r="C51" s="729">
        <f>IF(A51&gt;C9,0,(E483+K483)*$C$8)</f>
        <v>0</v>
      </c>
      <c r="D51" s="884">
        <f t="shared" si="0"/>
        <v>0</v>
      </c>
      <c r="E51" s="884"/>
      <c r="F51" s="275"/>
      <c r="G51" s="275"/>
      <c r="H51" s="275"/>
    </row>
    <row r="52" spans="1:12" ht="12.4" customHeight="1">
      <c r="A52" s="274">
        <v>36</v>
      </c>
      <c r="B52" s="267">
        <f>IF(A52&gt;C9,0,SUM(C308:C319)*($C$6/$C$7))</f>
        <v>0</v>
      </c>
      <c r="C52" s="730">
        <f>IF(A52&gt;C9,0,(E495+K495)*$C$8)</f>
        <v>0</v>
      </c>
      <c r="D52" s="886">
        <f t="shared" si="0"/>
        <v>0</v>
      </c>
      <c r="E52" s="886"/>
      <c r="F52" s="275"/>
      <c r="G52" s="275"/>
      <c r="H52" s="275"/>
    </row>
    <row r="53" spans="1:12" ht="12.4" customHeight="1">
      <c r="A53" s="268">
        <v>37</v>
      </c>
      <c r="B53" s="269">
        <f>IF(A53&gt;C9,0,SUM(C309:C320)*($C$6/$C$7))</f>
        <v>0</v>
      </c>
      <c r="C53" s="728">
        <f>IF(A53&gt;C9,0,(E507+K507)*$C$8)</f>
        <v>0</v>
      </c>
      <c r="D53" s="883">
        <f t="shared" si="0"/>
        <v>0</v>
      </c>
      <c r="E53" s="883"/>
      <c r="F53" s="275"/>
      <c r="G53" s="275"/>
      <c r="H53" s="275"/>
    </row>
    <row r="54" spans="1:12" ht="12.4" customHeight="1">
      <c r="A54" s="268">
        <v>38</v>
      </c>
      <c r="B54" s="269">
        <f>IF(A54&gt;C9,0,SUM(C310:C321)*($C$6/$C$7))</f>
        <v>0</v>
      </c>
      <c r="C54" s="728">
        <f>IF(A54&gt;C9,0,(E519+K519)*$C$8)</f>
        <v>0</v>
      </c>
      <c r="D54" s="883">
        <f t="shared" si="0"/>
        <v>0</v>
      </c>
      <c r="E54" s="883"/>
      <c r="F54" s="275"/>
      <c r="G54" s="275"/>
      <c r="H54" s="275"/>
    </row>
    <row r="55" spans="1:12" ht="12.4" customHeight="1">
      <c r="A55" s="268">
        <v>39</v>
      </c>
      <c r="B55" s="269">
        <f>IF(A55&gt;C9,0,SUM(C311:C322)*($C$6/$C$7))</f>
        <v>0</v>
      </c>
      <c r="C55" s="728">
        <f>IF(A55&gt;C9,0,(E531+K531)*$C$8)</f>
        <v>0</v>
      </c>
      <c r="D55" s="883">
        <f t="shared" si="0"/>
        <v>0</v>
      </c>
      <c r="E55" s="883"/>
      <c r="F55" s="275"/>
      <c r="G55" s="275"/>
      <c r="H55" s="275"/>
    </row>
    <row r="56" spans="1:12" ht="12.4" customHeight="1">
      <c r="A56" s="270">
        <v>40</v>
      </c>
      <c r="B56" s="271">
        <f>IF(A56&gt;C9,0,SUM(C312:C323)*($C$6/$C$7))</f>
        <v>0</v>
      </c>
      <c r="C56" s="729">
        <f>IF(A56&gt;C9,0,(E543+K543)*$C$8)</f>
        <v>0</v>
      </c>
      <c r="D56" s="884">
        <f t="shared" si="0"/>
        <v>0</v>
      </c>
      <c r="E56" s="884"/>
      <c r="F56" s="275"/>
      <c r="G56" s="275"/>
      <c r="H56" s="275"/>
    </row>
    <row r="57" spans="1:12" ht="3" customHeight="1">
      <c r="A57" s="275"/>
      <c r="B57" s="275"/>
      <c r="C57" s="275"/>
      <c r="D57" s="275"/>
      <c r="E57" s="275"/>
      <c r="F57" s="275"/>
      <c r="G57" s="275"/>
      <c r="H57" s="275"/>
    </row>
    <row r="58" spans="1:12" ht="13.15" customHeight="1">
      <c r="A58" s="882" t="str">
        <f>CONCATENATE('Part I-Project Information'!$O$4," ",'Part I-Project Information'!$F$22,", ",'Part I-Project Information'!$F$24,", ",'Part I-Project Information'!$J$25," County")</f>
        <v>2011-028 Endeavor Pointe, LaFayette, Walker County</v>
      </c>
      <c r="B58" s="882"/>
      <c r="C58" s="882"/>
      <c r="D58" s="882"/>
      <c r="E58" s="882"/>
      <c r="F58" s="882"/>
      <c r="G58" s="882" t="str">
        <f>CONCATENATE('Part I-Project Information'!$O$4," ",'Part I-Project Information'!$F$22,", ",'Part I-Project Information'!$F$24,", ",'Part I-Project Information'!$J$25," County")</f>
        <v>2011-028 Endeavor Pointe, LaFayette, Walker County</v>
      </c>
      <c r="H58" s="882"/>
      <c r="I58" s="882"/>
      <c r="J58" s="882"/>
      <c r="K58" s="882"/>
      <c r="L58" s="882"/>
    </row>
    <row r="59" spans="1:12" ht="15">
      <c r="A59" s="879" t="s">
        <v>3855</v>
      </c>
      <c r="B59" s="879"/>
      <c r="C59" s="879"/>
      <c r="D59" s="879"/>
      <c r="E59" s="879"/>
      <c r="F59" s="879"/>
      <c r="G59" s="879" t="s">
        <v>3855</v>
      </c>
      <c r="H59" s="879"/>
      <c r="I59" s="879"/>
      <c r="J59" s="879"/>
      <c r="K59" s="879"/>
      <c r="L59" s="879"/>
    </row>
    <row r="60" spans="1:12" ht="6" customHeight="1">
      <c r="C60" s="273"/>
      <c r="D60" s="273"/>
      <c r="I60" s="273"/>
      <c r="J60" s="273"/>
    </row>
    <row r="61" spans="1:12">
      <c r="A61" s="276" t="s">
        <v>3856</v>
      </c>
      <c r="B61" s="277" t="s">
        <v>3857</v>
      </c>
      <c r="C61" s="277" t="s">
        <v>2159</v>
      </c>
      <c r="D61" s="277" t="s">
        <v>3858</v>
      </c>
      <c r="E61" s="276" t="s">
        <v>3859</v>
      </c>
      <c r="F61" s="307" t="s">
        <v>3865</v>
      </c>
      <c r="G61" s="276" t="s">
        <v>3856</v>
      </c>
      <c r="H61" s="277" t="s">
        <v>3857</v>
      </c>
      <c r="I61" s="277" t="s">
        <v>2159</v>
      </c>
      <c r="J61" s="277" t="s">
        <v>3858</v>
      </c>
      <c r="K61" s="276" t="s">
        <v>3859</v>
      </c>
      <c r="L61" s="307" t="s">
        <v>3865</v>
      </c>
    </row>
    <row r="62" spans="1:12" ht="3.4" customHeight="1">
      <c r="A62" s="279"/>
      <c r="B62" s="159"/>
      <c r="C62" s="159"/>
      <c r="D62" s="159"/>
      <c r="E62" s="159"/>
      <c r="F62" s="111"/>
      <c r="G62" s="279"/>
      <c r="H62" s="159"/>
      <c r="I62" s="159"/>
      <c r="J62" s="159"/>
      <c r="K62" s="159"/>
      <c r="L62" s="111"/>
    </row>
    <row r="63" spans="1:12">
      <c r="A63" s="280" t="s">
        <v>3860</v>
      </c>
      <c r="B63" s="281"/>
      <c r="C63" s="281"/>
      <c r="D63" s="281"/>
      <c r="E63" s="282">
        <f>IF($C$5&gt;1500000,$D$5,$C$5)</f>
        <v>0</v>
      </c>
      <c r="F63" s="111"/>
      <c r="G63" s="280" t="s">
        <v>3860</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paperSize="0" scale="49" orientation="portrait" horizontalDpi="4294967292" verticalDpi="4294967292"/>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sheetPr codeName="Sheet7" enableFormatConditionsCalculation="0">
    <pageSetUpPr fitToPage="1"/>
  </sheetPr>
  <dimension ref="A1:Q654"/>
  <sheetViews>
    <sheetView showGridLines="0" workbookViewId="0">
      <selection activeCell="E14" sqref="E14"/>
    </sheetView>
  </sheetViews>
  <sheetFormatPr defaultColWidth="8.7109375" defaultRowHeight="12.75"/>
  <cols>
    <col min="1" max="1" width="7.140625" style="31" customWidth="1"/>
    <col min="2" max="6" width="16.7109375" style="31" customWidth="1"/>
    <col min="7" max="7" width="11.42578125" style="31" customWidth="1"/>
    <col min="8" max="8" width="2.28515625" style="111" customWidth="1"/>
    <col min="9" max="9" width="10.42578125" style="31" bestFit="1" customWidth="1"/>
    <col min="10" max="10" width="12.28515625" style="31" customWidth="1"/>
    <col min="11" max="11" width="10.7109375" style="31" customWidth="1"/>
    <col min="12" max="16384" width="8.7109375" style="31"/>
  </cols>
  <sheetData>
    <row r="1" spans="1:17" s="236" customFormat="1" ht="16.149999999999999" customHeight="1">
      <c r="A1" s="887" t="str">
        <f>CONCATENATE("PART III C  - HUD INSURED LOAN","  -  ",'Part I-Project Information'!$O$4," ",'Part I-Project Information'!$F$22,", ",'Part I-Project Information'!$F$24,", ",'Part I-Project Information'!$J$25," County")</f>
        <v>PART III C  - HUD INSURED LOAN  -  2011-028 Endeavor Pointe, LaFayette, Walker County</v>
      </c>
      <c r="B1" s="888"/>
      <c r="C1" s="888"/>
      <c r="D1" s="888"/>
      <c r="E1" s="888"/>
      <c r="F1" s="889"/>
      <c r="G1" s="231"/>
      <c r="H1" s="231"/>
      <c r="I1" s="231"/>
      <c r="J1" s="231"/>
      <c r="K1" s="231"/>
      <c r="L1" s="231"/>
      <c r="M1" s="231"/>
      <c r="N1" s="231"/>
      <c r="O1" s="231"/>
      <c r="P1" s="231"/>
      <c r="Q1" s="231"/>
    </row>
    <row r="2" spans="1:17">
      <c r="A2" s="16"/>
      <c r="B2" s="264"/>
      <c r="C2" s="264"/>
      <c r="D2" s="264"/>
    </row>
    <row r="3" spans="1:17" ht="15.4" customHeight="1">
      <c r="A3" s="880" t="s">
        <v>504</v>
      </c>
      <c r="B3" s="880"/>
      <c r="C3" s="880"/>
      <c r="D3" s="880"/>
      <c r="E3" s="880"/>
      <c r="F3" s="880"/>
      <c r="G3" s="317"/>
      <c r="H3" s="317"/>
    </row>
    <row r="4" spans="1:17">
      <c r="A4" s="16"/>
      <c r="B4" s="264"/>
      <c r="C4" s="264"/>
      <c r="D4" s="264"/>
    </row>
    <row r="5" spans="1:17" ht="13.15" customHeight="1">
      <c r="A5" s="31" t="s">
        <v>3493</v>
      </c>
      <c r="D5" s="1432"/>
      <c r="E5" s="891" t="s">
        <v>1566</v>
      </c>
      <c r="F5" s="892"/>
      <c r="G5" s="219"/>
    </row>
    <row r="6" spans="1:17">
      <c r="E6" s="892"/>
      <c r="F6" s="892"/>
      <c r="G6" s="219"/>
    </row>
    <row r="7" spans="1:17">
      <c r="A7" s="31" t="s">
        <v>3765</v>
      </c>
      <c r="C7" s="31" t="s">
        <v>3766</v>
      </c>
      <c r="D7" s="1433"/>
      <c r="E7" s="892"/>
      <c r="F7" s="892"/>
      <c r="G7" s="219"/>
    </row>
    <row r="8" spans="1:17">
      <c r="C8" s="31" t="s">
        <v>3845</v>
      </c>
      <c r="D8" s="1433"/>
      <c r="E8" s="892"/>
      <c r="F8" s="892"/>
      <c r="G8" s="219"/>
    </row>
    <row r="9" spans="1:17">
      <c r="C9" s="31" t="s">
        <v>3846</v>
      </c>
      <c r="D9" s="1433"/>
      <c r="E9" s="892"/>
      <c r="F9" s="892"/>
      <c r="G9" s="219"/>
    </row>
    <row r="10" spans="1:17">
      <c r="C10" s="31" t="s">
        <v>3863</v>
      </c>
      <c r="D10" s="318">
        <f>D7+D8+D9</f>
        <v>0</v>
      </c>
      <c r="E10" s="892"/>
      <c r="F10" s="892"/>
      <c r="G10" s="219"/>
    </row>
    <row r="11" spans="1:17">
      <c r="F11" s="219"/>
      <c r="G11" s="219"/>
    </row>
    <row r="12" spans="1:17">
      <c r="A12" s="31" t="s">
        <v>2602</v>
      </c>
      <c r="D12" s="1434"/>
      <c r="E12" s="31" t="s">
        <v>3286</v>
      </c>
      <c r="F12" s="219"/>
      <c r="G12" s="219"/>
    </row>
    <row r="13" spans="1:17">
      <c r="D13" s="273"/>
      <c r="F13" s="219"/>
      <c r="G13" s="219"/>
    </row>
    <row r="14" spans="1:17">
      <c r="A14" s="31" t="s">
        <v>3852</v>
      </c>
      <c r="D14" s="1435"/>
      <c r="E14" s="31" t="s">
        <v>3853</v>
      </c>
      <c r="F14" s="319"/>
    </row>
    <row r="15" spans="1:17">
      <c r="D15" s="292"/>
      <c r="F15" s="319"/>
    </row>
    <row r="16" spans="1:17">
      <c r="A16" s="31" t="s">
        <v>3854</v>
      </c>
      <c r="D16" s="1435"/>
      <c r="E16" s="31" t="s">
        <v>3853</v>
      </c>
      <c r="F16" s="319"/>
    </row>
    <row r="17" spans="1:10">
      <c r="D17" s="273"/>
      <c r="F17" s="319"/>
    </row>
    <row r="18" spans="1:10">
      <c r="A18" s="31" t="s">
        <v>1601</v>
      </c>
      <c r="D18" s="320" t="e">
        <f>PMT(D10/12,D16*12,-D5,0,0)*12</f>
        <v>#DIV/0!</v>
      </c>
      <c r="E18" s="31" t="s">
        <v>2395</v>
      </c>
      <c r="F18" s="319"/>
    </row>
    <row r="19" spans="1:10">
      <c r="D19" s="273"/>
      <c r="F19" s="319"/>
    </row>
    <row r="20" spans="1:10">
      <c r="A20" s="31" t="s">
        <v>2396</v>
      </c>
      <c r="D20" s="273" t="e">
        <f>D18/12</f>
        <v>#DIV/0!</v>
      </c>
      <c r="E20" s="31" t="s">
        <v>2395</v>
      </c>
      <c r="F20" s="319"/>
    </row>
    <row r="24" spans="1:10" ht="18" customHeight="1">
      <c r="A24" s="881" t="s">
        <v>2603</v>
      </c>
      <c r="B24" s="881"/>
      <c r="C24" s="881"/>
      <c r="D24" s="881"/>
      <c r="E24" s="881"/>
      <c r="F24" s="881"/>
      <c r="J24" s="321"/>
    </row>
    <row r="25" spans="1:10">
      <c r="C25" s="273"/>
      <c r="J25" s="321"/>
    </row>
    <row r="26" spans="1:10">
      <c r="A26" s="141"/>
      <c r="B26" s="111"/>
      <c r="C26" s="893" t="s">
        <v>3492</v>
      </c>
      <c r="D26" s="316"/>
      <c r="E26" s="111"/>
      <c r="F26" s="893" t="s">
        <v>3492</v>
      </c>
      <c r="J26" s="321"/>
    </row>
    <row r="27" spans="1:10">
      <c r="A27" s="322" t="s">
        <v>3865</v>
      </c>
      <c r="B27" s="736" t="s">
        <v>1788</v>
      </c>
      <c r="C27" s="894"/>
      <c r="D27" s="323" t="s">
        <v>3865</v>
      </c>
      <c r="E27" s="736" t="s">
        <v>1788</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2" t="str">
        <f>CONCATENATE('Part I-Project Information'!$O$4," ",'Part I-Project Information'!$F$22,", ",'Part I-Project Information'!$F$24,", ",'Part I-Project Information'!$J$25," County")</f>
        <v>2011-028 Endeavor Pointe, LaFayette, Walker County</v>
      </c>
      <c r="B50" s="882"/>
      <c r="C50" s="882"/>
      <c r="D50" s="882"/>
      <c r="E50" s="882"/>
      <c r="F50" s="882"/>
      <c r="G50" s="300"/>
      <c r="H50" s="300"/>
    </row>
    <row r="51" spans="1:10" ht="15">
      <c r="A51" s="879" t="s">
        <v>3855</v>
      </c>
      <c r="B51" s="879"/>
      <c r="C51" s="879"/>
      <c r="D51" s="879"/>
      <c r="E51" s="879"/>
      <c r="F51" s="879"/>
      <c r="G51" s="333"/>
      <c r="H51" s="333"/>
      <c r="I51" s="333"/>
      <c r="J51" s="333"/>
    </row>
    <row r="52" spans="1:10" ht="5.65" customHeight="1">
      <c r="C52" s="273"/>
      <c r="D52" s="273"/>
      <c r="G52" s="278"/>
      <c r="H52" s="272"/>
      <c r="I52" s="278"/>
    </row>
    <row r="53" spans="1:10">
      <c r="A53" s="276" t="s">
        <v>3856</v>
      </c>
      <c r="B53" s="276" t="s">
        <v>3857</v>
      </c>
      <c r="C53" s="276" t="s">
        <v>2159</v>
      </c>
      <c r="D53" s="276" t="s">
        <v>3858</v>
      </c>
      <c r="E53" s="276" t="s">
        <v>3859</v>
      </c>
      <c r="F53" s="307" t="s">
        <v>3865</v>
      </c>
      <c r="G53" s="334"/>
      <c r="H53" s="334"/>
      <c r="I53" s="334"/>
    </row>
    <row r="54" spans="1:10" ht="3.4" customHeight="1">
      <c r="F54" s="111"/>
      <c r="G54" s="278"/>
      <c r="H54" s="272"/>
      <c r="I54" s="278"/>
    </row>
    <row r="55" spans="1:10">
      <c r="A55" s="31" t="s">
        <v>3860</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paperSize="0" scale="98" orientation="portrait" horizontalDpi="4294967292" verticalDpi="4294967292"/>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sheetPr codeName="Sheet8" enableFormatConditionsCalculation="0">
    <pageSetUpPr fitToPage="1"/>
  </sheetPr>
  <dimension ref="A1:U215"/>
  <sheetViews>
    <sheetView showGridLines="0" topLeftCell="A146" zoomScaleNormal="85" zoomScaleSheetLayoutView="90" zoomScalePageLayoutView="85" workbookViewId="0">
      <selection activeCell="C14" sqref="C14:F14"/>
    </sheetView>
  </sheetViews>
  <sheetFormatPr defaultColWidth="9.140625" defaultRowHeight="12.75"/>
  <cols>
    <col min="1" max="1" width="2.42578125" style="482" customWidth="1"/>
    <col min="2" max="2" width="5.42578125" style="482" customWidth="1"/>
    <col min="3" max="3" width="18" style="482" customWidth="1"/>
    <col min="4" max="4" width="12.42578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14" t="str">
        <f>CONCATENATE("PART FOUR -  USES OF FUNDS","  -  ",'Part I-Project Information'!$O$4," ",'Part I-Project Information'!$F$22,", ",'Part I-Project Information'!F24,", ",'Part I-Project Information'!J25," County")</f>
        <v>PART FOUR -  USES OF FUNDS  -  2011-028 Endeavor Pointe, LaFayette, Walker County</v>
      </c>
      <c r="B1" s="915"/>
      <c r="C1" s="915"/>
      <c r="D1" s="915"/>
      <c r="E1" s="915"/>
      <c r="F1" s="915"/>
      <c r="G1" s="915"/>
      <c r="H1" s="915"/>
      <c r="I1" s="915"/>
      <c r="J1" s="915"/>
      <c r="K1" s="915"/>
      <c r="L1" s="915"/>
      <c r="M1" s="915"/>
      <c r="N1" s="915"/>
      <c r="O1" s="915"/>
      <c r="P1" s="915"/>
      <c r="Q1" s="915"/>
      <c r="R1" s="915"/>
      <c r="S1" s="915"/>
      <c r="T1" s="915"/>
    </row>
    <row r="2" spans="1:21" ht="4.9000000000000004" customHeight="1"/>
    <row r="3" spans="1:21" s="458" customFormat="1" ht="15" customHeight="1">
      <c r="A3" s="909" t="s">
        <v>396</v>
      </c>
      <c r="B3" s="909"/>
      <c r="C3" s="909"/>
      <c r="D3" s="909"/>
      <c r="E3" s="909"/>
      <c r="F3" s="909"/>
      <c r="G3" s="909"/>
      <c r="H3" s="909"/>
      <c r="I3" s="909"/>
      <c r="J3" s="909"/>
      <c r="K3" s="909"/>
      <c r="L3" s="909"/>
      <c r="M3" s="909"/>
      <c r="N3" s="909"/>
      <c r="O3" s="909"/>
      <c r="P3" s="909"/>
      <c r="Q3" s="909"/>
      <c r="R3" s="909"/>
      <c r="S3" s="909"/>
      <c r="T3" s="909"/>
    </row>
    <row r="4" spans="1:21" s="458" customFormat="1" ht="1.9"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1126</v>
      </c>
      <c r="B5" s="461" t="s">
        <v>1494</v>
      </c>
      <c r="H5" s="721"/>
      <c r="I5" s="721"/>
      <c r="J5" s="900" t="s">
        <v>397</v>
      </c>
      <c r="K5" s="901"/>
      <c r="L5" s="522"/>
      <c r="M5" s="910" t="s">
        <v>878</v>
      </c>
      <c r="N5" s="911"/>
      <c r="P5" s="900" t="s">
        <v>398</v>
      </c>
      <c r="Q5" s="901"/>
      <c r="S5" s="900" t="s">
        <v>307</v>
      </c>
      <c r="T5" s="901"/>
    </row>
    <row r="6" spans="1:21" s="458" customFormat="1" ht="21" customHeight="1" thickBot="1">
      <c r="G6" s="904" t="s">
        <v>94</v>
      </c>
      <c r="H6" s="905"/>
      <c r="J6" s="902"/>
      <c r="K6" s="903"/>
      <c r="L6" s="522"/>
      <c r="M6" s="912"/>
      <c r="N6" s="913"/>
      <c r="P6" s="902"/>
      <c r="Q6" s="903"/>
      <c r="S6" s="902"/>
      <c r="T6" s="903"/>
    </row>
    <row r="7" spans="1:21" s="458" customFormat="1" ht="13.15" customHeight="1">
      <c r="B7" s="461" t="s">
        <v>95</v>
      </c>
      <c r="O7" s="735" t="str">
        <f>B7</f>
        <v>PRE-DEVELOPMENT COSTS</v>
      </c>
    </row>
    <row r="8" spans="1:21" s="458" customFormat="1" ht="12.4" customHeight="1">
      <c r="B8" s="458" t="s">
        <v>3126</v>
      </c>
      <c r="G8" s="1391">
        <v>8000</v>
      </c>
      <c r="H8" s="1392"/>
      <c r="J8" s="1391">
        <v>8000</v>
      </c>
      <c r="K8" s="1392"/>
      <c r="L8" s="733"/>
      <c r="M8" s="1391"/>
      <c r="N8" s="1392"/>
      <c r="P8" s="1391"/>
      <c r="Q8" s="1392"/>
      <c r="S8" s="1391"/>
      <c r="T8" s="1392"/>
    </row>
    <row r="9" spans="1:21" s="458" customFormat="1" ht="12.4" customHeight="1">
      <c r="B9" s="458" t="s">
        <v>549</v>
      </c>
      <c r="G9" s="1391">
        <v>5150</v>
      </c>
      <c r="H9" s="1392"/>
      <c r="J9" s="1391">
        <v>5150</v>
      </c>
      <c r="K9" s="1392"/>
      <c r="L9" s="733"/>
      <c r="M9" s="1391"/>
      <c r="N9" s="1392"/>
      <c r="P9" s="1391"/>
      <c r="Q9" s="1392"/>
      <c r="S9" s="1391"/>
      <c r="T9" s="1392"/>
    </row>
    <row r="10" spans="1:21" s="458" customFormat="1" ht="12.4" customHeight="1">
      <c r="B10" s="458" t="s">
        <v>761</v>
      </c>
      <c r="G10" s="1391">
        <v>10000</v>
      </c>
      <c r="H10" s="1392"/>
      <c r="J10" s="1391">
        <v>10000</v>
      </c>
      <c r="K10" s="1392"/>
      <c r="L10" s="733"/>
      <c r="M10" s="1391"/>
      <c r="N10" s="1392"/>
      <c r="P10" s="1391"/>
      <c r="Q10" s="1392"/>
      <c r="S10" s="1391"/>
      <c r="T10" s="1392"/>
    </row>
    <row r="11" spans="1:21" s="458" customFormat="1" ht="12.4" customHeight="1">
      <c r="B11" s="458" t="s">
        <v>762</v>
      </c>
      <c r="G11" s="1391">
        <v>7500</v>
      </c>
      <c r="H11" s="1392"/>
      <c r="J11" s="1391">
        <v>7500</v>
      </c>
      <c r="K11" s="1392"/>
      <c r="L11" s="733"/>
      <c r="M11" s="1391"/>
      <c r="N11" s="1392"/>
      <c r="P11" s="1391"/>
      <c r="Q11" s="1392"/>
      <c r="S11" s="1391"/>
      <c r="T11" s="1392"/>
    </row>
    <row r="12" spans="1:21" s="458" customFormat="1" ht="12.4" customHeight="1">
      <c r="B12" s="458" t="s">
        <v>3885</v>
      </c>
      <c r="G12" s="1391">
        <v>12500</v>
      </c>
      <c r="H12" s="1392"/>
      <c r="J12" s="1391">
        <v>12500</v>
      </c>
      <c r="K12" s="1392"/>
      <c r="L12" s="733"/>
      <c r="M12" s="1391"/>
      <c r="N12" s="1392"/>
      <c r="P12" s="1391"/>
      <c r="Q12" s="1392"/>
      <c r="S12" s="1391"/>
      <c r="T12" s="1392"/>
    </row>
    <row r="13" spans="1:21" s="458" customFormat="1" ht="12.4" customHeight="1">
      <c r="B13" s="458" t="s">
        <v>198</v>
      </c>
      <c r="G13" s="1391">
        <v>300</v>
      </c>
      <c r="H13" s="1392"/>
      <c r="J13" s="1391">
        <v>300</v>
      </c>
      <c r="K13" s="1392"/>
      <c r="L13" s="733"/>
      <c r="M13" s="1391"/>
      <c r="N13" s="1392"/>
      <c r="P13" s="1391"/>
      <c r="Q13" s="1392"/>
      <c r="S13" s="1391"/>
      <c r="T13" s="1392"/>
    </row>
    <row r="14" spans="1:21" s="458" customFormat="1" ht="12.4" customHeight="1">
      <c r="A14" s="562" t="str">
        <f>IF(AND(G14&gt;0,OR(C14="",C14="&lt;Enter detailed description here; use Comments section if needed&gt;")),"X","")</f>
        <v/>
      </c>
      <c r="B14" s="458" t="s">
        <v>1242</v>
      </c>
      <c r="C14" s="1393" t="s">
        <v>87</v>
      </c>
      <c r="D14" s="1393"/>
      <c r="E14" s="1393"/>
      <c r="F14" s="1394"/>
      <c r="G14" s="1391">
        <v>1197</v>
      </c>
      <c r="H14" s="1392"/>
      <c r="J14" s="1391">
        <v>1197</v>
      </c>
      <c r="K14" s="1392"/>
      <c r="L14" s="733"/>
      <c r="M14" s="1391"/>
      <c r="N14" s="1392"/>
      <c r="P14" s="1391"/>
      <c r="Q14" s="1392"/>
      <c r="S14" s="1391"/>
      <c r="T14" s="1392"/>
      <c r="U14" s="561" t="str">
        <f>IF(AND(G14&gt;0,OR(C14="",C14="&lt;Enter detailed description here; use Comments section if needed&gt;")),"NO DESCRIPTION PROVIDED - please enter detailed description in Other box at left; use Comments section below if needed.","")</f>
        <v/>
      </c>
    </row>
    <row r="15" spans="1:21" s="458" customFormat="1" ht="12.4" customHeight="1">
      <c r="A15" s="562" t="str">
        <f>IF(AND(G15&gt;0,OR(C15="",C15="&lt;Enter detailed description here; use Comments section if needed&gt;")),"X","")</f>
        <v/>
      </c>
      <c r="B15" s="458" t="s">
        <v>1242</v>
      </c>
      <c r="C15" s="1393" t="s">
        <v>3786</v>
      </c>
      <c r="D15" s="1393"/>
      <c r="E15" s="1393"/>
      <c r="F15" s="1394"/>
      <c r="G15" s="1391"/>
      <c r="H15" s="1392"/>
      <c r="J15" s="1391"/>
      <c r="K15" s="1392"/>
      <c r="L15" s="733"/>
      <c r="M15" s="1391"/>
      <c r="N15" s="1392"/>
      <c r="P15" s="1391"/>
      <c r="Q15" s="1392"/>
      <c r="S15" s="1391"/>
      <c r="T15" s="1392"/>
      <c r="U15" s="561" t="str">
        <f>IF(AND(G15&gt;0,OR(C15="",C15="&lt;Enter detailed description here; use Comments section if needed&gt;")),"NO DESCRIPTION PROVIDED - please enter detailed description in Other box at left; use Comments section below if needed.","")</f>
        <v/>
      </c>
    </row>
    <row r="16" spans="1:21" s="458" customFormat="1" ht="12.4" customHeight="1" thickBot="1">
      <c r="A16" s="562" t="str">
        <f>IF(AND(G16&gt;0,OR(C16="",C16="&lt;Enter detailed description here; use Comments section if needed&gt;")),"X","")</f>
        <v/>
      </c>
      <c r="B16" s="458" t="s">
        <v>1242</v>
      </c>
      <c r="C16" s="1393" t="s">
        <v>3786</v>
      </c>
      <c r="D16" s="1393"/>
      <c r="E16" s="1393"/>
      <c r="F16" s="1394"/>
      <c r="G16" s="1391"/>
      <c r="H16" s="1392"/>
      <c r="J16" s="1395"/>
      <c r="K16" s="1396"/>
      <c r="L16" s="733"/>
      <c r="M16" s="1391"/>
      <c r="N16" s="1392"/>
      <c r="P16" s="1391"/>
      <c r="Q16" s="1392"/>
      <c r="S16" s="1395"/>
      <c r="T16" s="1396"/>
      <c r="U16" s="561" t="str">
        <f>IF(AND(G16&gt;0,OR(C16="",C16="&lt;Enter detailed description here; use Comments section if needed&gt;")),"NO DESCRIPTION PROVIDED - please enter detailed description in Other box at left; use Comments section below if needed.","")</f>
        <v/>
      </c>
    </row>
    <row r="17" spans="2:20" s="458" customFormat="1" ht="12.4" customHeight="1" thickTop="1">
      <c r="F17" s="523" t="s">
        <v>199</v>
      </c>
      <c r="G17" s="898">
        <f>SUM(G8:H16)</f>
        <v>44647</v>
      </c>
      <c r="H17" s="899"/>
      <c r="J17" s="898">
        <f>SUM(J8:K16)</f>
        <v>44647</v>
      </c>
      <c r="K17" s="922"/>
      <c r="L17" s="733"/>
      <c r="M17" s="898">
        <f>SUM(M8:N16)</f>
        <v>0</v>
      </c>
      <c r="N17" s="899"/>
      <c r="P17" s="898">
        <f>SUM(P8:Q16)</f>
        <v>0</v>
      </c>
      <c r="Q17" s="899"/>
      <c r="S17" s="898">
        <f>SUM(S8:T16)</f>
        <v>0</v>
      </c>
      <c r="T17" s="899"/>
    </row>
    <row r="18" spans="2:20" s="458" customFormat="1" ht="13.15" customHeight="1">
      <c r="B18" s="461" t="s">
        <v>3406</v>
      </c>
      <c r="J18" s="522"/>
      <c r="K18" s="522"/>
      <c r="M18" s="522"/>
      <c r="N18" s="522"/>
      <c r="O18" s="524" t="str">
        <f>B18</f>
        <v>ACQUISITION</v>
      </c>
      <c r="P18" s="522"/>
      <c r="Q18" s="522"/>
      <c r="S18" s="522"/>
      <c r="T18" s="522"/>
    </row>
    <row r="19" spans="2:20" s="458" customFormat="1" ht="12.4" customHeight="1">
      <c r="B19" s="458" t="s">
        <v>3407</v>
      </c>
      <c r="G19" s="1391">
        <v>400000</v>
      </c>
      <c r="H19" s="1392"/>
      <c r="J19" s="525"/>
      <c r="K19" s="522"/>
      <c r="L19" s="525"/>
      <c r="M19" s="525"/>
      <c r="N19" s="522"/>
      <c r="P19" s="525"/>
      <c r="Q19" s="522"/>
      <c r="S19" s="1391"/>
      <c r="T19" s="1392"/>
    </row>
    <row r="20" spans="2:20" s="458" customFormat="1" ht="12.4" customHeight="1">
      <c r="B20" s="458" t="s">
        <v>1760</v>
      </c>
      <c r="G20" s="1391"/>
      <c r="H20" s="1392"/>
      <c r="J20" s="525"/>
      <c r="K20" s="522"/>
      <c r="L20" s="525"/>
      <c r="M20" s="525"/>
      <c r="N20" s="522"/>
      <c r="P20" s="525"/>
      <c r="Q20" s="522"/>
      <c r="S20" s="1391"/>
      <c r="T20" s="1392"/>
    </row>
    <row r="21" spans="2:20" s="458" customFormat="1" ht="12.4" customHeight="1">
      <c r="B21" s="458" t="s">
        <v>550</v>
      </c>
      <c r="G21" s="1391"/>
      <c r="H21" s="1392"/>
      <c r="J21" s="525"/>
      <c r="K21" s="522"/>
      <c r="L21" s="525"/>
      <c r="M21" s="1391"/>
      <c r="N21" s="1392"/>
      <c r="P21" s="525"/>
      <c r="Q21" s="522"/>
      <c r="S21" s="1391"/>
      <c r="T21" s="1392"/>
    </row>
    <row r="22" spans="2:20" s="458" customFormat="1" ht="12.4" customHeight="1" thickBot="1">
      <c r="B22" s="458" t="s">
        <v>764</v>
      </c>
      <c r="G22" s="1397"/>
      <c r="H22" s="1398"/>
      <c r="J22" s="525"/>
      <c r="K22" s="522"/>
      <c r="L22" s="525"/>
      <c r="M22" s="1397"/>
      <c r="N22" s="1398"/>
      <c r="P22" s="525"/>
      <c r="Q22" s="522"/>
      <c r="S22" s="1391"/>
      <c r="T22" s="1392"/>
    </row>
    <row r="23" spans="2:20" s="458" customFormat="1" ht="12.4" customHeight="1" thickTop="1">
      <c r="F23" s="523" t="s">
        <v>199</v>
      </c>
      <c r="G23" s="898">
        <f>SUM(G19:H22)</f>
        <v>400000</v>
      </c>
      <c r="H23" s="899"/>
      <c r="J23" s="525"/>
      <c r="K23" s="522"/>
      <c r="L23" s="525"/>
      <c r="M23" s="898">
        <f>SUM(M21:N22)</f>
        <v>0</v>
      </c>
      <c r="N23" s="899"/>
      <c r="P23" s="525"/>
      <c r="Q23" s="522"/>
      <c r="S23" s="898">
        <f>SUM(S19:T22)</f>
        <v>0</v>
      </c>
      <c r="T23" s="899"/>
    </row>
    <row r="24" spans="2:20" s="458" customFormat="1" ht="13.15" customHeight="1">
      <c r="B24" s="461" t="s">
        <v>1761</v>
      </c>
      <c r="J24" s="525"/>
      <c r="K24" s="522"/>
      <c r="M24" s="525"/>
      <c r="N24" s="522"/>
      <c r="O24" s="524" t="str">
        <f>B24</f>
        <v>LAND IMPROVEMENTS</v>
      </c>
      <c r="P24" s="525"/>
      <c r="Q24" s="522"/>
      <c r="S24" s="525"/>
      <c r="T24" s="522"/>
    </row>
    <row r="25" spans="2:20" s="458" customFormat="1" ht="12.4" customHeight="1">
      <c r="B25" s="458" t="s">
        <v>1626</v>
      </c>
      <c r="G25" s="1391">
        <v>500000</v>
      </c>
      <c r="H25" s="1392"/>
      <c r="J25" s="1395">
        <v>500000</v>
      </c>
      <c r="K25" s="1396"/>
      <c r="L25" s="733"/>
      <c r="M25" s="1395"/>
      <c r="N25" s="1396"/>
      <c r="P25" s="1395"/>
      <c r="Q25" s="1396"/>
      <c r="S25" s="1391"/>
      <c r="T25" s="1392"/>
    </row>
    <row r="26" spans="2:20" s="458" customFormat="1" ht="12.4" customHeight="1" thickBot="1">
      <c r="B26" s="458" t="s">
        <v>1627</v>
      </c>
      <c r="G26" s="1391"/>
      <c r="H26" s="1392"/>
      <c r="J26" s="1395"/>
      <c r="K26" s="1396"/>
      <c r="L26" s="526"/>
      <c r="M26" s="916"/>
      <c r="N26" s="916"/>
      <c r="P26" s="916"/>
      <c r="Q26" s="916"/>
      <c r="S26" s="1391"/>
      <c r="T26" s="1392"/>
    </row>
    <row r="27" spans="2:20" s="458" customFormat="1" ht="12.4" customHeight="1" thickTop="1">
      <c r="F27" s="523" t="s">
        <v>199</v>
      </c>
      <c r="G27" s="898">
        <f>SUM(G25:H26)</f>
        <v>500000</v>
      </c>
      <c r="H27" s="899"/>
      <c r="J27" s="898">
        <f>SUM(J25:K26)</f>
        <v>500000</v>
      </c>
      <c r="K27" s="899"/>
      <c r="L27" s="525"/>
      <c r="M27" s="898">
        <f>M25</f>
        <v>0</v>
      </c>
      <c r="N27" s="899"/>
      <c r="P27" s="898">
        <f>P25</f>
        <v>0</v>
      </c>
      <c r="Q27" s="899"/>
      <c r="S27" s="898">
        <f>SUM(S25:T26)</f>
        <v>0</v>
      </c>
      <c r="T27" s="899"/>
    </row>
    <row r="28" spans="2:20" s="458" customFormat="1" ht="13.15" customHeight="1">
      <c r="B28" s="461" t="s">
        <v>1628</v>
      </c>
      <c r="J28" s="525"/>
      <c r="K28" s="522"/>
      <c r="M28" s="525"/>
      <c r="N28" s="522"/>
      <c r="O28" s="524" t="str">
        <f>B28</f>
        <v>STRUCTURES</v>
      </c>
      <c r="P28" s="525"/>
      <c r="Q28" s="522"/>
      <c r="S28" s="525"/>
      <c r="T28" s="522"/>
    </row>
    <row r="29" spans="2:20" s="458" customFormat="1" ht="12.4" customHeight="1">
      <c r="B29" s="458" t="s">
        <v>1629</v>
      </c>
      <c r="G29" s="1391">
        <v>4712500</v>
      </c>
      <c r="H29" s="1392"/>
      <c r="J29" s="1391">
        <v>4712500</v>
      </c>
      <c r="K29" s="1392"/>
      <c r="L29" s="733"/>
      <c r="M29" s="1391"/>
      <c r="N29" s="1392"/>
      <c r="P29" s="1391"/>
      <c r="Q29" s="1392"/>
      <c r="S29" s="1391"/>
      <c r="T29" s="1392"/>
    </row>
    <row r="30" spans="2:20" s="458" customFormat="1" ht="12.4" customHeight="1">
      <c r="B30" s="458" t="s">
        <v>1630</v>
      </c>
      <c r="G30" s="1391"/>
      <c r="H30" s="1392"/>
      <c r="J30" s="1391"/>
      <c r="K30" s="1392"/>
      <c r="L30" s="733"/>
      <c r="M30" s="1391"/>
      <c r="N30" s="1392"/>
      <c r="P30" s="1391"/>
      <c r="Q30" s="1392"/>
      <c r="S30" s="1391"/>
      <c r="T30" s="1392"/>
    </row>
    <row r="31" spans="2:20" ht="12.4" customHeight="1" thickBot="1">
      <c r="B31" s="458" t="s">
        <v>1631</v>
      </c>
      <c r="G31" s="1391">
        <v>200000</v>
      </c>
      <c r="H31" s="1392"/>
      <c r="I31" s="458"/>
      <c r="J31" s="1391">
        <v>200000</v>
      </c>
      <c r="K31" s="1392"/>
      <c r="L31" s="733"/>
      <c r="M31" s="1391"/>
      <c r="N31" s="1392"/>
      <c r="O31" s="458"/>
      <c r="P31" s="1391"/>
      <c r="Q31" s="1392"/>
      <c r="R31" s="458"/>
      <c r="S31" s="1391"/>
      <c r="T31" s="1392"/>
    </row>
    <row r="32" spans="2:20" s="458" customFormat="1" ht="12.4" customHeight="1" thickTop="1">
      <c r="C32" s="917"/>
      <c r="D32" s="917"/>
      <c r="E32" s="734"/>
      <c r="F32" s="523" t="s">
        <v>199</v>
      </c>
      <c r="G32" s="898">
        <f>SUM(G29:H31)</f>
        <v>4912500</v>
      </c>
      <c r="H32" s="899"/>
      <c r="J32" s="898">
        <f>SUM(J29:K31)</f>
        <v>4912500</v>
      </c>
      <c r="K32" s="899"/>
      <c r="L32" s="733"/>
      <c r="M32" s="898">
        <f>SUM(M29:N31)</f>
        <v>0</v>
      </c>
      <c r="N32" s="899"/>
      <c r="P32" s="898">
        <f>SUM(P29:Q31)</f>
        <v>0</v>
      </c>
      <c r="Q32" s="899"/>
      <c r="S32" s="898">
        <f>SUM(S29:T31)</f>
        <v>0</v>
      </c>
      <c r="T32" s="899"/>
    </row>
    <row r="33" spans="1:20" s="458" customFormat="1" ht="13.15" customHeight="1">
      <c r="B33" s="461" t="s">
        <v>3641</v>
      </c>
      <c r="E33" s="645">
        <f>E34+E35</f>
        <v>0.14000000000000001</v>
      </c>
      <c r="F33" s="727"/>
      <c r="G33" s="550"/>
      <c r="H33" s="482"/>
      <c r="I33" s="482"/>
      <c r="J33" s="525"/>
      <c r="K33" s="522"/>
      <c r="M33" s="525"/>
      <c r="N33" s="522"/>
      <c r="O33" s="524" t="str">
        <f>B33</f>
        <v>CONTRACTOR SERVICES</v>
      </c>
      <c r="P33" s="525"/>
      <c r="Q33" s="522"/>
      <c r="S33" s="525"/>
      <c r="T33" s="522"/>
    </row>
    <row r="34" spans="1:20" s="458" customFormat="1" ht="12.4" customHeight="1">
      <c r="B34" s="458" t="s">
        <v>3747</v>
      </c>
      <c r="E34" s="527">
        <f>'DCA Underwriting Assumptions'!$R$38</f>
        <v>0.06</v>
      </c>
      <c r="F34" s="620">
        <f>E34*($G$27+$G$32)</f>
        <v>324750</v>
      </c>
      <c r="G34" s="1391">
        <v>324000</v>
      </c>
      <c r="H34" s="1392"/>
      <c r="I34" s="482"/>
      <c r="J34" s="1391">
        <v>324000</v>
      </c>
      <c r="K34" s="1392"/>
      <c r="L34" s="733"/>
      <c r="M34" s="1391"/>
      <c r="N34" s="1392"/>
      <c r="P34" s="1391"/>
      <c r="Q34" s="1392"/>
      <c r="S34" s="1391"/>
      <c r="T34" s="1392"/>
    </row>
    <row r="35" spans="1:20" s="458" customFormat="1" ht="12.4" customHeight="1" thickBot="1">
      <c r="B35" s="458" t="s">
        <v>3184</v>
      </c>
      <c r="E35" s="619">
        <f>'DCA Underwriting Assumptions'!$R$39+'DCA Underwriting Assumptions'!$R$40</f>
        <v>0.08</v>
      </c>
      <c r="F35" s="620">
        <f>E35*($G$27+$G$32)</f>
        <v>433000</v>
      </c>
      <c r="G35" s="1391">
        <v>433000</v>
      </c>
      <c r="H35" s="1392"/>
      <c r="I35" s="482"/>
      <c r="J35" s="1391">
        <v>433000</v>
      </c>
      <c r="K35" s="1392"/>
      <c r="L35" s="733"/>
      <c r="M35" s="1391"/>
      <c r="N35" s="1392"/>
      <c r="P35" s="1391"/>
      <c r="Q35" s="1392"/>
      <c r="S35" s="1391"/>
      <c r="T35" s="1392"/>
    </row>
    <row r="36" spans="1:20" s="458" customFormat="1" ht="12.4" customHeight="1" thickTop="1">
      <c r="B36" s="458" t="s">
        <v>3185</v>
      </c>
      <c r="D36" s="530"/>
      <c r="E36" s="721"/>
      <c r="F36" s="621" t="s">
        <v>199</v>
      </c>
      <c r="G36" s="898">
        <f>SUM(G34:H35)</f>
        <v>757000</v>
      </c>
      <c r="H36" s="899"/>
      <c r="J36" s="898">
        <f>SUM(J34:K35)</f>
        <v>757000</v>
      </c>
      <c r="K36" s="899"/>
      <c r="L36" s="525"/>
      <c r="M36" s="898">
        <f>SUM(M34:N35)</f>
        <v>0</v>
      </c>
      <c r="N36" s="899"/>
      <c r="P36" s="898">
        <f>SUM(P34:Q35)</f>
        <v>0</v>
      </c>
      <c r="Q36" s="899"/>
      <c r="S36" s="898">
        <f>SUM(S34:T35)</f>
        <v>0</v>
      </c>
      <c r="T36" s="899"/>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4" customHeight="1">
      <c r="B38" s="531" t="s">
        <v>1766</v>
      </c>
      <c r="C38" s="532"/>
      <c r="D38" s="533">
        <f>B39/'Part VI-Revenues &amp; Expenses'!$M$63</f>
        <v>96398.4375</v>
      </c>
      <c r="E38" s="533"/>
      <c r="F38" s="534" t="s">
        <v>2141</v>
      </c>
    </row>
    <row r="39" spans="1:20" s="458" customFormat="1" ht="12.4" customHeight="1">
      <c r="B39" s="918">
        <f>G27+G32+G36</f>
        <v>6169500</v>
      </c>
      <c r="C39" s="919"/>
      <c r="D39" s="535">
        <f>B39/'Part VI-Revenues &amp; Expenses'!$M$98</f>
        <v>92.824687048627823</v>
      </c>
      <c r="E39" s="535"/>
      <c r="F39" s="536" t="s">
        <v>1337</v>
      </c>
      <c r="J39" s="522"/>
      <c r="K39" s="522"/>
      <c r="L39" s="537"/>
      <c r="M39" s="522"/>
      <c r="N39" s="733"/>
      <c r="P39" s="522"/>
      <c r="Q39" s="733"/>
      <c r="S39" s="522"/>
      <c r="T39" s="733"/>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15" customHeight="1">
      <c r="B41" s="461" t="s">
        <v>1764</v>
      </c>
      <c r="J41" s="525"/>
      <c r="K41" s="522"/>
      <c r="M41" s="525"/>
      <c r="N41" s="522"/>
      <c r="O41" s="524" t="str">
        <f>B41</f>
        <v>CONSTRUCTION CONTINGENCY</v>
      </c>
      <c r="P41" s="525"/>
      <c r="Q41" s="522"/>
      <c r="S41" s="525"/>
      <c r="T41" s="522"/>
    </row>
    <row r="42" spans="1:20" ht="12.4" customHeight="1">
      <c r="B42" s="458" t="s">
        <v>3234</v>
      </c>
      <c r="F42" s="646">
        <f>G42/$B$39</f>
        <v>5.6730691303995461E-2</v>
      </c>
      <c r="G42" s="1391">
        <v>350000</v>
      </c>
      <c r="H42" s="1392"/>
      <c r="I42" s="458"/>
      <c r="J42" s="1391">
        <v>350000</v>
      </c>
      <c r="K42" s="1392"/>
      <c r="L42" s="733"/>
      <c r="M42" s="1391"/>
      <c r="N42" s="1392"/>
      <c r="O42" s="458"/>
      <c r="P42" s="1391"/>
      <c r="Q42" s="1392"/>
      <c r="R42" s="458"/>
      <c r="S42" s="1391"/>
      <c r="T42" s="1392"/>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3"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1126</v>
      </c>
      <c r="B45" s="461" t="s">
        <v>1494</v>
      </c>
      <c r="H45" s="721"/>
      <c r="I45" s="721"/>
      <c r="J45" s="900" t="s">
        <v>397</v>
      </c>
      <c r="K45" s="901"/>
      <c r="L45" s="522"/>
      <c r="M45" s="910" t="s">
        <v>878</v>
      </c>
      <c r="N45" s="911"/>
      <c r="P45" s="900" t="s">
        <v>398</v>
      </c>
      <c r="Q45" s="901"/>
      <c r="S45" s="900" t="s">
        <v>307</v>
      </c>
      <c r="T45" s="901"/>
    </row>
    <row r="46" spans="1:20" s="458" customFormat="1" ht="21" customHeight="1" thickBot="1">
      <c r="G46" s="904" t="s">
        <v>94</v>
      </c>
      <c r="H46" s="905"/>
      <c r="J46" s="902"/>
      <c r="K46" s="903"/>
      <c r="L46" s="522"/>
      <c r="M46" s="912"/>
      <c r="N46" s="913"/>
      <c r="P46" s="902"/>
      <c r="Q46" s="903"/>
      <c r="S46" s="902"/>
      <c r="T46" s="903"/>
    </row>
    <row r="47" spans="1:20" s="458" customFormat="1" ht="13.15" customHeight="1">
      <c r="B47" s="461" t="s">
        <v>1115</v>
      </c>
      <c r="J47" s="525"/>
      <c r="K47" s="522"/>
      <c r="M47" s="525"/>
      <c r="N47" s="522"/>
      <c r="O47" s="524" t="str">
        <f>B47</f>
        <v>CONSTRUCTION PERIOD FINANCING</v>
      </c>
      <c r="P47" s="525"/>
      <c r="Q47" s="522"/>
      <c r="S47" s="525"/>
      <c r="T47" s="522"/>
    </row>
    <row r="48" spans="1:20" s="458" customFormat="1" ht="13.15" customHeight="1">
      <c r="B48" s="458" t="s">
        <v>3748</v>
      </c>
      <c r="G48" s="1391"/>
      <c r="H48" s="1392"/>
      <c r="J48" s="1391"/>
      <c r="K48" s="1392"/>
      <c r="L48" s="733"/>
      <c r="M48" s="1391"/>
      <c r="N48" s="1392"/>
      <c r="P48" s="1391"/>
      <c r="Q48" s="1392"/>
      <c r="S48" s="1391"/>
      <c r="T48" s="1392"/>
    </row>
    <row r="49" spans="1:21" s="458" customFormat="1" ht="13.15" customHeight="1">
      <c r="B49" s="458" t="s">
        <v>3589</v>
      </c>
      <c r="G49" s="1391"/>
      <c r="H49" s="1392"/>
      <c r="J49" s="1391"/>
      <c r="K49" s="1392"/>
      <c r="L49" s="733"/>
      <c r="M49" s="1391"/>
      <c r="N49" s="1392"/>
      <c r="P49" s="1391"/>
      <c r="Q49" s="1392"/>
      <c r="S49" s="1391"/>
      <c r="T49" s="1392"/>
    </row>
    <row r="50" spans="1:21" s="458" customFormat="1" ht="13.15" customHeight="1">
      <c r="B50" s="458" t="s">
        <v>3749</v>
      </c>
      <c r="G50" s="1391"/>
      <c r="H50" s="1392"/>
      <c r="J50" s="1391"/>
      <c r="K50" s="1392"/>
      <c r="L50" s="733"/>
      <c r="M50" s="1391"/>
      <c r="N50" s="1392"/>
      <c r="P50" s="1391"/>
      <c r="Q50" s="1392"/>
      <c r="S50" s="1391"/>
      <c r="T50" s="1392"/>
    </row>
    <row r="51" spans="1:21" s="458" customFormat="1" ht="13.15" customHeight="1">
      <c r="B51" s="458" t="s">
        <v>1116</v>
      </c>
      <c r="G51" s="1391">
        <v>25000</v>
      </c>
      <c r="H51" s="1392"/>
      <c r="J51" s="1391">
        <v>25000</v>
      </c>
      <c r="K51" s="1392"/>
      <c r="L51" s="733"/>
      <c r="M51" s="1391"/>
      <c r="N51" s="1392"/>
      <c r="P51" s="1391"/>
      <c r="Q51" s="1392"/>
      <c r="S51" s="1391"/>
      <c r="T51" s="1392"/>
    </row>
    <row r="52" spans="1:21" s="458" customFormat="1" ht="13.15" customHeight="1">
      <c r="B52" s="458" t="s">
        <v>3590</v>
      </c>
      <c r="G52" s="1391">
        <v>35000</v>
      </c>
      <c r="H52" s="1392"/>
      <c r="J52" s="1391">
        <v>35000</v>
      </c>
      <c r="K52" s="1392"/>
      <c r="L52" s="733"/>
      <c r="M52" s="1391"/>
      <c r="N52" s="1392"/>
      <c r="P52" s="1391"/>
      <c r="Q52" s="1392"/>
      <c r="S52" s="1391"/>
      <c r="T52" s="1392"/>
    </row>
    <row r="53" spans="1:21" s="458" customFormat="1" ht="13.15" customHeight="1">
      <c r="B53" s="458" t="s">
        <v>508</v>
      </c>
      <c r="G53" s="1391"/>
      <c r="H53" s="1392"/>
      <c r="J53" s="1391"/>
      <c r="K53" s="1392"/>
      <c r="L53" s="733"/>
      <c r="M53" s="1391"/>
      <c r="N53" s="1392"/>
      <c r="P53" s="1391"/>
      <c r="Q53" s="1392"/>
      <c r="S53" s="1391"/>
      <c r="T53" s="1392"/>
    </row>
    <row r="54" spans="1:21" s="458" customFormat="1" ht="12.4" customHeight="1">
      <c r="B54" s="529" t="s">
        <v>2013</v>
      </c>
      <c r="D54" s="527"/>
      <c r="E54" s="527"/>
      <c r="F54" s="528"/>
      <c r="G54" s="1391">
        <v>60000</v>
      </c>
      <c r="H54" s="1392"/>
      <c r="I54" s="482"/>
      <c r="J54" s="1391">
        <v>60000</v>
      </c>
      <c r="K54" s="1392"/>
      <c r="L54" s="733"/>
      <c r="M54" s="1391"/>
      <c r="N54" s="1392"/>
      <c r="P54" s="1391"/>
      <c r="Q54" s="1392"/>
      <c r="S54" s="1391"/>
      <c r="T54" s="1392"/>
    </row>
    <row r="55" spans="1:21" s="458" customFormat="1" ht="13.15" customHeight="1" thickBot="1">
      <c r="A55" s="562" t="str">
        <f>IF(AND(G55&gt;0,OR(C55="",C55="&lt;Enter detailed description here; use Comments section if needed&gt;")),"X","")</f>
        <v/>
      </c>
      <c r="B55" s="458" t="s">
        <v>1242</v>
      </c>
      <c r="C55" s="1393" t="s">
        <v>3786</v>
      </c>
      <c r="D55" s="1393"/>
      <c r="E55" s="1393"/>
      <c r="F55" s="1394"/>
      <c r="G55" s="1397"/>
      <c r="H55" s="1398"/>
      <c r="J55" s="1397"/>
      <c r="K55" s="1398"/>
      <c r="L55" s="733"/>
      <c r="M55" s="1397"/>
      <c r="N55" s="1398"/>
      <c r="P55" s="1397"/>
      <c r="Q55" s="1398"/>
      <c r="S55" s="1391"/>
      <c r="T55" s="1392"/>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199</v>
      </c>
      <c r="G56" s="898">
        <f>SUM(G48:H55)</f>
        <v>120000</v>
      </c>
      <c r="H56" s="899"/>
      <c r="J56" s="898">
        <f>SUM(J48:K55)</f>
        <v>120000</v>
      </c>
      <c r="K56" s="899"/>
      <c r="L56" s="525"/>
      <c r="M56" s="898">
        <f>SUM(M48:N55)</f>
        <v>0</v>
      </c>
      <c r="N56" s="899"/>
      <c r="P56" s="898">
        <f>SUM(P48:Q55)</f>
        <v>0</v>
      </c>
      <c r="Q56" s="899"/>
      <c r="S56" s="898">
        <f>SUM(S48:T55)</f>
        <v>0</v>
      </c>
      <c r="T56" s="899"/>
    </row>
    <row r="57" spans="1:21" s="458" customFormat="1" ht="13.15" customHeight="1">
      <c r="B57" s="461" t="s">
        <v>747</v>
      </c>
      <c r="G57" s="522"/>
      <c r="H57" s="522"/>
      <c r="J57" s="522"/>
      <c r="K57" s="522"/>
      <c r="M57" s="522"/>
      <c r="N57" s="522"/>
      <c r="O57" s="524" t="str">
        <f>B57</f>
        <v>PROFESSIONAL SERVICES</v>
      </c>
      <c r="P57" s="522"/>
      <c r="Q57" s="522"/>
      <c r="S57" s="522"/>
      <c r="T57" s="522"/>
    </row>
    <row r="58" spans="1:21" s="458" customFormat="1" ht="13.15" customHeight="1">
      <c r="B58" s="458" t="s">
        <v>748</v>
      </c>
      <c r="G58" s="1391">
        <v>134400</v>
      </c>
      <c r="H58" s="1392"/>
      <c r="J58" s="1391">
        <v>134400</v>
      </c>
      <c r="K58" s="1392"/>
      <c r="L58" s="733"/>
      <c r="M58" s="1391"/>
      <c r="N58" s="1392"/>
      <c r="P58" s="1391"/>
      <c r="Q58" s="1392"/>
      <c r="S58" s="1391"/>
      <c r="T58" s="1392"/>
    </row>
    <row r="59" spans="1:21" s="458" customFormat="1" ht="13.15" customHeight="1">
      <c r="B59" s="458" t="s">
        <v>615</v>
      </c>
      <c r="G59" s="1391">
        <v>44800</v>
      </c>
      <c r="H59" s="1392"/>
      <c r="J59" s="1391">
        <v>44800</v>
      </c>
      <c r="K59" s="1392"/>
      <c r="L59" s="733"/>
      <c r="M59" s="1391"/>
      <c r="N59" s="1392"/>
      <c r="P59" s="1391"/>
      <c r="Q59" s="1392"/>
      <c r="S59" s="1391"/>
      <c r="T59" s="1392"/>
    </row>
    <row r="60" spans="1:21" s="458" customFormat="1" ht="13.15" customHeight="1">
      <c r="B60" s="458" t="s">
        <v>1767</v>
      </c>
      <c r="G60" s="1391"/>
      <c r="H60" s="1392"/>
      <c r="J60" s="1391"/>
      <c r="K60" s="1392"/>
      <c r="L60" s="733"/>
      <c r="M60" s="1391"/>
      <c r="N60" s="1392"/>
      <c r="P60" s="1391"/>
      <c r="Q60" s="1392"/>
      <c r="S60" s="1391"/>
      <c r="T60" s="1392"/>
    </row>
    <row r="61" spans="1:21" s="458" customFormat="1" ht="13.15" customHeight="1">
      <c r="B61" s="458" t="s">
        <v>1959</v>
      </c>
      <c r="G61" s="1391">
        <v>25000</v>
      </c>
      <c r="H61" s="1392"/>
      <c r="J61" s="1391">
        <v>25000</v>
      </c>
      <c r="K61" s="1392"/>
      <c r="L61" s="733"/>
      <c r="M61" s="1391"/>
      <c r="N61" s="1392"/>
      <c r="P61" s="1391"/>
      <c r="Q61" s="1392"/>
      <c r="S61" s="1391"/>
      <c r="T61" s="1392"/>
    </row>
    <row r="62" spans="1:21" s="458" customFormat="1" ht="13.15" customHeight="1">
      <c r="B62" s="458" t="s">
        <v>1960</v>
      </c>
      <c r="G62" s="1391">
        <v>7000</v>
      </c>
      <c r="H62" s="1392"/>
      <c r="J62" s="1391">
        <v>7000</v>
      </c>
      <c r="K62" s="1392"/>
      <c r="L62" s="733"/>
      <c r="M62" s="1391"/>
      <c r="N62" s="1392"/>
      <c r="P62" s="1391"/>
      <c r="Q62" s="1392"/>
      <c r="S62" s="1391"/>
      <c r="T62" s="1392"/>
    </row>
    <row r="63" spans="1:21" s="458" customFormat="1" ht="13.15" customHeight="1">
      <c r="B63" s="458" t="s">
        <v>1961</v>
      </c>
      <c r="G63" s="1391">
        <v>10000</v>
      </c>
      <c r="H63" s="1392"/>
      <c r="J63" s="1391">
        <v>10000</v>
      </c>
      <c r="K63" s="1392"/>
      <c r="L63" s="733"/>
      <c r="M63" s="1391"/>
      <c r="N63" s="1392"/>
      <c r="P63" s="1391"/>
      <c r="Q63" s="1392"/>
      <c r="S63" s="1391"/>
      <c r="T63" s="1392"/>
    </row>
    <row r="64" spans="1:21" s="458" customFormat="1" ht="13.15" customHeight="1">
      <c r="B64" s="458" t="s">
        <v>616</v>
      </c>
      <c r="G64" s="1391">
        <v>0</v>
      </c>
      <c r="H64" s="1392"/>
      <c r="J64" s="1391">
        <v>0</v>
      </c>
      <c r="K64" s="1392"/>
      <c r="L64" s="733"/>
      <c r="M64" s="1391"/>
      <c r="N64" s="1392"/>
      <c r="P64" s="1391"/>
      <c r="Q64" s="1392"/>
      <c r="S64" s="1391"/>
      <c r="T64" s="1392"/>
    </row>
    <row r="65" spans="1:21" s="458" customFormat="1" ht="13.15" customHeight="1">
      <c r="B65" s="458" t="s">
        <v>753</v>
      </c>
      <c r="G65" s="1391">
        <v>105000</v>
      </c>
      <c r="H65" s="1392"/>
      <c r="J65" s="1391">
        <v>105000</v>
      </c>
      <c r="K65" s="1392"/>
      <c r="L65" s="733"/>
      <c r="M65" s="1391"/>
      <c r="N65" s="1392"/>
      <c r="P65" s="1391"/>
      <c r="Q65" s="1392"/>
      <c r="S65" s="1391"/>
      <c r="T65" s="1392"/>
    </row>
    <row r="66" spans="1:21" s="458" customFormat="1" ht="13.15" customHeight="1">
      <c r="B66" s="458" t="s">
        <v>3195</v>
      </c>
      <c r="G66" s="1391">
        <v>25000</v>
      </c>
      <c r="H66" s="1392"/>
      <c r="J66" s="1391">
        <v>25000</v>
      </c>
      <c r="K66" s="1392"/>
      <c r="L66" s="733"/>
      <c r="M66" s="1391"/>
      <c r="N66" s="1392"/>
      <c r="P66" s="1391"/>
      <c r="Q66" s="1392"/>
      <c r="S66" s="1391"/>
      <c r="T66" s="1392"/>
    </row>
    <row r="67" spans="1:21" s="458" customFormat="1" ht="13.15" customHeight="1" thickBot="1">
      <c r="A67" s="562" t="str">
        <f>IF(AND(G67&gt;0,OR(C67="",C67="&lt;Enter detailed description here; use Comments section if needed&gt;")),"X","")</f>
        <v/>
      </c>
      <c r="B67" s="458" t="s">
        <v>1242</v>
      </c>
      <c r="C67" s="1393" t="s">
        <v>3786</v>
      </c>
      <c r="D67" s="1393"/>
      <c r="E67" s="1393"/>
      <c r="F67" s="1394"/>
      <c r="G67" s="1391"/>
      <c r="H67" s="1392"/>
      <c r="J67" s="1391"/>
      <c r="K67" s="1392"/>
      <c r="L67" s="733"/>
      <c r="M67" s="1391"/>
      <c r="N67" s="1392"/>
      <c r="P67" s="1391"/>
      <c r="Q67" s="1392"/>
      <c r="S67" s="1391"/>
      <c r="T67" s="1392"/>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199</v>
      </c>
      <c r="G68" s="898">
        <f>SUM(G58:H67)</f>
        <v>351200</v>
      </c>
      <c r="H68" s="899"/>
      <c r="J68" s="898">
        <f>SUM(J58:K67)</f>
        <v>351200</v>
      </c>
      <c r="K68" s="899"/>
      <c r="L68" s="525"/>
      <c r="M68" s="898">
        <f>SUM(M58:N67)</f>
        <v>0</v>
      </c>
      <c r="N68" s="899"/>
      <c r="P68" s="898">
        <f>SUM(P58:Q67)</f>
        <v>0</v>
      </c>
      <c r="Q68" s="899"/>
      <c r="S68" s="898">
        <f>SUM(S58:T67)</f>
        <v>0</v>
      </c>
      <c r="T68" s="899"/>
    </row>
    <row r="69" spans="1:21" ht="13.15" customHeight="1">
      <c r="A69" s="458"/>
      <c r="B69" s="461" t="s">
        <v>1848</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1849</v>
      </c>
      <c r="G70" s="1391">
        <v>13000</v>
      </c>
      <c r="H70" s="1392"/>
      <c r="J70" s="1391">
        <v>13000</v>
      </c>
      <c r="K70" s="1392"/>
      <c r="L70" s="733"/>
      <c r="M70" s="1391"/>
      <c r="N70" s="1392"/>
      <c r="P70" s="1391"/>
      <c r="Q70" s="1392"/>
      <c r="S70" s="1391"/>
      <c r="T70" s="1392"/>
    </row>
    <row r="71" spans="1:21" s="458" customFormat="1" ht="13.15" customHeight="1">
      <c r="B71" s="458" t="s">
        <v>1850</v>
      </c>
      <c r="G71" s="1391">
        <v>2000</v>
      </c>
      <c r="H71" s="1392"/>
      <c r="J71" s="1391">
        <v>2000</v>
      </c>
      <c r="K71" s="1392"/>
      <c r="L71" s="733"/>
      <c r="M71" s="1391"/>
      <c r="N71" s="1392"/>
      <c r="P71" s="1391"/>
      <c r="Q71" s="1392"/>
      <c r="S71" s="1391"/>
      <c r="T71" s="1392"/>
    </row>
    <row r="72" spans="1:21" s="458" customFormat="1" ht="13.15" customHeight="1">
      <c r="B72" s="458" t="s">
        <v>1851</v>
      </c>
      <c r="D72" s="539" t="s">
        <v>2142</v>
      </c>
      <c r="E72" s="1399" t="s">
        <v>139</v>
      </c>
      <c r="G72" s="1391">
        <v>65000</v>
      </c>
      <c r="H72" s="1392"/>
      <c r="I72" s="482"/>
      <c r="J72" s="1391">
        <v>65000</v>
      </c>
      <c r="K72" s="1392"/>
      <c r="L72" s="733"/>
      <c r="M72" s="1391"/>
      <c r="N72" s="1392"/>
      <c r="P72" s="1391"/>
      <c r="Q72" s="1392"/>
      <c r="S72" s="1391"/>
      <c r="T72" s="1392"/>
    </row>
    <row r="73" spans="1:21" s="458" customFormat="1" ht="13.15" customHeight="1" thickBot="1">
      <c r="B73" s="458" t="s">
        <v>1956</v>
      </c>
      <c r="D73" s="539" t="s">
        <v>2142</v>
      </c>
      <c r="E73" s="1399" t="s">
        <v>139</v>
      </c>
      <c r="G73" s="1391">
        <v>33150</v>
      </c>
      <c r="H73" s="1392"/>
      <c r="I73" s="482"/>
      <c r="J73" s="1391">
        <v>33150</v>
      </c>
      <c r="K73" s="1392"/>
      <c r="L73" s="733"/>
      <c r="M73" s="1391"/>
      <c r="N73" s="1392"/>
      <c r="P73" s="1391"/>
      <c r="Q73" s="1392"/>
      <c r="S73" s="1391"/>
      <c r="T73" s="1392"/>
    </row>
    <row r="74" spans="1:21" s="458" customFormat="1" ht="13.15" customHeight="1" thickTop="1">
      <c r="F74" s="523" t="s">
        <v>199</v>
      </c>
      <c r="G74" s="898">
        <f>SUM(G70:H73)</f>
        <v>113150</v>
      </c>
      <c r="H74" s="899"/>
      <c r="J74" s="898">
        <f>SUM(J70:K73)</f>
        <v>113150</v>
      </c>
      <c r="K74" s="899"/>
      <c r="L74" s="525"/>
      <c r="M74" s="898">
        <f>SUM(M70:N73)</f>
        <v>0</v>
      </c>
      <c r="N74" s="899"/>
      <c r="P74" s="898">
        <f>SUM(P70:Q73)</f>
        <v>0</v>
      </c>
      <c r="Q74" s="899"/>
      <c r="S74" s="898">
        <f>SUM(S70:T73)</f>
        <v>0</v>
      </c>
      <c r="T74" s="899"/>
    </row>
    <row r="75" spans="1:21" s="458" customFormat="1" ht="13.15" customHeight="1">
      <c r="B75" s="461" t="s">
        <v>1238</v>
      </c>
      <c r="J75" s="525"/>
      <c r="K75" s="525"/>
      <c r="M75" s="525"/>
      <c r="N75" s="525"/>
      <c r="O75" s="524" t="str">
        <f>B75</f>
        <v>PERMANENT FINANCING FEES</v>
      </c>
      <c r="P75" s="525"/>
      <c r="Q75" s="525"/>
      <c r="S75" s="525"/>
      <c r="T75" s="525"/>
    </row>
    <row r="76" spans="1:21" s="458" customFormat="1" ht="13.15" customHeight="1">
      <c r="B76" s="458" t="s">
        <v>1957</v>
      </c>
      <c r="G76" s="1391"/>
      <c r="H76" s="1392"/>
      <c r="J76" s="897"/>
      <c r="K76" s="897"/>
      <c r="L76" s="733"/>
      <c r="M76" s="897"/>
      <c r="N76" s="897"/>
      <c r="P76" s="897"/>
      <c r="Q76" s="897"/>
      <c r="S76" s="1391"/>
      <c r="T76" s="1392"/>
    </row>
    <row r="77" spans="1:21" s="458" customFormat="1" ht="13.15" customHeight="1">
      <c r="B77" s="458" t="s">
        <v>1958</v>
      </c>
      <c r="G77" s="1391"/>
      <c r="H77" s="1392"/>
      <c r="J77" s="906"/>
      <c r="K77" s="906"/>
      <c r="L77" s="733"/>
      <c r="M77" s="906"/>
      <c r="N77" s="906"/>
      <c r="P77" s="906"/>
      <c r="Q77" s="906"/>
      <c r="S77" s="1391"/>
      <c r="T77" s="1392"/>
    </row>
    <row r="78" spans="1:21" s="458" customFormat="1" ht="13.15" customHeight="1">
      <c r="B78" s="458" t="s">
        <v>2217</v>
      </c>
      <c r="G78" s="1391">
        <v>12500</v>
      </c>
      <c r="H78" s="1392"/>
      <c r="J78" s="1391">
        <v>12500</v>
      </c>
      <c r="K78" s="1392"/>
      <c r="L78" s="733"/>
      <c r="M78" s="1391"/>
      <c r="N78" s="1392"/>
      <c r="P78" s="1391"/>
      <c r="Q78" s="1392"/>
      <c r="S78" s="1391"/>
      <c r="T78" s="1392"/>
    </row>
    <row r="79" spans="1:21" s="458" customFormat="1" ht="13.15" customHeight="1">
      <c r="B79" s="458" t="s">
        <v>2218</v>
      </c>
      <c r="G79" s="1391">
        <v>12500</v>
      </c>
      <c r="H79" s="1392"/>
      <c r="J79" s="1391">
        <v>12500</v>
      </c>
      <c r="K79" s="1392"/>
      <c r="L79" s="733"/>
      <c r="M79" s="1391"/>
      <c r="N79" s="1392"/>
      <c r="P79" s="1391"/>
      <c r="Q79" s="1392"/>
      <c r="S79" s="1391"/>
      <c r="T79" s="1392"/>
    </row>
    <row r="80" spans="1:21" s="458" customFormat="1" ht="13.15" customHeight="1">
      <c r="B80" s="458" t="s">
        <v>2219</v>
      </c>
      <c r="G80" s="1391"/>
      <c r="H80" s="1392"/>
      <c r="J80" s="1391"/>
      <c r="K80" s="1392"/>
      <c r="L80" s="733"/>
      <c r="M80" s="1391"/>
      <c r="N80" s="1392"/>
      <c r="P80" s="1391"/>
      <c r="Q80" s="1392"/>
      <c r="S80" s="1391"/>
      <c r="T80" s="1392"/>
    </row>
    <row r="81" spans="1:21" s="458" customFormat="1" ht="13.15" customHeight="1">
      <c r="B81" s="458" t="s">
        <v>3712</v>
      </c>
      <c r="G81" s="1391"/>
      <c r="H81" s="1392"/>
      <c r="J81" s="1391"/>
      <c r="K81" s="1392"/>
      <c r="L81" s="733"/>
      <c r="M81" s="1391"/>
      <c r="N81" s="1392"/>
      <c r="P81" s="1391"/>
      <c r="Q81" s="1392"/>
      <c r="S81" s="1391"/>
      <c r="T81" s="1392"/>
    </row>
    <row r="82" spans="1:21" s="458" customFormat="1" ht="13.15" customHeight="1" thickBot="1">
      <c r="A82" s="562" t="str">
        <f>IF(AND(G82&gt;0,OR(C82="",C82="&lt;Enter detailed description here; use Comments section if needed&gt;")),"X","")</f>
        <v/>
      </c>
      <c r="B82" s="458" t="s">
        <v>1242</v>
      </c>
      <c r="C82" s="1393" t="s">
        <v>3786</v>
      </c>
      <c r="D82" s="1393"/>
      <c r="E82" s="1393"/>
      <c r="F82" s="1394"/>
      <c r="G82" s="1391"/>
      <c r="H82" s="1392"/>
      <c r="J82" s="1391"/>
      <c r="K82" s="1392"/>
      <c r="L82" s="733"/>
      <c r="M82" s="1391"/>
      <c r="N82" s="1392"/>
      <c r="P82" s="1391"/>
      <c r="Q82" s="1392"/>
      <c r="S82" s="1391"/>
      <c r="T82" s="1392"/>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199</v>
      </c>
      <c r="G83" s="898">
        <f>SUM(G76:H82)</f>
        <v>25000</v>
      </c>
      <c r="H83" s="899"/>
      <c r="J83" s="898">
        <f>SUM(J78:K82)</f>
        <v>25000</v>
      </c>
      <c r="K83" s="899"/>
      <c r="L83" s="525"/>
      <c r="M83" s="898">
        <f>SUM(M78:N82)</f>
        <v>0</v>
      </c>
      <c r="N83" s="899"/>
      <c r="P83" s="898">
        <f>SUM(P78:Q82)</f>
        <v>0</v>
      </c>
      <c r="Q83" s="899"/>
      <c r="S83" s="898">
        <f>SUM(S76:T82)</f>
        <v>0</v>
      </c>
      <c r="T83" s="899"/>
    </row>
    <row r="84" spans="1:21" s="458" customFormat="1" ht="3.4"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1126</v>
      </c>
      <c r="B86" s="461" t="s">
        <v>1494</v>
      </c>
      <c r="H86" s="721"/>
      <c r="I86" s="721"/>
      <c r="J86" s="900" t="s">
        <v>397</v>
      </c>
      <c r="K86" s="901"/>
      <c r="L86" s="522"/>
      <c r="M86" s="910" t="s">
        <v>878</v>
      </c>
      <c r="N86" s="911"/>
      <c r="P86" s="900" t="s">
        <v>398</v>
      </c>
      <c r="Q86" s="901"/>
      <c r="S86" s="900" t="s">
        <v>307</v>
      </c>
      <c r="T86" s="901"/>
    </row>
    <row r="87" spans="1:21" s="458" customFormat="1" ht="18" customHeight="1" thickBot="1">
      <c r="G87" s="904" t="s">
        <v>94</v>
      </c>
      <c r="H87" s="905"/>
      <c r="J87" s="902"/>
      <c r="K87" s="903"/>
      <c r="L87" s="522"/>
      <c r="M87" s="912"/>
      <c r="N87" s="913"/>
      <c r="P87" s="902"/>
      <c r="Q87" s="903"/>
      <c r="S87" s="902"/>
      <c r="T87" s="903"/>
    </row>
    <row r="88" spans="1:21" s="458" customFormat="1" ht="13.15" customHeight="1">
      <c r="B88" s="461" t="s">
        <v>1117</v>
      </c>
      <c r="J88" s="525"/>
      <c r="K88" s="525"/>
      <c r="M88" s="525"/>
      <c r="N88" s="525"/>
      <c r="O88" s="524" t="str">
        <f>B88</f>
        <v>DCA-RELATED COSTS</v>
      </c>
      <c r="P88" s="525"/>
      <c r="Q88" s="525"/>
      <c r="S88" s="525"/>
      <c r="T88" s="525"/>
    </row>
    <row r="89" spans="1:21" s="458" customFormat="1" ht="12.4" customHeight="1">
      <c r="B89" s="458" t="s">
        <v>2434</v>
      </c>
      <c r="G89" s="1391">
        <v>1000</v>
      </c>
      <c r="H89" s="1392"/>
      <c r="J89" s="525"/>
      <c r="K89" s="525"/>
      <c r="L89" s="733"/>
      <c r="M89" s="525"/>
      <c r="N89" s="525"/>
      <c r="P89" s="525"/>
      <c r="Q89" s="525"/>
      <c r="S89" s="1391"/>
      <c r="T89" s="1392"/>
    </row>
    <row r="90" spans="1:21" s="458" customFormat="1" ht="12.4" customHeight="1">
      <c r="B90" s="458" t="s">
        <v>2118</v>
      </c>
      <c r="G90" s="1391">
        <v>4000</v>
      </c>
      <c r="H90" s="1392"/>
      <c r="J90" s="525"/>
      <c r="K90" s="525"/>
      <c r="L90" s="540"/>
      <c r="M90" s="525"/>
      <c r="N90" s="525"/>
      <c r="P90" s="525"/>
      <c r="Q90" s="525"/>
      <c r="S90" s="1391"/>
      <c r="T90" s="1392"/>
    </row>
    <row r="91" spans="1:21" s="458" customFormat="1" ht="12.4" customHeight="1">
      <c r="B91" s="458" t="s">
        <v>2749</v>
      </c>
      <c r="G91" s="1391"/>
      <c r="H91" s="1392"/>
      <c r="J91" s="525"/>
      <c r="K91" s="525"/>
      <c r="L91" s="540"/>
      <c r="M91" s="525"/>
      <c r="N91" s="525"/>
      <c r="O91" s="721"/>
      <c r="P91" s="525"/>
      <c r="Q91" s="525"/>
      <c r="S91" s="1391"/>
      <c r="T91" s="1392"/>
    </row>
    <row r="92" spans="1:21" s="458" customFormat="1" ht="12.4" customHeight="1">
      <c r="B92" s="458" t="s">
        <v>858</v>
      </c>
      <c r="E92" s="920">
        <f>'DCA Underwriting Assumptions'!$Q$41*$J$165</f>
        <v>52668.630000000005</v>
      </c>
      <c r="F92" s="921"/>
      <c r="G92" s="1391">
        <v>52669</v>
      </c>
      <c r="H92" s="1392"/>
      <c r="J92" s="525"/>
      <c r="K92" s="525"/>
      <c r="L92" s="733"/>
      <c r="M92" s="525"/>
      <c r="N92" s="525"/>
      <c r="O92" s="721"/>
      <c r="P92" s="525"/>
      <c r="Q92" s="525"/>
      <c r="S92" s="1391"/>
      <c r="T92" s="1392"/>
    </row>
    <row r="93" spans="1:21" s="458" customFormat="1" ht="12.4" customHeight="1">
      <c r="B93" s="458" t="s">
        <v>1523</v>
      </c>
      <c r="E93" s="920">
        <f>'Part VI-Revenues &amp; Expenses'!$M$63*'DCA Underwriting Assumptions'!$Q$44</f>
        <v>44800</v>
      </c>
      <c r="F93" s="921"/>
      <c r="G93" s="1391">
        <v>44800</v>
      </c>
      <c r="H93" s="1392"/>
      <c r="J93" s="418"/>
      <c r="K93" s="418"/>
      <c r="L93" s="418"/>
      <c r="M93" s="418"/>
      <c r="N93" s="418"/>
      <c r="O93" s="418"/>
      <c r="P93" s="418"/>
      <c r="Q93" s="418"/>
      <c r="S93" s="1391"/>
      <c r="T93" s="1392"/>
    </row>
    <row r="94" spans="1:21" s="458" customFormat="1" ht="12.4" customHeight="1">
      <c r="B94" s="458" t="s">
        <v>759</v>
      </c>
      <c r="G94" s="1391"/>
      <c r="H94" s="1392"/>
      <c r="J94" s="418"/>
      <c r="K94" s="418"/>
      <c r="L94" s="418"/>
      <c r="M94" s="418"/>
      <c r="N94" s="418"/>
      <c r="O94" s="418"/>
      <c r="P94" s="418"/>
      <c r="Q94" s="418"/>
      <c r="S94" s="1391"/>
      <c r="T94" s="1392"/>
    </row>
    <row r="95" spans="1:21" s="458" customFormat="1" ht="12.4" customHeight="1">
      <c r="B95" s="458" t="s">
        <v>3504</v>
      </c>
      <c r="G95" s="1391"/>
      <c r="H95" s="1392"/>
      <c r="J95" s="418"/>
      <c r="K95" s="418"/>
      <c r="L95" s="418"/>
      <c r="M95" s="418"/>
      <c r="N95" s="418"/>
      <c r="O95" s="418"/>
      <c r="P95" s="418"/>
      <c r="Q95" s="418"/>
      <c r="S95" s="1391"/>
      <c r="T95" s="1392"/>
    </row>
    <row r="96" spans="1:21" s="458" customFormat="1" ht="12.4" customHeight="1">
      <c r="A96" s="562" t="str">
        <f>IF(AND(G96&gt;0,OR(C96="",C96="&lt;Enter detailed description here; use Comments section if needed&gt;")),"X","")</f>
        <v/>
      </c>
      <c r="B96" s="458" t="s">
        <v>1242</v>
      </c>
      <c r="C96" s="1393" t="s">
        <v>3786</v>
      </c>
      <c r="D96" s="1393"/>
      <c r="E96" s="1393"/>
      <c r="F96" s="1394"/>
      <c r="G96" s="1391"/>
      <c r="H96" s="1392"/>
      <c r="J96" s="418"/>
      <c r="K96" s="418"/>
      <c r="L96" s="418"/>
      <c r="M96" s="418"/>
      <c r="N96" s="418"/>
      <c r="O96" s="418"/>
      <c r="P96" s="418"/>
      <c r="Q96" s="418"/>
      <c r="S96" s="1391"/>
      <c r="T96" s="1392"/>
      <c r="U96" s="561" t="str">
        <f>IF(AND(G96&gt;0,OR(C96="",C96="&lt;Enter detailed description here; use Comments section if needed&gt;")),"NO DESCRIPTION PROVIDED - please enter detailed description in Other box at left; use Comments section below if needed.","")</f>
        <v/>
      </c>
    </row>
    <row r="97" spans="1:21" s="458" customFormat="1" ht="12.4" customHeight="1" thickBot="1">
      <c r="A97" s="562" t="str">
        <f>IF(AND(G97&gt;0,OR(C97="",C97="&lt;Enter detailed description here; use Comments section if needed&gt;")),"X","")</f>
        <v/>
      </c>
      <c r="B97" s="458" t="s">
        <v>1242</v>
      </c>
      <c r="C97" s="1393" t="s">
        <v>3786</v>
      </c>
      <c r="D97" s="1393"/>
      <c r="E97" s="1393"/>
      <c r="F97" s="1394"/>
      <c r="G97" s="1391"/>
      <c r="H97" s="1392"/>
      <c r="J97" s="418"/>
      <c r="K97" s="418"/>
      <c r="L97" s="418"/>
      <c r="M97" s="418"/>
      <c r="N97" s="418"/>
      <c r="O97" s="418"/>
      <c r="P97" s="418"/>
      <c r="Q97" s="418"/>
      <c r="S97" s="1391"/>
      <c r="T97" s="1392"/>
      <c r="U97" s="561" t="str">
        <f>IF(AND(G97&gt;0,OR(C97="",C97="&lt;Enter detailed description here; use Comments section if needed&gt;")),"NO DESCRIPTION PROVIDED - please enter detailed description in Other box at left; use Comments section below if needed.","")</f>
        <v/>
      </c>
    </row>
    <row r="98" spans="1:21" s="458" customFormat="1" ht="12.4" customHeight="1" thickTop="1">
      <c r="F98" s="523" t="s">
        <v>199</v>
      </c>
      <c r="G98" s="898">
        <f>SUM(G89:H97)</f>
        <v>102469</v>
      </c>
      <c r="H98" s="899"/>
      <c r="J98" s="525"/>
      <c r="K98" s="525"/>
      <c r="L98" s="733"/>
      <c r="M98" s="525"/>
      <c r="N98" s="525"/>
      <c r="P98" s="525"/>
      <c r="Q98" s="525"/>
      <c r="S98" s="898">
        <f>SUM(S89:T97)</f>
        <v>0</v>
      </c>
      <c r="T98" s="899"/>
    </row>
    <row r="99" spans="1:21" s="458" customFormat="1" ht="13.15" customHeight="1">
      <c r="B99" s="461" t="s">
        <v>3538</v>
      </c>
      <c r="J99" s="525"/>
      <c r="K99" s="525"/>
      <c r="M99" s="525"/>
      <c r="N99" s="525"/>
      <c r="O99" s="524" t="str">
        <f>B99</f>
        <v>EQUITY COSTS</v>
      </c>
      <c r="P99" s="525"/>
      <c r="Q99" s="525"/>
      <c r="S99" s="525"/>
      <c r="T99" s="525"/>
    </row>
    <row r="100" spans="1:21" s="458" customFormat="1" ht="12.4" customHeight="1">
      <c r="B100" s="458" t="s">
        <v>507</v>
      </c>
      <c r="G100" s="1391"/>
      <c r="H100" s="1392"/>
      <c r="J100" s="897"/>
      <c r="K100" s="897"/>
      <c r="L100" s="733"/>
      <c r="M100" s="897"/>
      <c r="N100" s="897"/>
      <c r="O100" s="721"/>
      <c r="P100" s="897"/>
      <c r="Q100" s="897"/>
      <c r="S100" s="1391"/>
      <c r="T100" s="1392"/>
    </row>
    <row r="101" spans="1:21" s="458" customFormat="1" ht="12.4" customHeight="1">
      <c r="B101" s="458" t="s">
        <v>410</v>
      </c>
      <c r="G101" s="1391"/>
      <c r="H101" s="1392"/>
      <c r="J101" s="897"/>
      <c r="K101" s="897"/>
      <c r="L101" s="733"/>
      <c r="M101" s="897"/>
      <c r="N101" s="897"/>
      <c r="O101" s="721"/>
      <c r="P101" s="897"/>
      <c r="Q101" s="897"/>
      <c r="S101" s="1391"/>
      <c r="T101" s="1392"/>
    </row>
    <row r="102" spans="1:21" s="458" customFormat="1" ht="12.4" customHeight="1">
      <c r="B102" s="458" t="s">
        <v>3734</v>
      </c>
      <c r="G102" s="1391">
        <v>50000</v>
      </c>
      <c r="H102" s="1392"/>
      <c r="J102" s="897"/>
      <c r="K102" s="897"/>
      <c r="L102" s="733"/>
      <c r="M102" s="897"/>
      <c r="N102" s="897"/>
      <c r="O102" s="721"/>
      <c r="P102" s="897"/>
      <c r="Q102" s="897"/>
      <c r="S102" s="1391"/>
      <c r="T102" s="1392"/>
    </row>
    <row r="103" spans="1:21" s="458" customFormat="1" ht="12.4" customHeight="1" thickBot="1">
      <c r="A103" s="562" t="str">
        <f>IF(AND(G103&gt;0,OR(C103="",C103="&lt;Enter detailed description here; use Comments section if needed&gt;")),"X","")</f>
        <v/>
      </c>
      <c r="B103" s="458" t="s">
        <v>1242</v>
      </c>
      <c r="C103" s="1393" t="s">
        <v>4093</v>
      </c>
      <c r="D103" s="1393"/>
      <c r="E103" s="1393"/>
      <c r="F103" s="1394"/>
      <c r="G103" s="1391">
        <v>50000</v>
      </c>
      <c r="H103" s="1392"/>
      <c r="J103" s="897"/>
      <c r="K103" s="897"/>
      <c r="L103" s="733"/>
      <c r="M103" s="897"/>
      <c r="N103" s="897"/>
      <c r="O103" s="721"/>
      <c r="P103" s="897"/>
      <c r="Q103" s="897"/>
      <c r="S103" s="1391"/>
      <c r="T103" s="1392"/>
      <c r="U103" s="561" t="str">
        <f>IF(AND(G103&gt;0,OR(C103="",C103="&lt;Enter detailed description here; use Comments section if needed&gt;")),"NO DESCRIPTION PROVIDED - please enter detailed description in Other box at left; use Comments section below if needed.","")</f>
        <v/>
      </c>
    </row>
    <row r="104" spans="1:21" s="458" customFormat="1" ht="12.4" customHeight="1" thickTop="1">
      <c r="F104" s="523" t="s">
        <v>199</v>
      </c>
      <c r="G104" s="898">
        <f>SUM(G100:H103)</f>
        <v>100000</v>
      </c>
      <c r="H104" s="899"/>
      <c r="J104" s="897"/>
      <c r="K104" s="897"/>
      <c r="L104" s="733"/>
      <c r="M104" s="897"/>
      <c r="N104" s="897"/>
      <c r="O104" s="721"/>
      <c r="P104" s="897"/>
      <c r="Q104" s="897"/>
      <c r="S104" s="898">
        <f>SUM(S100:T103)</f>
        <v>0</v>
      </c>
      <c r="T104" s="899"/>
    </row>
    <row r="105" spans="1:21" s="458" customFormat="1" ht="13.15" customHeight="1">
      <c r="B105" s="461" t="s">
        <v>411</v>
      </c>
      <c r="J105" s="525"/>
      <c r="K105" s="522"/>
      <c r="M105" s="525"/>
      <c r="N105" s="522"/>
      <c r="O105" s="524" t="str">
        <f>B105</f>
        <v>DEVELOPER'S FEE</v>
      </c>
      <c r="P105" s="525"/>
      <c r="Q105" s="522"/>
      <c r="S105" s="525"/>
      <c r="T105" s="522"/>
    </row>
    <row r="106" spans="1:21" s="458" customFormat="1" ht="12.4" customHeight="1">
      <c r="B106" s="458" t="s">
        <v>3082</v>
      </c>
      <c r="F106" s="647">
        <f>G106/$G$109</f>
        <v>0.19616510301283444</v>
      </c>
      <c r="G106" s="1391">
        <v>225000</v>
      </c>
      <c r="H106" s="1392"/>
      <c r="J106" s="1391">
        <v>225000</v>
      </c>
      <c r="K106" s="1392"/>
      <c r="L106" s="524"/>
      <c r="M106" s="1391"/>
      <c r="N106" s="1392"/>
      <c r="P106" s="1391"/>
      <c r="Q106" s="1392"/>
      <c r="S106" s="1391"/>
      <c r="T106" s="1392"/>
    </row>
    <row r="107" spans="1:21" s="458" customFormat="1" ht="12.4" customHeight="1">
      <c r="B107" s="458" t="s">
        <v>3083</v>
      </c>
      <c r="F107" s="647">
        <f>G107/$G$109</f>
        <v>0</v>
      </c>
      <c r="G107" s="1391"/>
      <c r="H107" s="1392"/>
      <c r="J107" s="1391"/>
      <c r="K107" s="1392"/>
      <c r="L107" s="733"/>
      <c r="M107" s="1391"/>
      <c r="N107" s="1392"/>
      <c r="P107" s="1391"/>
      <c r="Q107" s="1392"/>
      <c r="S107" s="1391"/>
      <c r="T107" s="1392"/>
    </row>
    <row r="108" spans="1:21" s="458" customFormat="1" ht="12.4" customHeight="1" thickBot="1">
      <c r="B108" s="458" t="s">
        <v>3075</v>
      </c>
      <c r="F108" s="647">
        <f>G108/$G$109</f>
        <v>0.80383489698716559</v>
      </c>
      <c r="G108" s="1391">
        <v>921993</v>
      </c>
      <c r="H108" s="1392"/>
      <c r="J108" s="1391">
        <v>921993</v>
      </c>
      <c r="K108" s="1392"/>
      <c r="L108" s="733"/>
      <c r="M108" s="1391"/>
      <c r="N108" s="1392"/>
      <c r="P108" s="1391"/>
      <c r="Q108" s="1392"/>
      <c r="S108" s="1391"/>
      <c r="T108" s="1392"/>
    </row>
    <row r="109" spans="1:21" s="458" customFormat="1" ht="12.4" customHeight="1" thickTop="1">
      <c r="C109" s="561" t="str">
        <f>IF(G109&lt;='DCA Underwriting Assumptions'!$Q$46,"","Developer Fee exceeds DCA Program Maximum !!!")</f>
        <v/>
      </c>
      <c r="F109" s="523" t="s">
        <v>199</v>
      </c>
      <c r="G109" s="898">
        <f>SUM(G106:H108)</f>
        <v>1146993</v>
      </c>
      <c r="H109" s="899"/>
      <c r="J109" s="898">
        <f>SUM(J106:K108)</f>
        <v>1146993</v>
      </c>
      <c r="K109" s="899"/>
      <c r="L109" s="733"/>
      <c r="M109" s="898">
        <f>SUM(M106:N108)</f>
        <v>0</v>
      </c>
      <c r="N109" s="899"/>
      <c r="P109" s="898">
        <f>SUM(P106:Q108)</f>
        <v>0</v>
      </c>
      <c r="Q109" s="899"/>
      <c r="S109" s="898">
        <f>SUM(S106:T108)</f>
        <v>0</v>
      </c>
      <c r="T109" s="899"/>
    </row>
    <row r="110" spans="1:21" s="458" customFormat="1" ht="13.15" customHeight="1">
      <c r="B110" s="461" t="s">
        <v>1895</v>
      </c>
      <c r="J110" s="522"/>
      <c r="K110" s="522"/>
      <c r="M110" s="522"/>
      <c r="N110" s="522"/>
      <c r="O110" s="524" t="str">
        <f>B110</f>
        <v>START-UP AND RESERVES</v>
      </c>
      <c r="P110" s="522"/>
      <c r="Q110" s="522"/>
      <c r="S110" s="522"/>
      <c r="T110" s="522"/>
    </row>
    <row r="111" spans="1:21" s="458" customFormat="1" ht="12.4" customHeight="1">
      <c r="B111" s="458" t="s">
        <v>368</v>
      </c>
      <c r="G111" s="1391">
        <v>15000</v>
      </c>
      <c r="H111" s="1392"/>
      <c r="J111" s="541"/>
      <c r="K111" s="541"/>
      <c r="L111" s="541"/>
      <c r="M111" s="541"/>
      <c r="N111" s="541"/>
      <c r="P111" s="541"/>
      <c r="Q111" s="541"/>
      <c r="S111" s="1391"/>
      <c r="T111" s="1392"/>
    </row>
    <row r="112" spans="1:21" s="458" customFormat="1" ht="12.4" customHeight="1">
      <c r="B112" s="458" t="s">
        <v>2558</v>
      </c>
      <c r="G112" s="1391">
        <v>50000</v>
      </c>
      <c r="H112" s="1392"/>
      <c r="J112" s="897"/>
      <c r="K112" s="897"/>
      <c r="L112" s="733"/>
      <c r="M112" s="897"/>
      <c r="N112" s="897"/>
      <c r="O112" s="721"/>
      <c r="P112" s="897"/>
      <c r="Q112" s="897"/>
      <c r="R112" s="721"/>
      <c r="S112" s="1391"/>
      <c r="T112" s="1392"/>
    </row>
    <row r="113" spans="1:21" s="458" customFormat="1" ht="12.4" customHeight="1">
      <c r="B113" s="458" t="s">
        <v>1015</v>
      </c>
      <c r="F113" s="482"/>
      <c r="G113" s="1391">
        <v>125000</v>
      </c>
      <c r="H113" s="1392"/>
      <c r="J113" s="540"/>
      <c r="K113" s="540"/>
      <c r="L113" s="540"/>
      <c r="M113" s="540"/>
      <c r="N113" s="540"/>
      <c r="O113" s="721"/>
      <c r="P113" s="540"/>
      <c r="Q113" s="540"/>
      <c r="R113" s="721"/>
      <c r="S113" s="1391"/>
      <c r="T113" s="1392"/>
    </row>
    <row r="114" spans="1:21" s="458" customFormat="1" ht="12.4" customHeight="1">
      <c r="B114" s="458" t="s">
        <v>2042</v>
      </c>
      <c r="G114" s="1391">
        <v>16000</v>
      </c>
      <c r="H114" s="1392"/>
      <c r="J114" s="541"/>
      <c r="K114" s="541"/>
      <c r="L114" s="541"/>
      <c r="M114" s="541"/>
      <c r="N114" s="541"/>
      <c r="P114" s="541"/>
      <c r="Q114" s="541"/>
      <c r="S114" s="1391"/>
      <c r="T114" s="1392"/>
    </row>
    <row r="115" spans="1:21" s="458" customFormat="1" ht="12.4" customHeight="1">
      <c r="B115" s="458" t="s">
        <v>2043</v>
      </c>
      <c r="E115" s="458" t="s">
        <v>1485</v>
      </c>
      <c r="F115" s="647">
        <f>G115/'Part VI-Revenues &amp; Expenses'!$M$63</f>
        <v>781.25</v>
      </c>
      <c r="G115" s="1391">
        <v>50000</v>
      </c>
      <c r="H115" s="1392"/>
      <c r="J115" s="1391">
        <v>50000</v>
      </c>
      <c r="K115" s="1392"/>
      <c r="L115" s="733"/>
      <c r="M115" s="1391"/>
      <c r="N115" s="1392"/>
      <c r="P115" s="1391"/>
      <c r="Q115" s="1392"/>
      <c r="S115" s="1391"/>
      <c r="T115" s="1392"/>
    </row>
    <row r="116" spans="1:21" s="458" customFormat="1" ht="12.4" customHeight="1" thickBot="1">
      <c r="A116" s="562" t="str">
        <f>IF(AND(G116&gt;0,OR(C116="",C116="&lt;Enter detailed description here; use Comments section if needed&gt;")),"X","")</f>
        <v/>
      </c>
      <c r="B116" s="458" t="s">
        <v>1242</v>
      </c>
      <c r="C116" s="1393" t="s">
        <v>63</v>
      </c>
      <c r="D116" s="1393"/>
      <c r="E116" s="1393"/>
      <c r="F116" s="1394"/>
      <c r="G116" s="1391">
        <v>22000</v>
      </c>
      <c r="H116" s="1392"/>
      <c r="J116" s="1391">
        <v>22000</v>
      </c>
      <c r="K116" s="1392"/>
      <c r="L116" s="733"/>
      <c r="M116" s="1391"/>
      <c r="N116" s="1392"/>
      <c r="P116" s="1391"/>
      <c r="Q116" s="1392"/>
      <c r="S116" s="1391"/>
      <c r="T116" s="1392"/>
      <c r="U116" s="561" t="str">
        <f>IF(AND(G116&gt;0,OR(C116="",C116="&lt;Enter detailed description here; use Comments section if needed&gt;")),"NO DESCRIPTION PROVIDED - please enter detailed description in Other box at left; use Comments section below if needed.","")</f>
        <v/>
      </c>
    </row>
    <row r="117" spans="1:21" s="458" customFormat="1" ht="12.4" customHeight="1" thickTop="1">
      <c r="B117" s="542"/>
      <c r="F117" s="523" t="s">
        <v>199</v>
      </c>
      <c r="G117" s="898">
        <f>SUM(G111:H116)</f>
        <v>278000</v>
      </c>
      <c r="H117" s="899"/>
      <c r="J117" s="898">
        <f>SUM(J115:K116)</f>
        <v>72000</v>
      </c>
      <c r="K117" s="899"/>
      <c r="L117" s="733"/>
      <c r="M117" s="898">
        <f>SUM(M115:N116)</f>
        <v>0</v>
      </c>
      <c r="N117" s="899"/>
      <c r="P117" s="898">
        <f>SUM(P115:Q116)</f>
        <v>0</v>
      </c>
      <c r="Q117" s="899"/>
      <c r="S117" s="898">
        <f>SUM(S111:T116)</f>
        <v>0</v>
      </c>
      <c r="T117" s="899"/>
    </row>
    <row r="118" spans="1:21" s="458" customFormat="1" ht="13.15" customHeight="1">
      <c r="B118" s="461" t="s">
        <v>1122</v>
      </c>
      <c r="C118" s="714"/>
      <c r="H118" s="538"/>
      <c r="I118" s="538"/>
      <c r="J118" s="522"/>
      <c r="K118" s="522"/>
      <c r="M118" s="522"/>
      <c r="N118" s="522"/>
      <c r="O118" s="524" t="str">
        <f>B118</f>
        <v>OTHER COSTS</v>
      </c>
      <c r="P118" s="522"/>
      <c r="Q118" s="522"/>
      <c r="S118" s="522"/>
      <c r="T118" s="522"/>
    </row>
    <row r="119" spans="1:21" s="458" customFormat="1" ht="12.4" customHeight="1">
      <c r="B119" s="458" t="s">
        <v>1028</v>
      </c>
      <c r="C119" s="714"/>
      <c r="G119" s="1391"/>
      <c r="H119" s="1392"/>
      <c r="J119" s="1391"/>
      <c r="K119" s="1392"/>
      <c r="L119" s="524"/>
      <c r="M119" s="1391"/>
      <c r="N119" s="1392"/>
      <c r="P119" s="1391"/>
      <c r="Q119" s="1392"/>
      <c r="S119" s="1391"/>
      <c r="T119" s="1392"/>
    </row>
    <row r="120" spans="1:21" s="458" customFormat="1" ht="12.4" customHeight="1" thickBot="1">
      <c r="A120" s="562" t="str">
        <f>IF(AND(G120&gt;0,OR(C120="",C120="&lt;Enter detailed description here; use Comments section if needed&gt;")),"X","")</f>
        <v/>
      </c>
      <c r="B120" s="458" t="s">
        <v>1242</v>
      </c>
      <c r="C120" s="1393" t="s">
        <v>4042</v>
      </c>
      <c r="D120" s="1393"/>
      <c r="E120" s="1393"/>
      <c r="F120" s="1394"/>
      <c r="G120" s="1391">
        <v>20490</v>
      </c>
      <c r="H120" s="1392"/>
      <c r="J120" s="1391"/>
      <c r="K120" s="1392"/>
      <c r="L120" s="733"/>
      <c r="M120" s="1391"/>
      <c r="N120" s="1392"/>
      <c r="P120" s="1391"/>
      <c r="Q120" s="1392"/>
      <c r="S120" s="1391"/>
      <c r="T120" s="1392"/>
      <c r="U120" s="561" t="str">
        <f>IF(AND(G120&gt;0,OR(C120="",C120="&lt;Enter detailed description here; use Comments section if needed&gt;")),"NO DESCRIPTION PROVIDED - please enter detailed description in Other box at left; use Comments section below if needed.","")</f>
        <v/>
      </c>
    </row>
    <row r="121" spans="1:21" s="458" customFormat="1" ht="12.4" customHeight="1" thickTop="1">
      <c r="C121" s="714"/>
      <c r="F121" s="523" t="s">
        <v>199</v>
      </c>
      <c r="G121" s="898">
        <f>SUM(G119:H120)</f>
        <v>20490</v>
      </c>
      <c r="H121" s="899"/>
      <c r="J121" s="898">
        <f>SUM(J119:K120)</f>
        <v>0</v>
      </c>
      <c r="K121" s="899"/>
      <c r="L121" s="733"/>
      <c r="M121" s="898">
        <f>SUM(M119:N120)</f>
        <v>0</v>
      </c>
      <c r="N121" s="899"/>
      <c r="P121" s="898">
        <f>SUM(P119:Q120)</f>
        <v>0</v>
      </c>
      <c r="Q121" s="899"/>
      <c r="S121" s="898">
        <f>SUM(S119:T120)</f>
        <v>0</v>
      </c>
      <c r="T121" s="899"/>
    </row>
    <row r="122" spans="1:21" s="458" customFormat="1" ht="3" customHeight="1" thickBot="1">
      <c r="C122" s="714"/>
      <c r="H122" s="538"/>
      <c r="I122" s="538"/>
      <c r="L122" s="721"/>
    </row>
    <row r="123" spans="1:21" s="458" customFormat="1" ht="13.9" customHeight="1" thickBot="1">
      <c r="B123" s="465" t="s">
        <v>412</v>
      </c>
      <c r="G123" s="907">
        <f>G17+G23+G27+G32+G36+G42+G56+G68+G74+G83+G98+G104+G109+G117+G121</f>
        <v>9221449</v>
      </c>
      <c r="H123" s="908"/>
      <c r="J123" s="907">
        <f>J17+J23+J27+J32+J36+J42+J56+J68+J74+J83+J98+J104+J109+J117+J121</f>
        <v>8392490</v>
      </c>
      <c r="K123" s="908"/>
      <c r="M123" s="907">
        <f>M17+M23+M27+M32+M36+M42+M56+M68+M74+M83+M98+M104+M109+M117+M121</f>
        <v>0</v>
      </c>
      <c r="N123" s="908"/>
      <c r="P123" s="907">
        <f>P17+P23+P27+P32+P36+P42+P56+P68+P74+P83+P98+P104+P109+P117+P121</f>
        <v>0</v>
      </c>
      <c r="Q123" s="908"/>
      <c r="S123" s="907">
        <f>S17+S23+S27+S32+S36+S42+S56+S68+S74+S83+S98+S104+S109+S117+S121</f>
        <v>0</v>
      </c>
      <c r="T123" s="908"/>
    </row>
    <row r="124" spans="1:21" s="458" customFormat="1" ht="3" customHeight="1" thickBot="1">
      <c r="C124" s="714"/>
      <c r="H124" s="538"/>
      <c r="I124" s="538"/>
      <c r="L124" s="721"/>
    </row>
    <row r="125" spans="1:21" s="458" customFormat="1" ht="13.9" customHeight="1" thickBot="1">
      <c r="B125" s="465" t="s">
        <v>3899</v>
      </c>
      <c r="D125" s="951">
        <f>IF(AND($T$155 = "Yes", 'Part IX A-Scoring Criteria'!$O$176 &gt; 0),'DCA Underwriting Assumptions'!$R$13, IF(AND('Part IV-Uses of Funds'!$T$156="Yes", 'Part IX A-Scoring Criteria'!$O$74&gt;0),'DCA Underwriting Assumptions'!$R$12, 'DCA Underwriting Assumptions'!$R$11))</f>
        <v>9637344</v>
      </c>
      <c r="E125" s="952"/>
      <c r="F125" s="461" t="s">
        <v>1051</v>
      </c>
      <c r="G125" s="936">
        <f>G123/'Part VI-Revenues &amp; Expenses'!$M$63</f>
        <v>144085.140625</v>
      </c>
      <c r="H125" s="937"/>
      <c r="I125" s="543"/>
      <c r="J125" s="465" t="s">
        <v>1052</v>
      </c>
      <c r="M125" s="936">
        <f>G123/'Part VI-Revenues &amp; Expenses'!$M$98</f>
        <v>138.74351528647088</v>
      </c>
      <c r="N125" s="937"/>
    </row>
    <row r="126" spans="1:21" s="458" customFormat="1" ht="3" customHeight="1">
      <c r="I126" s="543"/>
      <c r="L126" s="543"/>
    </row>
    <row r="127" spans="1:21" s="458" customFormat="1" ht="3.4" customHeight="1" thickBot="1">
      <c r="D127" s="714"/>
      <c r="E127" s="714"/>
      <c r="I127" s="538"/>
      <c r="J127" s="538"/>
      <c r="K127" s="544"/>
      <c r="L127" s="464"/>
      <c r="P127" s="721"/>
    </row>
    <row r="128" spans="1:21" s="458" customFormat="1" ht="25.9" customHeight="1">
      <c r="A128" s="406" t="s">
        <v>1241</v>
      </c>
      <c r="B128" s="408" t="s">
        <v>2388</v>
      </c>
      <c r="C128" s="459"/>
      <c r="D128" s="733"/>
      <c r="E128" s="733"/>
      <c r="G128" s="721"/>
      <c r="H128" s="721"/>
      <c r="I128" s="545"/>
      <c r="J128" s="900" t="s">
        <v>397</v>
      </c>
      <c r="K128" s="901"/>
      <c r="M128" s="900" t="s">
        <v>93</v>
      </c>
      <c r="N128" s="901"/>
      <c r="P128" s="900" t="s">
        <v>398</v>
      </c>
      <c r="Q128" s="901"/>
    </row>
    <row r="129" spans="2:17" s="458" customFormat="1" ht="15" customHeight="1" thickBot="1">
      <c r="B129" s="465" t="s">
        <v>3190</v>
      </c>
      <c r="D129" s="733"/>
      <c r="E129" s="733"/>
      <c r="I129" s="545"/>
      <c r="J129" s="902"/>
      <c r="K129" s="903"/>
      <c r="L129" s="459"/>
      <c r="M129" s="902"/>
      <c r="N129" s="903"/>
      <c r="P129" s="902"/>
      <c r="Q129" s="903"/>
    </row>
    <row r="130" spans="2:17" s="458" customFormat="1" ht="6" customHeight="1">
      <c r="D130" s="714"/>
      <c r="E130" s="714"/>
      <c r="I130" s="538"/>
      <c r="J130" s="538"/>
      <c r="K130" s="544"/>
      <c r="L130" s="464"/>
      <c r="P130" s="721"/>
    </row>
    <row r="131" spans="2:17" s="458" customFormat="1" ht="13.9" customHeight="1">
      <c r="B131" s="714" t="s">
        <v>415</v>
      </c>
      <c r="D131" s="721"/>
      <c r="E131" s="721"/>
      <c r="F131" s="721"/>
      <c r="G131" s="721"/>
      <c r="H131" s="721"/>
      <c r="I131" s="545"/>
      <c r="J131" s="1400"/>
      <c r="K131" s="1401"/>
      <c r="P131" s="1400"/>
      <c r="Q131" s="1401"/>
    </row>
    <row r="132" spans="2:17" s="458" customFormat="1" ht="13.9" customHeight="1">
      <c r="B132" s="721" t="s">
        <v>3473</v>
      </c>
      <c r="D132" s="721"/>
      <c r="E132" s="721"/>
      <c r="F132" s="721"/>
      <c r="G132" s="721"/>
      <c r="H132" s="721"/>
      <c r="I132" s="545"/>
      <c r="J132" s="1400"/>
      <c r="K132" s="1401"/>
      <c r="P132" s="1400"/>
      <c r="Q132" s="1401"/>
    </row>
    <row r="133" spans="2:17" s="458" customFormat="1" ht="13.9" customHeight="1">
      <c r="B133" s="721" t="s">
        <v>3085</v>
      </c>
      <c r="D133" s="721"/>
      <c r="E133" s="721"/>
      <c r="I133" s="545"/>
      <c r="J133" s="1400"/>
      <c r="K133" s="1401"/>
      <c r="P133" s="1400"/>
      <c r="Q133" s="1401"/>
    </row>
    <row r="134" spans="2:17" s="458" customFormat="1" ht="13.9" customHeight="1">
      <c r="B134" s="721" t="s">
        <v>3086</v>
      </c>
      <c r="D134" s="721"/>
      <c r="E134" s="721"/>
      <c r="I134" s="545"/>
      <c r="J134" s="1400"/>
      <c r="K134" s="1401"/>
      <c r="P134" s="1400"/>
      <c r="Q134" s="1401"/>
    </row>
    <row r="135" spans="2:17" s="458" customFormat="1" ht="13.9" customHeight="1">
      <c r="B135" s="721" t="s">
        <v>457</v>
      </c>
      <c r="D135" s="721"/>
      <c r="E135" s="721"/>
      <c r="I135" s="545"/>
      <c r="J135" s="1400"/>
      <c r="K135" s="1401"/>
      <c r="P135" s="1400"/>
      <c r="Q135" s="1401"/>
    </row>
    <row r="136" spans="2:17" s="458" customFormat="1" ht="13.9" customHeight="1" thickBot="1">
      <c r="B136" s="721" t="s">
        <v>2521</v>
      </c>
      <c r="C136" s="1393" t="s">
        <v>218</v>
      </c>
      <c r="D136" s="1393"/>
      <c r="E136" s="1393"/>
      <c r="F136" s="1393"/>
      <c r="G136" s="1393"/>
      <c r="H136" s="1393"/>
      <c r="I136" s="1394"/>
      <c r="J136" s="1400">
        <v>31875</v>
      </c>
      <c r="K136" s="1401"/>
      <c r="P136" s="1400"/>
      <c r="Q136" s="1401"/>
    </row>
    <row r="137" spans="2:17" s="458" customFormat="1" ht="13.9" customHeight="1" thickBot="1">
      <c r="B137" s="470" t="s">
        <v>3087</v>
      </c>
      <c r="C137" s="473"/>
      <c r="J137" s="861">
        <f>SUM(J131:K136)</f>
        <v>31875</v>
      </c>
      <c r="K137" s="862"/>
      <c r="P137" s="861">
        <f>SUM(P131:Q136)</f>
        <v>0</v>
      </c>
      <c r="Q137" s="862"/>
    </row>
    <row r="138" spans="2:17" s="458" customFormat="1" ht="3" customHeight="1"/>
    <row r="139" spans="2:17" s="458" customFormat="1" ht="15" customHeight="1" thickBot="1">
      <c r="B139" s="461" t="s">
        <v>3581</v>
      </c>
    </row>
    <row r="140" spans="2:17" s="458" customFormat="1" ht="13.9" customHeight="1">
      <c r="B140" s="458" t="s">
        <v>2948</v>
      </c>
      <c r="J140" s="923">
        <f>J123</f>
        <v>8392490</v>
      </c>
      <c r="K140" s="924"/>
      <c r="M140" s="934">
        <f>M123</f>
        <v>0</v>
      </c>
      <c r="N140" s="935"/>
      <c r="P140" s="923">
        <f>P123</f>
        <v>0</v>
      </c>
      <c r="Q140" s="924"/>
    </row>
    <row r="141" spans="2:17" s="458" customFormat="1" ht="13.9" customHeight="1">
      <c r="B141" s="458" t="s">
        <v>3360</v>
      </c>
      <c r="J141" s="925">
        <f>J137</f>
        <v>31875</v>
      </c>
      <c r="K141" s="926"/>
      <c r="M141" s="928"/>
      <c r="N141" s="928"/>
      <c r="P141" s="925">
        <f>P137</f>
        <v>0</v>
      </c>
      <c r="Q141" s="926"/>
    </row>
    <row r="142" spans="2:17" s="458" customFormat="1" ht="13.9" customHeight="1">
      <c r="B142" s="458" t="s">
        <v>3464</v>
      </c>
      <c r="J142" s="925">
        <f>J140-J141</f>
        <v>8360615</v>
      </c>
      <c r="K142" s="926"/>
      <c r="M142" s="925">
        <f>M140</f>
        <v>0</v>
      </c>
      <c r="N142" s="926"/>
      <c r="P142" s="925">
        <f>P140-P141</f>
        <v>0</v>
      </c>
      <c r="Q142" s="926"/>
    </row>
    <row r="143" spans="2:17" s="458" customFormat="1" ht="13.9" customHeight="1">
      <c r="B143" s="458" t="s">
        <v>2270</v>
      </c>
      <c r="G143" s="713" t="s">
        <v>2740</v>
      </c>
      <c r="H143" s="1402" t="s">
        <v>2803</v>
      </c>
      <c r="I143" s="1403"/>
      <c r="J143" s="1404">
        <v>1</v>
      </c>
      <c r="K143" s="1405"/>
      <c r="M143" s="933"/>
      <c r="N143" s="933"/>
      <c r="P143" s="1404"/>
      <c r="Q143" s="1405"/>
    </row>
    <row r="144" spans="2:17" s="458" customFormat="1" ht="13.9" customHeight="1">
      <c r="B144" s="458" t="s">
        <v>3375</v>
      </c>
      <c r="J144" s="925">
        <f>J142*J143</f>
        <v>8360615</v>
      </c>
      <c r="K144" s="926"/>
      <c r="M144" s="925">
        <f>+M142</f>
        <v>0</v>
      </c>
      <c r="N144" s="926"/>
      <c r="P144" s="925">
        <f>P142*P143</f>
        <v>0</v>
      </c>
      <c r="Q144" s="926"/>
    </row>
    <row r="145" spans="1:20" s="458" customFormat="1" ht="13.9" customHeight="1">
      <c r="B145" s="458" t="s">
        <v>3843</v>
      </c>
      <c r="J145" s="895">
        <f>MIN('Part VI-Revenues &amp; Expenses'!$M$59/'Part VI-Revenues &amp; Expenses'!$M$61,'Part VI-Revenues &amp; Expenses'!$M$94/'Part VI-Revenues &amp; Expenses'!$M$96)</f>
        <v>1</v>
      </c>
      <c r="K145" s="896"/>
      <c r="M145" s="895">
        <f>MIN('Part VI-Revenues &amp; Expenses'!$M$59/'Part VI-Revenues &amp; Expenses'!$M$61,'Part VI-Revenues &amp; Expenses'!$M$94/'Part VI-Revenues &amp; Expenses'!$M$96)</f>
        <v>1</v>
      </c>
      <c r="N145" s="896"/>
      <c r="P145" s="895">
        <f>MIN('Part VI-Revenues &amp; Expenses'!$M$59/'Part VI-Revenues &amp; Expenses'!$M$61,'Part VI-Revenues &amp; Expenses'!$M$94/'Part VI-Revenues &amp; Expenses'!$M$96)</f>
        <v>1</v>
      </c>
      <c r="Q145" s="896"/>
    </row>
    <row r="146" spans="1:20" s="458" customFormat="1" ht="13.9" customHeight="1">
      <c r="B146" s="458" t="s">
        <v>3191</v>
      </c>
      <c r="J146" s="925">
        <f>J144*J145</f>
        <v>8360615</v>
      </c>
      <c r="K146" s="926"/>
      <c r="M146" s="925">
        <f>M144*M145</f>
        <v>0</v>
      </c>
      <c r="N146" s="926"/>
      <c r="P146" s="925">
        <f>P144*P145</f>
        <v>0</v>
      </c>
      <c r="Q146" s="926"/>
    </row>
    <row r="147" spans="1:20" s="458" customFormat="1" ht="13.9" customHeight="1">
      <c r="B147" s="458" t="s">
        <v>3192</v>
      </c>
      <c r="J147" s="1404">
        <v>0.09</v>
      </c>
      <c r="K147" s="1405"/>
      <c r="M147" s="1404"/>
      <c r="N147" s="1405"/>
      <c r="P147" s="1404"/>
      <c r="Q147" s="1405"/>
    </row>
    <row r="148" spans="1:20" s="458" customFormat="1" ht="13.9" customHeight="1" thickBot="1">
      <c r="B148" s="458" t="s">
        <v>3844</v>
      </c>
      <c r="J148" s="929">
        <f>J146*J147</f>
        <v>752455.35</v>
      </c>
      <c r="K148" s="930"/>
      <c r="M148" s="929">
        <f>M146*M147</f>
        <v>0</v>
      </c>
      <c r="N148" s="930"/>
      <c r="P148" s="929">
        <f>P146*P147</f>
        <v>0</v>
      </c>
      <c r="Q148" s="930"/>
    </row>
    <row r="149" spans="1:20" s="458" customFormat="1" ht="13.9" customHeight="1" thickBot="1">
      <c r="B149" s="458" t="s">
        <v>2386</v>
      </c>
      <c r="J149" s="861">
        <f>J148+M148+P148</f>
        <v>752455.35</v>
      </c>
      <c r="K149" s="927"/>
      <c r="L149" s="927"/>
      <c r="M149" s="927"/>
      <c r="N149" s="927"/>
      <c r="O149" s="927"/>
      <c r="P149" s="927"/>
      <c r="Q149" s="862"/>
    </row>
    <row r="150" spans="1:20" s="458" customFormat="1" ht="6" customHeight="1" thickBot="1">
      <c r="B150" s="546"/>
      <c r="L150" s="547"/>
      <c r="M150" s="547"/>
      <c r="N150" s="547"/>
      <c r="O150" s="547"/>
    </row>
    <row r="151" spans="1:20" s="458" customFormat="1" ht="15" customHeight="1">
      <c r="A151" s="461" t="s">
        <v>1243</v>
      </c>
      <c r="B151" s="461" t="s">
        <v>2389</v>
      </c>
      <c r="I151" s="721"/>
      <c r="J151" s="932" t="s">
        <v>476</v>
      </c>
      <c r="K151" s="932"/>
      <c r="L151" s="932"/>
      <c r="M151" s="953" t="str">
        <f>IF(J153&gt;D125,"TDC exceeds PUCL!","")</f>
        <v/>
      </c>
      <c r="N151" s="954"/>
      <c r="O151" s="954"/>
      <c r="P151" s="954"/>
      <c r="Q151" s="954"/>
      <c r="R151" s="955"/>
      <c r="S151" s="938" t="s">
        <v>2910</v>
      </c>
      <c r="T151" s="939"/>
    </row>
    <row r="152" spans="1:20" s="458" customFormat="1" ht="15" customHeight="1">
      <c r="B152" s="461" t="s">
        <v>385</v>
      </c>
      <c r="I152" s="721"/>
      <c r="J152" s="931">
        <f>MIN(G123,D125)</f>
        <v>9221449</v>
      </c>
      <c r="K152" s="931"/>
      <c r="L152" s="931"/>
      <c r="M152" s="956" t="s">
        <v>3662</v>
      </c>
      <c r="N152" s="957"/>
      <c r="O152" s="957"/>
      <c r="P152" s="957"/>
      <c r="Q152" s="957"/>
      <c r="R152" s="958"/>
      <c r="S152" s="940"/>
      <c r="T152" s="941"/>
    </row>
    <row r="153" spans="1:20" s="458" customFormat="1" ht="13.9" customHeight="1">
      <c r="B153" s="458" t="s">
        <v>2774</v>
      </c>
      <c r="J153" s="1406">
        <v>9221449</v>
      </c>
      <c r="K153" s="1407"/>
      <c r="L153" s="1407"/>
      <c r="M153" s="956"/>
      <c r="N153" s="957"/>
      <c r="O153" s="957"/>
      <c r="P153" s="957"/>
      <c r="Q153" s="957"/>
      <c r="R153" s="958"/>
      <c r="S153" s="940"/>
      <c r="T153" s="941"/>
    </row>
    <row r="154" spans="1:20" s="458" customFormat="1" ht="13.9" customHeight="1">
      <c r="B154" s="458" t="s">
        <v>472</v>
      </c>
      <c r="J154" s="925">
        <f>'Part III A-Sources of Funds'!$H$49-'Part III A-Sources of Funds'!$H$37-'Part III A-Sources of Funds'!$H$40-'Part III A-Sources of Funds'!$H$41</f>
        <v>1647807.0000000007</v>
      </c>
      <c r="K154" s="928"/>
      <c r="L154" s="928"/>
      <c r="M154" s="956"/>
      <c r="N154" s="957"/>
      <c r="O154" s="957"/>
      <c r="P154" s="957"/>
      <c r="Q154" s="957"/>
      <c r="R154" s="958"/>
      <c r="S154" s="685"/>
      <c r="T154" s="688" t="s">
        <v>475</v>
      </c>
    </row>
    <row r="155" spans="1:20" s="458" customFormat="1" ht="13.9" customHeight="1">
      <c r="B155" s="458" t="s">
        <v>3565</v>
      </c>
      <c r="J155" s="925">
        <f>+J153-J154</f>
        <v>7573641.9999999991</v>
      </c>
      <c r="K155" s="928"/>
      <c r="L155" s="928"/>
      <c r="M155" s="945" t="s">
        <v>473</v>
      </c>
      <c r="N155" s="932"/>
      <c r="O155" s="932" t="s">
        <v>2911</v>
      </c>
      <c r="P155" s="932"/>
      <c r="Q155" s="932"/>
      <c r="R155" s="946"/>
      <c r="S155" s="686" t="s">
        <v>2781</v>
      </c>
      <c r="T155" s="1408"/>
    </row>
    <row r="156" spans="1:20" s="458" customFormat="1" ht="13.9" customHeight="1" thickBot="1">
      <c r="B156" s="458" t="s">
        <v>1998</v>
      </c>
      <c r="J156" s="950" t="str">
        <f>"/ 10"</f>
        <v>/ 10</v>
      </c>
      <c r="K156" s="950"/>
      <c r="L156" s="950"/>
      <c r="M156" s="1409"/>
      <c r="N156" s="1410"/>
      <c r="O156" s="1411"/>
      <c r="P156" s="1411"/>
      <c r="Q156" s="1411"/>
      <c r="R156" s="1412"/>
      <c r="S156" s="687" t="s">
        <v>474</v>
      </c>
      <c r="T156" s="1413"/>
    </row>
    <row r="157" spans="1:20" s="458" customFormat="1" ht="13.9" customHeight="1">
      <c r="B157" s="458" t="s">
        <v>1999</v>
      </c>
      <c r="J157" s="925">
        <f>J155/10</f>
        <v>757364.2</v>
      </c>
      <c r="K157" s="928"/>
      <c r="L157" s="926"/>
      <c r="M157" s="482"/>
      <c r="N157" s="782" t="s">
        <v>2000</v>
      </c>
      <c r="O157" s="782"/>
      <c r="Q157" s="782" t="s">
        <v>3068</v>
      </c>
      <c r="R157" s="782"/>
    </row>
    <row r="158" spans="1:20" s="458" customFormat="1" ht="13.9" customHeight="1" thickBot="1">
      <c r="B158" s="458" t="s">
        <v>2269</v>
      </c>
      <c r="J158" s="942">
        <f>N158+Q158</f>
        <v>1</v>
      </c>
      <c r="K158" s="943"/>
      <c r="L158" s="944"/>
      <c r="M158" s="713" t="s">
        <v>2001</v>
      </c>
      <c r="N158" s="1414">
        <v>0.75</v>
      </c>
      <c r="O158" s="1415"/>
      <c r="P158" s="713" t="s">
        <v>1029</v>
      </c>
      <c r="Q158" s="1414">
        <v>0.25</v>
      </c>
      <c r="R158" s="1415"/>
    </row>
    <row r="159" spans="1:20" s="458" customFormat="1" ht="13.9" customHeight="1" thickBot="1">
      <c r="B159" s="458" t="s">
        <v>2387</v>
      </c>
      <c r="J159" s="861">
        <f>IF(J158=0,"",J157/J158)</f>
        <v>757364.2</v>
      </c>
      <c r="K159" s="927"/>
      <c r="L159" s="862"/>
      <c r="M159" s="482"/>
      <c r="N159" s="721"/>
      <c r="O159" s="721"/>
    </row>
    <row r="160" spans="1:20" s="458" customFormat="1" ht="9" customHeight="1">
      <c r="J160" s="548"/>
      <c r="K160" s="548"/>
      <c r="L160" s="548"/>
      <c r="M160" s="482"/>
      <c r="N160" s="719"/>
      <c r="O160" s="719"/>
    </row>
    <row r="161" spans="1:20" s="458" customFormat="1" ht="16.149999999999999" customHeight="1">
      <c r="B161" s="461" t="s">
        <v>705</v>
      </c>
      <c r="J161" s="947">
        <f>+MIN(J149,J159,'DCA Underwriting Assumptions'!$R$6)</f>
        <v>752455.35</v>
      </c>
      <c r="K161" s="948"/>
      <c r="L161" s="949"/>
      <c r="M161" s="482"/>
      <c r="N161" s="719"/>
      <c r="O161" s="719"/>
    </row>
    <row r="162" spans="1:20" s="458" customFormat="1" ht="9.4" customHeight="1">
      <c r="J162" s="548"/>
      <c r="K162" s="548"/>
      <c r="L162" s="548"/>
      <c r="M162" s="482"/>
      <c r="N162" s="719"/>
      <c r="O162" s="719"/>
    </row>
    <row r="163" spans="1:20" s="458" customFormat="1" ht="16.149999999999999" customHeight="1">
      <c r="B163" s="461" t="s">
        <v>710</v>
      </c>
      <c r="J163" s="1416">
        <v>752409</v>
      </c>
      <c r="K163" s="1417"/>
      <c r="L163" s="1418"/>
      <c r="M163" s="549" t="str">
        <f>IF(J163&gt;J161,"ALLOCATION CANNOT EXCEED MAXIMUM - REVISE ALLOCATION!","")</f>
        <v/>
      </c>
      <c r="N163" s="719"/>
      <c r="O163" s="719"/>
    </row>
    <row r="164" spans="1:20" s="458" customFormat="1" ht="9.4" customHeight="1">
      <c r="J164" s="548"/>
      <c r="K164" s="548"/>
      <c r="L164" s="548"/>
      <c r="M164" s="482"/>
      <c r="N164" s="719"/>
      <c r="O164" s="719"/>
    </row>
    <row r="165" spans="1:20" s="458" customFormat="1" ht="16.149999999999999" customHeight="1">
      <c r="A165" s="461" t="s">
        <v>2950</v>
      </c>
      <c r="B165" s="461" t="s">
        <v>711</v>
      </c>
      <c r="D165" s="482"/>
      <c r="E165" s="482"/>
      <c r="F165" s="464"/>
      <c r="J165" s="947">
        <f>+MIN(J161,J163)</f>
        <v>752409</v>
      </c>
      <c r="K165" s="948"/>
      <c r="L165" s="949"/>
      <c r="N165" s="1419"/>
      <c r="O165" s="1419"/>
      <c r="P165" s="1419"/>
      <c r="Q165" s="1419"/>
      <c r="R165" s="1419"/>
      <c r="S165" s="1419"/>
      <c r="T165" s="1419"/>
    </row>
    <row r="166" spans="1:20" ht="3" customHeight="1"/>
    <row r="167" spans="1:20" ht="6" customHeight="1"/>
    <row r="168" spans="1:20" ht="12" customHeight="1">
      <c r="A168" s="461" t="s">
        <v>2952</v>
      </c>
      <c r="B168" s="491" t="s">
        <v>953</v>
      </c>
      <c r="K168" s="461" t="s">
        <v>973</v>
      </c>
      <c r="L168" s="461" t="s">
        <v>224</v>
      </c>
    </row>
    <row r="169" spans="1:20" ht="107.65" customHeight="1">
      <c r="A169" s="1420" t="s">
        <v>4098</v>
      </c>
      <c r="B169" s="1421"/>
      <c r="C169" s="1421"/>
      <c r="D169" s="1421"/>
      <c r="E169" s="1421"/>
      <c r="F169" s="1421"/>
      <c r="G169" s="1421"/>
      <c r="H169" s="1421"/>
      <c r="I169" s="1421"/>
      <c r="J169" s="1422"/>
      <c r="K169" s="1423"/>
      <c r="L169" s="1421"/>
      <c r="M169" s="1421"/>
      <c r="N169" s="1421"/>
      <c r="O169" s="1421"/>
      <c r="P169" s="1421"/>
      <c r="Q169" s="1421"/>
      <c r="R169" s="1421"/>
      <c r="S169" s="1421"/>
      <c r="T169" s="1422"/>
    </row>
    <row r="170" spans="1:20" ht="107.65" customHeight="1">
      <c r="A170" s="1424" t="s">
        <v>4110</v>
      </c>
      <c r="B170" s="1425"/>
      <c r="C170" s="1425"/>
      <c r="D170" s="1425"/>
      <c r="E170" s="1425"/>
      <c r="F170" s="1425"/>
      <c r="G170" s="1425"/>
      <c r="H170" s="1425"/>
      <c r="I170" s="1425"/>
      <c r="J170" s="1426"/>
      <c r="K170" s="1427"/>
      <c r="L170" s="1425"/>
      <c r="M170" s="1425"/>
      <c r="N170" s="1425"/>
      <c r="O170" s="1425"/>
      <c r="P170" s="1425"/>
      <c r="Q170" s="1425"/>
      <c r="R170" s="1425"/>
      <c r="S170" s="1425"/>
      <c r="T170" s="1426"/>
    </row>
    <row r="171" spans="1:20" s="458" customFormat="1" ht="107.65" customHeight="1">
      <c r="A171" s="1424" t="s">
        <v>8</v>
      </c>
      <c r="B171" s="1425"/>
      <c r="C171" s="1425"/>
      <c r="D171" s="1425"/>
      <c r="E171" s="1425"/>
      <c r="F171" s="1425"/>
      <c r="G171" s="1425"/>
      <c r="H171" s="1425"/>
      <c r="I171" s="1425"/>
      <c r="J171" s="1426"/>
      <c r="K171" s="1427"/>
      <c r="L171" s="1425"/>
      <c r="M171" s="1425"/>
      <c r="N171" s="1425"/>
      <c r="O171" s="1425"/>
      <c r="P171" s="1425"/>
      <c r="Q171" s="1425"/>
      <c r="R171" s="1425"/>
      <c r="S171" s="1425"/>
      <c r="T171" s="1426"/>
    </row>
    <row r="172" spans="1:20" ht="107.65" customHeight="1">
      <c r="A172" s="1428"/>
      <c r="B172" s="1429"/>
      <c r="C172" s="1429"/>
      <c r="D172" s="1429"/>
      <c r="E172" s="1429"/>
      <c r="F172" s="1429"/>
      <c r="G172" s="1429"/>
      <c r="H172" s="1429"/>
      <c r="I172" s="1429"/>
      <c r="J172" s="1430"/>
      <c r="K172" s="1431"/>
      <c r="L172" s="1429"/>
      <c r="M172" s="1429"/>
      <c r="N172" s="1429"/>
      <c r="O172" s="1429"/>
      <c r="P172" s="1429"/>
      <c r="Q172" s="1429"/>
      <c r="R172" s="1429"/>
      <c r="S172" s="1429"/>
      <c r="T172" s="1430"/>
    </row>
    <row r="173" spans="1:20" ht="11.25" customHeight="1"/>
    <row r="174" spans="1:20" ht="12" customHeight="1"/>
    <row r="175" spans="1:20" ht="12" customHeight="1"/>
    <row r="176" spans="1:20" ht="14.65" customHeight="1"/>
    <row r="177" spans="1:1" s="458" customFormat="1" ht="14.65" customHeight="1"/>
    <row r="178" spans="1:1" s="458" customFormat="1" ht="14.65" customHeight="1"/>
    <row r="179" spans="1:1" s="458" customFormat="1" ht="14.65" customHeight="1"/>
    <row r="180" spans="1:1" ht="14.65" customHeight="1"/>
    <row r="181" spans="1:1" s="458" customFormat="1" ht="14.65" customHeight="1">
      <c r="A181" s="465"/>
    </row>
    <row r="182" spans="1:1" ht="14.65" customHeight="1"/>
    <row r="183" spans="1:1" s="458" customFormat="1" ht="14.65" customHeight="1"/>
    <row r="184" spans="1:1" s="458" customFormat="1" ht="14.65" customHeight="1">
      <c r="A184" s="465"/>
    </row>
    <row r="185" spans="1:1" s="458" customFormat="1" ht="14.65" customHeight="1">
      <c r="A185" s="735"/>
    </row>
    <row r="186" spans="1:1" s="458" customFormat="1" ht="14.65" customHeight="1"/>
    <row r="187" spans="1:1" s="458" customFormat="1" ht="14.65" customHeight="1">
      <c r="A187" s="508"/>
    </row>
    <row r="188" spans="1:1" s="458" customFormat="1" ht="14.65" customHeight="1">
      <c r="A188" s="508"/>
    </row>
    <row r="189" spans="1:1" s="458" customFormat="1" ht="14.65" customHeight="1">
      <c r="A189" s="508"/>
    </row>
    <row r="190" spans="1:1" s="458" customFormat="1" ht="14.65" customHeight="1"/>
    <row r="191" spans="1:1" s="458" customFormat="1" ht="14.65" customHeight="1"/>
    <row r="192" spans="1:1" ht="14.65" customHeight="1"/>
    <row r="193" ht="14.65" customHeight="1"/>
    <row r="194" ht="14.65" customHeight="1"/>
    <row r="195" ht="14.65" customHeight="1"/>
    <row r="196" ht="14.65" customHeight="1"/>
    <row r="197" ht="14.65" customHeight="1"/>
    <row r="198" ht="14.65" customHeight="1"/>
    <row r="199" ht="14.65" customHeight="1"/>
    <row r="200" s="458" customFormat="1" ht="14.65" customHeight="1"/>
    <row r="201" ht="14.65" customHeight="1"/>
    <row r="202" ht="14.65" customHeight="1"/>
    <row r="203" ht="14.65" customHeight="1"/>
    <row r="204" ht="14.65" customHeight="1"/>
    <row r="205" ht="14.65" customHeight="1"/>
    <row r="206" ht="14.65" customHeight="1"/>
    <row r="207" ht="14.65" customHeight="1"/>
    <row r="208" ht="14.65" customHeight="1"/>
    <row r="209" ht="14.65" customHeight="1"/>
    <row r="210" ht="14.65" customHeight="1"/>
    <row r="211" ht="14.65" customHeight="1"/>
    <row r="212" ht="14.65" customHeight="1"/>
    <row r="213" ht="14.65" customHeight="1"/>
    <row r="214" ht="14.65" customHeight="1"/>
    <row r="215" ht="14.65" customHeight="1"/>
  </sheetData>
  <sheetProtection password="DDE0" sheet="1" objects="1" scenarios="1"/>
  <mergeCells count="507">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33:Q133"/>
    <mergeCell ref="P132:Q132"/>
    <mergeCell ref="M128:N129"/>
    <mergeCell ref="P117:Q117"/>
    <mergeCell ref="M120:N120"/>
    <mergeCell ref="P119:Q119"/>
    <mergeCell ref="P120:Q120"/>
    <mergeCell ref="M121:N121"/>
    <mergeCell ref="M143:N143"/>
    <mergeCell ref="M140:N140"/>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G25:H25"/>
    <mergeCell ref="S19:T19"/>
    <mergeCell ref="M23:N23"/>
    <mergeCell ref="J26:K26"/>
    <mergeCell ref="J25:K25"/>
    <mergeCell ref="M25:N25"/>
    <mergeCell ref="G23:H23"/>
    <mergeCell ref="G27:H27"/>
    <mergeCell ref="G29:H29"/>
    <mergeCell ref="G26:H26"/>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79:T79"/>
    <mergeCell ref="P63:Q63"/>
    <mergeCell ref="P66:Q66"/>
    <mergeCell ref="M74:N74"/>
    <mergeCell ref="S92:T92"/>
    <mergeCell ref="P79:Q79"/>
    <mergeCell ref="J71:K71"/>
    <mergeCell ref="P71:Q71"/>
    <mergeCell ref="P86:Q87"/>
    <mergeCell ref="P82:Q82"/>
    <mergeCell ref="P80:Q80"/>
    <mergeCell ref="P81:Q81"/>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paperSize="0" scale="93" fitToHeight="0" orientation="landscape" horizontalDpi="4294967292" verticalDpi="4294967292"/>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sheetPr codeName="Sheet9" enableFormatConditionsCalculation="0">
    <pageSetUpPr fitToPage="1"/>
  </sheetPr>
  <dimension ref="A1:T41"/>
  <sheetViews>
    <sheetView showGridLines="0" workbookViewId="0">
      <selection activeCell="E14" sqref="E14"/>
    </sheetView>
  </sheetViews>
  <sheetFormatPr defaultColWidth="8.7109375" defaultRowHeight="12.75"/>
  <cols>
    <col min="1" max="1" width="2.28515625" style="31" customWidth="1"/>
    <col min="2" max="3" width="8.7109375" style="31"/>
    <col min="4" max="4" width="12.140625" style="31" customWidth="1"/>
    <col min="5" max="5" width="8.7109375" style="31"/>
    <col min="6" max="12" width="9.7109375" style="31" customWidth="1"/>
    <col min="13" max="13" width="8.7109375" style="31"/>
    <col min="14" max="14" width="3" style="31" customWidth="1"/>
    <col min="15" max="16384" width="8.71093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2011-028 Endeavor Pointe, LaFayette, Walker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861</v>
      </c>
      <c r="I3" s="742" t="str">
        <f>VLOOKUP('Part I-Project Information'!$J$25,'Part I-Project Information'!$C$183:$D$342,2)</f>
        <v>North</v>
      </c>
    </row>
    <row r="4" spans="1:20" s="9" customFormat="1"/>
    <row r="5" spans="1:20" s="9" customFormat="1">
      <c r="A5" s="16" t="s">
        <v>1126</v>
      </c>
      <c r="B5" s="16" t="s">
        <v>3559</v>
      </c>
      <c r="F5" s="9" t="s">
        <v>3919</v>
      </c>
      <c r="I5" s="1361" t="s">
        <v>3835</v>
      </c>
      <c r="J5" s="1362"/>
      <c r="K5" s="1362"/>
      <c r="L5" s="1362"/>
      <c r="M5" s="1363"/>
    </row>
    <row r="6" spans="1:20" s="9" customFormat="1" ht="13.15" customHeight="1">
      <c r="A6" s="16"/>
      <c r="F6" s="9" t="s">
        <v>1139</v>
      </c>
      <c r="H6" s="31"/>
      <c r="I6" s="1364">
        <v>40695</v>
      </c>
      <c r="J6" s="1365"/>
      <c r="K6" s="77" t="s">
        <v>773</v>
      </c>
      <c r="L6" s="1361" t="s">
        <v>3836</v>
      </c>
      <c r="M6" s="1363"/>
    </row>
    <row r="7" spans="1:20" s="9" customFormat="1" ht="6" customHeight="1">
      <c r="A7" s="16"/>
    </row>
    <row r="8" spans="1:20" s="16" customFormat="1">
      <c r="B8" s="337"/>
      <c r="C8" s="337"/>
      <c r="D8" s="337"/>
      <c r="E8" s="337"/>
      <c r="F8" s="960" t="s">
        <v>1121</v>
      </c>
      <c r="G8" s="960"/>
      <c r="I8" s="959" t="s">
        <v>208</v>
      </c>
      <c r="J8" s="959"/>
      <c r="K8" s="959"/>
      <c r="L8" s="959"/>
      <c r="M8" s="959"/>
    </row>
    <row r="9" spans="1:20" s="16" customFormat="1">
      <c r="B9" s="337" t="s">
        <v>1373</v>
      </c>
      <c r="D9" s="337" t="s">
        <v>2519</v>
      </c>
      <c r="F9" s="736" t="s">
        <v>1043</v>
      </c>
      <c r="G9" s="736" t="s">
        <v>3064</v>
      </c>
      <c r="I9" s="338">
        <v>0</v>
      </c>
      <c r="J9" s="339">
        <v>1</v>
      </c>
      <c r="K9" s="339">
        <v>2</v>
      </c>
      <c r="L9" s="339">
        <v>3</v>
      </c>
      <c r="M9" s="339">
        <v>4</v>
      </c>
    </row>
    <row r="10" spans="1:20" s="9" customFormat="1">
      <c r="B10" s="340" t="s">
        <v>3066</v>
      </c>
      <c r="C10" s="341"/>
      <c r="D10" s="1366" t="s">
        <v>4038</v>
      </c>
      <c r="E10" s="1367"/>
      <c r="F10" s="1368" t="s">
        <v>651</v>
      </c>
      <c r="G10" s="1368"/>
      <c r="H10" s="342"/>
      <c r="I10" s="1369"/>
      <c r="J10" s="1369">
        <v>11</v>
      </c>
      <c r="K10" s="1369">
        <v>13</v>
      </c>
      <c r="L10" s="1369"/>
      <c r="M10" s="1369"/>
    </row>
    <row r="11" spans="1:20" s="9" customFormat="1">
      <c r="B11" s="343" t="s">
        <v>944</v>
      </c>
      <c r="C11" s="344"/>
      <c r="D11" s="343" t="s">
        <v>2515</v>
      </c>
      <c r="E11" s="344"/>
      <c r="F11" s="1370" t="s">
        <v>651</v>
      </c>
      <c r="G11" s="1370"/>
      <c r="H11" s="345"/>
      <c r="I11" s="1371"/>
      <c r="J11" s="1371">
        <v>23</v>
      </c>
      <c r="K11" s="1371">
        <v>29</v>
      </c>
      <c r="L11" s="1372"/>
      <c r="M11" s="1372"/>
    </row>
    <row r="12" spans="1:20" s="9" customFormat="1">
      <c r="B12" s="343" t="s">
        <v>2516</v>
      </c>
      <c r="C12" s="344"/>
      <c r="D12" s="1373" t="s">
        <v>2515</v>
      </c>
      <c r="E12" s="1374"/>
      <c r="F12" s="1370" t="s">
        <v>651</v>
      </c>
      <c r="G12" s="1370"/>
      <c r="H12" s="345"/>
      <c r="I12" s="1371"/>
      <c r="J12" s="1371">
        <v>9</v>
      </c>
      <c r="K12" s="1371">
        <v>11</v>
      </c>
      <c r="L12" s="1372"/>
      <c r="M12" s="1372"/>
    </row>
    <row r="13" spans="1:20" s="9" customFormat="1">
      <c r="B13" s="343" t="s">
        <v>2517</v>
      </c>
      <c r="C13" s="344"/>
      <c r="D13" s="1373" t="s">
        <v>2515</v>
      </c>
      <c r="E13" s="1374"/>
      <c r="F13" s="1370" t="s">
        <v>651</v>
      </c>
      <c r="G13" s="1370"/>
      <c r="H13" s="345"/>
      <c r="I13" s="1371"/>
      <c r="J13" s="1371">
        <v>28</v>
      </c>
      <c r="K13" s="1371">
        <v>35</v>
      </c>
      <c r="L13" s="1372"/>
      <c r="M13" s="1372"/>
    </row>
    <row r="14" spans="1:20" s="9" customFormat="1">
      <c r="B14" s="343" t="s">
        <v>2518</v>
      </c>
      <c r="C14" s="344"/>
      <c r="D14" s="343" t="s">
        <v>2515</v>
      </c>
      <c r="E14" s="346"/>
      <c r="F14" s="1370" t="s">
        <v>651</v>
      </c>
      <c r="G14" s="1370"/>
      <c r="H14" s="345"/>
      <c r="I14" s="1371"/>
      <c r="J14" s="1371">
        <v>26</v>
      </c>
      <c r="K14" s="1371">
        <v>33</v>
      </c>
      <c r="L14" s="1372"/>
      <c r="M14" s="1372"/>
    </row>
    <row r="15" spans="1:20" s="9" customFormat="1">
      <c r="B15" s="343" t="s">
        <v>2047</v>
      </c>
      <c r="C15" s="344"/>
      <c r="D15" s="343" t="s">
        <v>3558</v>
      </c>
      <c r="E15" s="1375" t="s">
        <v>139</v>
      </c>
      <c r="F15" s="1370" t="s">
        <v>651</v>
      </c>
      <c r="G15" s="1370"/>
      <c r="H15" s="345"/>
      <c r="I15" s="1371"/>
      <c r="J15" s="1371">
        <v>36</v>
      </c>
      <c r="K15" s="1371">
        <v>42</v>
      </c>
      <c r="L15" s="1372"/>
      <c r="M15" s="1372"/>
    </row>
    <row r="16" spans="1:20" s="9" customFormat="1">
      <c r="B16" s="347" t="s">
        <v>3065</v>
      </c>
      <c r="C16" s="348"/>
      <c r="D16" s="347"/>
      <c r="E16" s="315"/>
      <c r="F16" s="1376"/>
      <c r="G16" s="1376" t="s">
        <v>651</v>
      </c>
      <c r="H16" s="349"/>
      <c r="I16" s="1377"/>
      <c r="J16" s="1377"/>
      <c r="K16" s="1377"/>
      <c r="L16" s="1378"/>
      <c r="M16" s="1378"/>
    </row>
    <row r="17" spans="1:19" s="9" customFormat="1">
      <c r="B17" s="337" t="s">
        <v>1669</v>
      </c>
      <c r="D17" s="31"/>
      <c r="E17" s="31"/>
      <c r="F17" s="111"/>
      <c r="G17" s="111"/>
      <c r="I17" s="736">
        <f>SUM(I10:I16)</f>
        <v>0</v>
      </c>
      <c r="J17" s="736">
        <f>SUM(J10:J16)</f>
        <v>133</v>
      </c>
      <c r="K17" s="736">
        <f>SUM(K10:K16)</f>
        <v>163</v>
      </c>
      <c r="L17" s="736">
        <f>SUM(L10:L16)</f>
        <v>0</v>
      </c>
      <c r="M17" s="736">
        <f>SUM(M10:M16)</f>
        <v>0</v>
      </c>
    </row>
    <row r="18" spans="1:19" s="9" customFormat="1" ht="11.25" customHeight="1">
      <c r="M18" s="31"/>
      <c r="N18" s="31"/>
      <c r="O18" s="31"/>
      <c r="P18" s="31"/>
      <c r="Q18" s="31"/>
      <c r="R18" s="31"/>
      <c r="S18" s="31"/>
    </row>
    <row r="19" spans="1:19" s="9" customFormat="1">
      <c r="A19" s="16" t="s">
        <v>1241</v>
      </c>
      <c r="B19" s="16" t="s">
        <v>3561</v>
      </c>
      <c r="F19" s="9" t="s">
        <v>3919</v>
      </c>
      <c r="I19" s="1361"/>
      <c r="J19" s="1362"/>
      <c r="K19" s="1362"/>
      <c r="L19" s="1362"/>
      <c r="M19" s="1363"/>
    </row>
    <row r="20" spans="1:19" s="9" customFormat="1" ht="13.15" customHeight="1">
      <c r="A20" s="16"/>
      <c r="B20" s="16"/>
      <c r="F20" s="9" t="s">
        <v>1139</v>
      </c>
      <c r="H20" s="31"/>
      <c r="I20" s="1364"/>
      <c r="J20" s="1365"/>
      <c r="K20" s="77" t="s">
        <v>773</v>
      </c>
      <c r="L20" s="1361"/>
      <c r="M20" s="1363"/>
    </row>
    <row r="21" spans="1:19" s="9" customFormat="1" ht="6" customHeight="1">
      <c r="A21" s="16"/>
    </row>
    <row r="22" spans="1:19" s="16" customFormat="1">
      <c r="B22" s="337"/>
      <c r="C22" s="337"/>
      <c r="D22" s="337"/>
      <c r="E22" s="337"/>
      <c r="F22" s="960" t="s">
        <v>1121</v>
      </c>
      <c r="G22" s="960"/>
      <c r="I22" s="959" t="s">
        <v>208</v>
      </c>
      <c r="J22" s="959"/>
      <c r="K22" s="959"/>
      <c r="L22" s="959"/>
      <c r="M22" s="959"/>
    </row>
    <row r="23" spans="1:19" s="16" customFormat="1">
      <c r="B23" s="337" t="s">
        <v>1373</v>
      </c>
      <c r="D23" s="337" t="s">
        <v>2519</v>
      </c>
      <c r="F23" s="736" t="s">
        <v>1043</v>
      </c>
      <c r="G23" s="736" t="s">
        <v>3064</v>
      </c>
      <c r="I23" s="338">
        <v>0</v>
      </c>
      <c r="J23" s="339">
        <v>1</v>
      </c>
      <c r="K23" s="339">
        <v>2</v>
      </c>
      <c r="L23" s="339">
        <v>3</v>
      </c>
      <c r="M23" s="339">
        <v>4</v>
      </c>
    </row>
    <row r="24" spans="1:19" s="9" customFormat="1">
      <c r="B24" s="340" t="s">
        <v>3066</v>
      </c>
      <c r="C24" s="341"/>
      <c r="D24" s="1366" t="s">
        <v>2737</v>
      </c>
      <c r="E24" s="1367"/>
      <c r="F24" s="1368"/>
      <c r="G24" s="1368"/>
      <c r="H24" s="342"/>
      <c r="I24" s="1369"/>
      <c r="J24" s="1369"/>
      <c r="K24" s="1369"/>
      <c r="L24" s="1369"/>
      <c r="M24" s="1369"/>
    </row>
    <row r="25" spans="1:19" s="9" customFormat="1">
      <c r="B25" s="343" t="s">
        <v>944</v>
      </c>
      <c r="C25" s="344"/>
      <c r="D25" s="343" t="s">
        <v>2515</v>
      </c>
      <c r="E25" s="344"/>
      <c r="F25" s="1370"/>
      <c r="G25" s="1370"/>
      <c r="H25" s="345"/>
      <c r="I25" s="1371"/>
      <c r="J25" s="1371"/>
      <c r="K25" s="1371"/>
      <c r="L25" s="1372"/>
      <c r="M25" s="1372"/>
    </row>
    <row r="26" spans="1:19" s="9" customFormat="1">
      <c r="B26" s="343" t="s">
        <v>2516</v>
      </c>
      <c r="C26" s="344"/>
      <c r="D26" s="1373" t="s">
        <v>2737</v>
      </c>
      <c r="E26" s="1374"/>
      <c r="F26" s="1370"/>
      <c r="G26" s="1370"/>
      <c r="H26" s="345"/>
      <c r="I26" s="1371"/>
      <c r="J26" s="1371"/>
      <c r="K26" s="1371"/>
      <c r="L26" s="1372"/>
      <c r="M26" s="1372"/>
    </row>
    <row r="27" spans="1:19" s="9" customFormat="1">
      <c r="B27" s="343" t="s">
        <v>2517</v>
      </c>
      <c r="C27" s="344"/>
      <c r="D27" s="1373" t="s">
        <v>2737</v>
      </c>
      <c r="E27" s="1374"/>
      <c r="F27" s="1370"/>
      <c r="G27" s="1370"/>
      <c r="H27" s="345"/>
      <c r="I27" s="1371"/>
      <c r="J27" s="1371"/>
      <c r="K27" s="1371"/>
      <c r="L27" s="1372"/>
      <c r="M27" s="1372"/>
    </row>
    <row r="28" spans="1:19" s="9" customFormat="1">
      <c r="B28" s="343" t="s">
        <v>2518</v>
      </c>
      <c r="C28" s="344"/>
      <c r="D28" s="343" t="s">
        <v>2515</v>
      </c>
      <c r="E28" s="346"/>
      <c r="F28" s="1370"/>
      <c r="G28" s="1370"/>
      <c r="H28" s="345"/>
      <c r="I28" s="1371"/>
      <c r="J28" s="1371"/>
      <c r="K28" s="1371"/>
      <c r="L28" s="1372"/>
      <c r="M28" s="1372"/>
    </row>
    <row r="29" spans="1:19" s="9" customFormat="1">
      <c r="B29" s="343" t="s">
        <v>2047</v>
      </c>
      <c r="C29" s="344"/>
      <c r="D29" s="343" t="s">
        <v>3558</v>
      </c>
      <c r="E29" s="1375" t="s">
        <v>209</v>
      </c>
      <c r="F29" s="1370"/>
      <c r="G29" s="1370"/>
      <c r="H29" s="345"/>
      <c r="I29" s="1371"/>
      <c r="J29" s="1371"/>
      <c r="K29" s="1371"/>
      <c r="L29" s="1372"/>
      <c r="M29" s="1372"/>
    </row>
    <row r="30" spans="1:19" s="9" customFormat="1">
      <c r="B30" s="347" t="s">
        <v>3065</v>
      </c>
      <c r="C30" s="348"/>
      <c r="D30" s="347"/>
      <c r="E30" s="315"/>
      <c r="F30" s="1376"/>
      <c r="G30" s="1376"/>
      <c r="H30" s="349"/>
      <c r="I30" s="1377"/>
      <c r="J30" s="1377"/>
      <c r="K30" s="1377"/>
      <c r="L30" s="1378"/>
      <c r="M30" s="1378"/>
    </row>
    <row r="31" spans="1:19" s="9" customFormat="1">
      <c r="B31" s="337" t="s">
        <v>1669</v>
      </c>
      <c r="D31" s="31"/>
      <c r="E31" s="31"/>
      <c r="F31" s="111"/>
      <c r="G31" s="111"/>
      <c r="I31" s="736">
        <f>SUM(I24:I30)</f>
        <v>0</v>
      </c>
      <c r="J31" s="736">
        <f>SUM(J24:J30)</f>
        <v>0</v>
      </c>
      <c r="K31" s="736">
        <f>SUM(K24:K30)</f>
        <v>0</v>
      </c>
      <c r="L31" s="736">
        <f>SUM(L24:L30)</f>
        <v>0</v>
      </c>
      <c r="M31" s="736">
        <f>SUM(M24:M30)</f>
        <v>0</v>
      </c>
    </row>
    <row r="32" spans="1:19">
      <c r="A32" s="9"/>
    </row>
    <row r="33" spans="1:19">
      <c r="B33" s="350" t="s">
        <v>2965</v>
      </c>
    </row>
    <row r="34" spans="1:19" s="9" customFormat="1" ht="6" customHeight="1">
      <c r="M34" s="31"/>
      <c r="N34" s="31"/>
      <c r="O34" s="31"/>
      <c r="P34" s="31"/>
      <c r="Q34" s="31"/>
      <c r="R34" s="31"/>
      <c r="S34" s="31"/>
    </row>
    <row r="35" spans="1:19" s="9" customFormat="1" ht="12" customHeight="1">
      <c r="A35" s="16"/>
      <c r="B35" s="16" t="s">
        <v>953</v>
      </c>
      <c r="M35" s="31"/>
      <c r="N35" s="31"/>
      <c r="O35" s="31"/>
      <c r="P35" s="31"/>
      <c r="Q35" s="31"/>
      <c r="R35" s="31"/>
      <c r="S35" s="31"/>
    </row>
    <row r="36" spans="1:19" s="9" customFormat="1" ht="12" customHeight="1">
      <c r="B36" s="1379"/>
      <c r="C36" s="1380"/>
      <c r="D36" s="1380"/>
      <c r="E36" s="1380"/>
      <c r="F36" s="1380"/>
      <c r="G36" s="1380"/>
      <c r="H36" s="1380"/>
      <c r="I36" s="1380"/>
      <c r="J36" s="1380"/>
      <c r="K36" s="1380"/>
      <c r="L36" s="1380"/>
      <c r="M36" s="1381"/>
      <c r="N36" s="31"/>
      <c r="O36" s="31"/>
      <c r="P36" s="31"/>
      <c r="Q36" s="31"/>
      <c r="R36" s="31"/>
      <c r="S36" s="31"/>
    </row>
    <row r="37" spans="1:19" s="9" customFormat="1" ht="12" customHeight="1">
      <c r="B37" s="1382"/>
      <c r="C37" s="1383"/>
      <c r="D37" s="1383"/>
      <c r="E37" s="1383"/>
      <c r="F37" s="1383"/>
      <c r="G37" s="1383"/>
      <c r="H37" s="1383"/>
      <c r="I37" s="1383"/>
      <c r="J37" s="1383"/>
      <c r="K37" s="1383"/>
      <c r="L37" s="1383"/>
      <c r="M37" s="1384"/>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3042</v>
      </c>
      <c r="M39" s="31"/>
      <c r="N39" s="31"/>
      <c r="O39" s="31"/>
      <c r="P39" s="31"/>
      <c r="Q39" s="31"/>
      <c r="R39" s="31"/>
      <c r="S39" s="31"/>
    </row>
    <row r="40" spans="1:19" s="9" customFormat="1" ht="12" customHeight="1">
      <c r="B40" s="1385"/>
      <c r="C40" s="1386"/>
      <c r="D40" s="1386"/>
      <c r="E40" s="1386"/>
      <c r="F40" s="1386"/>
      <c r="G40" s="1386"/>
      <c r="H40" s="1386"/>
      <c r="I40" s="1386"/>
      <c r="J40" s="1386"/>
      <c r="K40" s="1386"/>
      <c r="L40" s="1386"/>
      <c r="M40" s="1387"/>
      <c r="N40" s="31"/>
      <c r="O40" s="31"/>
      <c r="P40" s="31"/>
      <c r="Q40" s="31"/>
      <c r="R40" s="31"/>
      <c r="S40" s="31"/>
    </row>
    <row r="41" spans="1:19" s="9" customFormat="1" ht="12" customHeight="1">
      <c r="B41" s="1388"/>
      <c r="C41" s="1389"/>
      <c r="D41" s="1389"/>
      <c r="E41" s="1389"/>
      <c r="F41" s="1389"/>
      <c r="G41" s="1389"/>
      <c r="H41" s="1389"/>
      <c r="I41" s="1389"/>
      <c r="J41" s="1389"/>
      <c r="K41" s="1389"/>
      <c r="L41" s="1389"/>
      <c r="M41" s="1390"/>
      <c r="N41" s="31"/>
      <c r="O41" s="31"/>
      <c r="P41" s="31"/>
      <c r="Q41" s="31"/>
      <c r="R41" s="31"/>
      <c r="S41" s="31"/>
    </row>
  </sheetData>
  <sheetProtection password="DDE0" sheet="1" objects="1" scenarios="1"/>
  <mergeCells count="21">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paperSize="0" fitToHeight="0" orientation="landscape" horizontalDpi="4294967292" verticalDpi="4294967292"/>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2011-06-23T10:48:54Z</cp:lastPrinted>
  <dcterms:created xsi:type="dcterms:W3CDTF">2005-09-15T20:51:37Z</dcterms:created>
  <dcterms:modified xsi:type="dcterms:W3CDTF">2011-08-10T16:19:19Z</dcterms:modified>
</cp:coreProperties>
</file>