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385" i="35" s="1"/>
  <c r="J32" i="3"/>
  <c r="M32"/>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P1633" s="1"/>
  <c r="P1637" s="1"/>
  <c r="J1628"/>
  <c r="J1629"/>
  <c r="J1630"/>
  <c r="J1631"/>
  <c r="J1632"/>
  <c r="J1627"/>
  <c r="E1569"/>
  <c r="E1568"/>
  <c r="C1616"/>
  <c r="C1612"/>
  <c r="C1599"/>
  <c r="C1593"/>
  <c r="C1592"/>
  <c r="C1578"/>
  <c r="C1563"/>
  <c r="C1551"/>
  <c r="C1511"/>
  <c r="C1512"/>
  <c r="C1510"/>
  <c r="S1616"/>
  <c r="S1615"/>
  <c r="P1616"/>
  <c r="P1615"/>
  <c r="M1616"/>
  <c r="M1615"/>
  <c r="J1616"/>
  <c r="J1615"/>
  <c r="G1616"/>
  <c r="U1616" s="1"/>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U1599" s="1"/>
  <c r="S1593"/>
  <c r="S1592"/>
  <c r="S1591"/>
  <c r="S1590"/>
  <c r="S1589"/>
  <c r="S1588"/>
  <c r="S1587"/>
  <c r="S1586"/>
  <c r="S1585"/>
  <c r="G1586"/>
  <c r="G1587"/>
  <c r="G1588"/>
  <c r="G1589"/>
  <c r="G1590"/>
  <c r="G1591"/>
  <c r="G1592"/>
  <c r="G1593"/>
  <c r="J1611"/>
  <c r="J1613" s="1"/>
  <c r="G1607"/>
  <c r="G1602"/>
  <c r="G1605" s="1"/>
  <c r="C1605" s="1"/>
  <c r="G1596"/>
  <c r="G1585"/>
  <c r="S1578"/>
  <c r="S1577"/>
  <c r="S1576"/>
  <c r="S1575"/>
  <c r="S1574"/>
  <c r="S1573"/>
  <c r="S1572"/>
  <c r="P1578"/>
  <c r="P1577"/>
  <c r="P1576"/>
  <c r="P1575"/>
  <c r="P1574"/>
  <c r="P1579" s="1"/>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A1551" s="1"/>
  <c r="J1574"/>
  <c r="G1572"/>
  <c r="G1566"/>
  <c r="S1538"/>
  <c r="P1538"/>
  <c r="M1538"/>
  <c r="J1538"/>
  <c r="S1531"/>
  <c r="S1530"/>
  <c r="P1531"/>
  <c r="P1530"/>
  <c r="M1531"/>
  <c r="M1530"/>
  <c r="J1531"/>
  <c r="J1530"/>
  <c r="G1531"/>
  <c r="G1530"/>
  <c r="S1527"/>
  <c r="S1526"/>
  <c r="S1525"/>
  <c r="P1527"/>
  <c r="P1526"/>
  <c r="P1525"/>
  <c r="M1527"/>
  <c r="M1526"/>
  <c r="M1525"/>
  <c r="M1528" s="1"/>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S1513" s="1"/>
  <c r="G1521"/>
  <c r="M1521"/>
  <c r="M1523" s="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s="1"/>
  <c r="G1511"/>
  <c r="G1512"/>
  <c r="G1504"/>
  <c r="G1513" s="1"/>
  <c r="J1579"/>
  <c r="J1633"/>
  <c r="J1637" s="1"/>
  <c r="M1519"/>
  <c r="M1552"/>
  <c r="M1605"/>
  <c r="P1523"/>
  <c r="P1564"/>
  <c r="P1613"/>
  <c r="H49" i="3"/>
  <c r="J154" i="15" s="1"/>
  <c r="J1652" i="35"/>
  <c r="G1532"/>
  <c r="G1594"/>
  <c r="S1532"/>
  <c r="S1579"/>
  <c r="S1613"/>
  <c r="O1614"/>
  <c r="O1606"/>
  <c r="F1604"/>
  <c r="F1603"/>
  <c r="O1601"/>
  <c r="O1595"/>
  <c r="A1592"/>
  <c r="E1588"/>
  <c r="O1584"/>
  <c r="O1571"/>
  <c r="O1565"/>
  <c r="A1563"/>
  <c r="O1553"/>
  <c r="U1551"/>
  <c r="O1543"/>
  <c r="O1537"/>
  <c r="E1531"/>
  <c r="F1531" s="1"/>
  <c r="E1530"/>
  <c r="F1530" s="1"/>
  <c r="O1529"/>
  <c r="O1524"/>
  <c r="O1520"/>
  <c r="O1514"/>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J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G2503" s="1"/>
  <c r="F2509"/>
  <c r="G2502" s="1"/>
  <c r="G2504"/>
  <c r="A2493"/>
  <c r="O207" i="11"/>
  <c r="A2793" i="35"/>
  <c r="A2792"/>
  <c r="A2051"/>
  <c r="H2051" s="1"/>
  <c r="A2049"/>
  <c r="A2036"/>
  <c r="A2035"/>
  <c r="F2016"/>
  <c r="F2027" s="1"/>
  <c r="E2016"/>
  <c r="D2016"/>
  <c r="D2027" s="1"/>
  <c r="C2016"/>
  <c r="B2016"/>
  <c r="B2027" s="1"/>
  <c r="K1981"/>
  <c r="J1981"/>
  <c r="I1981"/>
  <c r="I1992" s="1"/>
  <c r="H1981"/>
  <c r="G1981"/>
  <c r="F1981"/>
  <c r="E1981"/>
  <c r="E1992" s="1"/>
  <c r="D1981"/>
  <c r="C1981"/>
  <c r="B1981"/>
  <c r="K1946"/>
  <c r="J1946"/>
  <c r="I1946"/>
  <c r="H1946"/>
  <c r="G1946"/>
  <c r="F1946"/>
  <c r="E1946"/>
  <c r="D1946"/>
  <c r="C1946"/>
  <c r="B1946"/>
  <c r="K1911"/>
  <c r="J1911"/>
  <c r="I1911"/>
  <c r="I1922" s="1"/>
  <c r="H1911"/>
  <c r="G1911"/>
  <c r="F1911"/>
  <c r="E1911"/>
  <c r="E1922" s="1"/>
  <c r="D1911"/>
  <c r="C1911"/>
  <c r="B1911"/>
  <c r="A2034"/>
  <c r="F2013"/>
  <c r="E2013"/>
  <c r="D2013"/>
  <c r="C2013"/>
  <c r="B2013"/>
  <c r="F2017"/>
  <c r="E2017"/>
  <c r="D2017"/>
  <c r="C2017"/>
  <c r="B2017"/>
  <c r="A1962"/>
  <c r="A1997" s="1"/>
  <c r="A2032" s="1"/>
  <c r="A1961"/>
  <c r="A1996"/>
  <c r="A2031" s="1"/>
  <c r="A1925"/>
  <c r="A1960" s="1"/>
  <c r="A1995" s="1"/>
  <c r="A2030" s="1"/>
  <c r="A1924"/>
  <c r="A1959" s="1"/>
  <c r="A1994" s="1"/>
  <c r="A2029" s="1"/>
  <c r="A1923"/>
  <c r="A1958" s="1"/>
  <c r="A1993" s="1"/>
  <c r="A2028" s="1"/>
  <c r="E2027"/>
  <c r="C2027"/>
  <c r="A1922"/>
  <c r="A1957" s="1"/>
  <c r="A1992" s="1"/>
  <c r="A2027" s="1"/>
  <c r="C1901"/>
  <c r="D1901"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78"/>
  <c r="J1978"/>
  <c r="I1978"/>
  <c r="H1978"/>
  <c r="G1978"/>
  <c r="F1978"/>
  <c r="E1978"/>
  <c r="D1978"/>
  <c r="C1978"/>
  <c r="B1978"/>
  <c r="K1982"/>
  <c r="J1982"/>
  <c r="I1982"/>
  <c r="H1982"/>
  <c r="G1982"/>
  <c r="F1982"/>
  <c r="E1982"/>
  <c r="E1993" s="1"/>
  <c r="D1982"/>
  <c r="C1982"/>
  <c r="B1982"/>
  <c r="I1993"/>
  <c r="K1992"/>
  <c r="G1992"/>
  <c r="C199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I1958" s="1"/>
  <c r="H1947"/>
  <c r="G1947"/>
  <c r="F1947"/>
  <c r="E1947"/>
  <c r="E1958" s="1"/>
  <c r="D1947"/>
  <c r="C1947"/>
  <c r="B1947"/>
  <c r="K1958"/>
  <c r="G1958"/>
  <c r="C1958"/>
  <c r="K1957"/>
  <c r="I1957"/>
  <c r="G1957"/>
  <c r="E1957"/>
  <c r="C195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E1923" s="1"/>
  <c r="D1912"/>
  <c r="C1912"/>
  <c r="B1912"/>
  <c r="I1923"/>
  <c r="K1922"/>
  <c r="G1922"/>
  <c r="C1922"/>
  <c r="C1902"/>
  <c r="C1910" s="1"/>
  <c r="C1921" s="1"/>
  <c r="B1902"/>
  <c r="B1903" s="1"/>
  <c r="B1904" s="1"/>
  <c r="B1905"/>
  <c r="B1906"/>
  <c r="B1907"/>
  <c r="B1909"/>
  <c r="C1909"/>
  <c r="C1907"/>
  <c r="K1906"/>
  <c r="J1906"/>
  <c r="I1906"/>
  <c r="H1906"/>
  <c r="G1906"/>
  <c r="F1906"/>
  <c r="E1906"/>
  <c r="D1906"/>
  <c r="C1906"/>
  <c r="K1905"/>
  <c r="J1905"/>
  <c r="I1905"/>
  <c r="H1905"/>
  <c r="G1905"/>
  <c r="F1905"/>
  <c r="E1905"/>
  <c r="D1905"/>
  <c r="C1905"/>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s="1"/>
  <c r="O270"/>
  <c r="O279"/>
  <c r="G109" i="15"/>
  <c r="D37" i="3" s="1"/>
  <c r="D390" i="35" s="1"/>
  <c r="C109" i="15"/>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42" s="1"/>
  <c r="P144"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s="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s="1"/>
  <c r="E35"/>
  <c r="F35" s="1"/>
  <c r="S36"/>
  <c r="L26" i="3"/>
  <c r="S17" i="15"/>
  <c r="S23"/>
  <c r="S27"/>
  <c r="S32"/>
  <c r="S56"/>
  <c r="S68"/>
  <c r="S74"/>
  <c r="S83"/>
  <c r="S98"/>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s="1"/>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2"/>
  <c r="P1727" i="35" s="1"/>
  <c r="P13" i="36"/>
  <c r="P14"/>
  <c r="P1729" i="35"/>
  <c r="P10" i="36"/>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M37" i="3"/>
  <c r="M390" i="35" s="1"/>
  <c r="B30" i="8"/>
  <c r="B1918" i="35" s="1"/>
  <c r="M36" i="3"/>
  <c r="M389" i="35" s="1"/>
  <c r="F133" i="8"/>
  <c r="F2021" i="35" s="1"/>
  <c r="D133" i="8"/>
  <c r="D2021" i="35" s="1"/>
  <c r="B133" i="8"/>
  <c r="B2021" i="35" s="1"/>
  <c r="M35" i="3"/>
  <c r="M388" i="35"/>
  <c r="F132" i="8"/>
  <c r="F2020" i="35" s="1"/>
  <c r="E132" i="8"/>
  <c r="E2020" i="35" s="1"/>
  <c r="D132" i="8"/>
  <c r="D2020" i="35" s="1"/>
  <c r="C132" i="8"/>
  <c r="C2020" i="35" s="1"/>
  <c r="B132" i="8"/>
  <c r="B2020" i="35" s="1"/>
  <c r="M34" i="3"/>
  <c r="M387" i="35" s="1"/>
  <c r="F131" i="8"/>
  <c r="F2019" i="35" s="1"/>
  <c r="D131" i="8"/>
  <c r="D2019" i="35" s="1"/>
  <c r="B131" i="8"/>
  <c r="B2019" i="35" s="1"/>
  <c r="M386"/>
  <c r="J101" i="8"/>
  <c r="J1989" i="35" s="1"/>
  <c r="J98" i="8"/>
  <c r="J1986" i="35" s="1"/>
  <c r="H98" i="8"/>
  <c r="H1986" i="35" s="1"/>
  <c r="F98" i="8"/>
  <c r="F1986" i="35" s="1"/>
  <c r="D98" i="8"/>
  <c r="D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J96" i="8"/>
  <c r="J1984" i="35" s="1"/>
  <c r="H96" i="8"/>
  <c r="H1984" i="35" s="1"/>
  <c r="F96" i="8"/>
  <c r="F1984" i="35" s="1"/>
  <c r="D96" i="8"/>
  <c r="D1984" i="35" s="1"/>
  <c r="B96" i="8"/>
  <c r="B1984" i="35" s="1"/>
  <c r="J63" i="8"/>
  <c r="J1951" i="35" s="1"/>
  <c r="H63" i="8"/>
  <c r="H1951" i="35" s="1"/>
  <c r="F63" i="8"/>
  <c r="F1951" i="35" s="1"/>
  <c r="D63" i="8"/>
  <c r="D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J61" i="8"/>
  <c r="J1949" i="35" s="1"/>
  <c r="H61" i="8"/>
  <c r="H1949" i="35" s="1"/>
  <c r="F61" i="8"/>
  <c r="F1949" i="35" s="1"/>
  <c r="D61" i="8"/>
  <c r="D1949" i="35" s="1"/>
  <c r="B61" i="8"/>
  <c r="B1949" i="35" s="1"/>
  <c r="K1948"/>
  <c r="J1948"/>
  <c r="J1959" s="1"/>
  <c r="I1948"/>
  <c r="H1948"/>
  <c r="H1959" s="1"/>
  <c r="G1948"/>
  <c r="F1948"/>
  <c r="F1959" s="1"/>
  <c r="E1948"/>
  <c r="D1948"/>
  <c r="D1959" s="1"/>
  <c r="C1948"/>
  <c r="B1948"/>
  <c r="B1959" s="1"/>
  <c r="C1913"/>
  <c r="C1924" s="1"/>
  <c r="D1913"/>
  <c r="D1924" s="1"/>
  <c r="E1913"/>
  <c r="E1924" s="1"/>
  <c r="F1913"/>
  <c r="F1924" s="1"/>
  <c r="G1913"/>
  <c r="G1924" s="1"/>
  <c r="H1913"/>
  <c r="H1924" s="1"/>
  <c r="I1913"/>
  <c r="I1924" s="1"/>
  <c r="J1913"/>
  <c r="J1924" s="1"/>
  <c r="K1913"/>
  <c r="K1924" s="1"/>
  <c r="C26" i="8"/>
  <c r="C1914" i="35" s="1"/>
  <c r="E26" i="8"/>
  <c r="E1914" i="35" s="1"/>
  <c r="G26" i="8"/>
  <c r="G1914" i="35" s="1"/>
  <c r="I26" i="8"/>
  <c r="I1914" i="35" s="1"/>
  <c r="K26" i="8"/>
  <c r="K1914" i="35" s="1"/>
  <c r="C27" i="8"/>
  <c r="C1915" i="35" s="1"/>
  <c r="D27" i="8"/>
  <c r="D1915" i="35" s="1"/>
  <c r="E27" i="8"/>
  <c r="E1915" i="35" s="1"/>
  <c r="F27" i="8"/>
  <c r="F1915" i="35" s="1"/>
  <c r="G27" i="8"/>
  <c r="G1915" i="35" s="1"/>
  <c r="H27" i="8"/>
  <c r="H1915" i="35" s="1"/>
  <c r="I27" i="8"/>
  <c r="I1915" i="35" s="1"/>
  <c r="J27" i="8"/>
  <c r="J1915" i="35" s="1"/>
  <c r="K27" i="8"/>
  <c r="K1915" i="35" s="1"/>
  <c r="C28" i="8"/>
  <c r="C1916" i="35" s="1"/>
  <c r="E28" i="8"/>
  <c r="E1916" i="35" s="1"/>
  <c r="G28" i="8"/>
  <c r="G1916" i="35" s="1"/>
  <c r="I28" i="8"/>
  <c r="I1916" i="35" s="1"/>
  <c r="K28" i="8"/>
  <c r="K1916" i="35" s="1"/>
  <c r="C1919"/>
  <c r="E1919"/>
  <c r="G1919"/>
  <c r="H31" i="8"/>
  <c r="J31"/>
  <c r="B26"/>
  <c r="B1914" i="35" s="1"/>
  <c r="B27" i="8"/>
  <c r="B1915" i="35" s="1"/>
  <c r="B28" i="8"/>
  <c r="B1916" i="35" s="1"/>
  <c r="B46" i="8"/>
  <c r="B1934" i="35" s="1"/>
  <c r="B1930"/>
  <c r="B20" i="8"/>
  <c r="P1863" i="35" s="1"/>
  <c r="P1873" s="1"/>
  <c r="AX48" i="36"/>
  <c r="H65" s="1"/>
  <c r="AY48"/>
  <c r="I65" s="1"/>
  <c r="AZ48"/>
  <c r="J65" s="1"/>
  <c r="BA48"/>
  <c r="K65" s="1"/>
  <c r="BB48"/>
  <c r="L65" s="1"/>
  <c r="AS48"/>
  <c r="H66" s="1"/>
  <c r="AT48"/>
  <c r="I66" s="1"/>
  <c r="AU48"/>
  <c r="J66" s="1"/>
  <c r="AV48"/>
  <c r="K66" s="1"/>
  <c r="AW48"/>
  <c r="L66" s="1"/>
  <c r="M83"/>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D20" s="1"/>
  <c r="F146" i="36"/>
  <c r="F155"/>
  <c r="F166"/>
  <c r="K144"/>
  <c r="K153"/>
  <c r="K163"/>
  <c r="P145"/>
  <c r="F139" i="8"/>
  <c r="B129"/>
  <c r="C129"/>
  <c r="D129"/>
  <c r="E129"/>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s="1"/>
  <c r="L227" i="11"/>
  <c r="P17"/>
  <c r="G12"/>
  <c r="K17"/>
  <c r="G11"/>
  <c r="F17"/>
  <c r="G10"/>
  <c r="AD65" i="36"/>
  <c r="AD66"/>
  <c r="Y67"/>
  <c r="Z67"/>
  <c r="AA67"/>
  <c r="AB67"/>
  <c r="AC6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48" s="1"/>
  <c r="L85" s="1"/>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48" s="1"/>
  <c r="L86" s="1"/>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48" s="1"/>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s="1"/>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48" s="1"/>
  <c r="L87" s="1"/>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s="1"/>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B97"/>
  <c r="A1" i="6"/>
  <c r="A1" i="8"/>
  <c r="A1" i="36"/>
  <c r="A1" i="15"/>
  <c r="L25" i="3"/>
  <c r="A1" i="18"/>
  <c r="A1" i="7"/>
  <c r="I154"/>
  <c r="H59"/>
  <c r="FS11" i="36"/>
  <c r="FT11"/>
  <c r="FT48" s="1"/>
  <c r="FU11"/>
  <c r="FV11"/>
  <c r="FV48" s="1"/>
  <c r="FW11"/>
  <c r="FX11"/>
  <c r="FX48" s="1"/>
  <c r="FY11"/>
  <c r="FZ11"/>
  <c r="FZ48" s="1"/>
  <c r="GA11"/>
  <c r="GB11"/>
  <c r="GB48" s="1"/>
  <c r="GC11"/>
  <c r="GD11"/>
  <c r="GE11"/>
  <c r="GF11"/>
  <c r="GG11"/>
  <c r="GH11"/>
  <c r="GH48" s="1"/>
  <c r="GI11"/>
  <c r="GJ11"/>
  <c r="GJ48" s="1"/>
  <c r="GK11"/>
  <c r="GL11"/>
  <c r="GL48" s="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E48"/>
  <c r="GK48"/>
  <c r="GI48"/>
  <c r="GB10"/>
  <c r="GA10"/>
  <c r="FZ10"/>
  <c r="FY10"/>
  <c r="GA48"/>
  <c r="FY48"/>
  <c r="GC48"/>
  <c r="FW10"/>
  <c r="FV10"/>
  <c r="FU10"/>
  <c r="FT10"/>
  <c r="FW48"/>
  <c r="FU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1960"/>
  <c r="D1960"/>
  <c r="F1960"/>
  <c r="H1960"/>
  <c r="J1960"/>
  <c r="B1961"/>
  <c r="D1961"/>
  <c r="F1961"/>
  <c r="J1961"/>
  <c r="B1962"/>
  <c r="D1962"/>
  <c r="F1962"/>
  <c r="H1962"/>
  <c r="J1962"/>
  <c r="L379"/>
  <c r="BW48" i="36"/>
  <c r="AM48"/>
  <c r="AC60" s="1"/>
  <c r="AL48"/>
  <c r="AK48"/>
  <c r="AA60" s="1"/>
  <c r="AJ48"/>
  <c r="AI48"/>
  <c r="Y60" s="1"/>
  <c r="AD60" s="1"/>
  <c r="AC48"/>
  <c r="X48"/>
  <c r="AC57" s="1"/>
  <c r="AC59" s="1"/>
  <c r="AC61" s="1"/>
  <c r="AB48"/>
  <c r="W48"/>
  <c r="AB57" s="1"/>
  <c r="AB59" s="1"/>
  <c r="AB61" s="1"/>
  <c r="AA48"/>
  <c r="V48"/>
  <c r="AA57" s="1"/>
  <c r="AA59" s="1"/>
  <c r="AA61" s="1"/>
  <c r="Z48"/>
  <c r="U48"/>
  <c r="Z57" s="1"/>
  <c r="Z59" s="1"/>
  <c r="Z61" s="1"/>
  <c r="Y48"/>
  <c r="T48"/>
  <c r="Y57" s="1"/>
  <c r="M123" i="15"/>
  <c r="M140"/>
  <c r="M142" s="1"/>
  <c r="M144" s="1"/>
  <c r="O38" i="11"/>
  <c r="O2532" i="35"/>
  <c r="P38" i="11"/>
  <c r="P2532" i="35"/>
  <c r="A3"/>
  <c r="A354"/>
  <c r="A414"/>
  <c r="A471"/>
  <c r="G471"/>
  <c r="A959"/>
  <c r="A1008"/>
  <c r="I1675"/>
  <c r="R2672"/>
  <c r="P2530"/>
  <c r="P2786" s="1"/>
  <c r="P2498" s="1"/>
  <c r="O2530"/>
  <c r="H57" i="36"/>
  <c r="M57" s="1"/>
  <c r="H58"/>
  <c r="M58" s="1"/>
  <c r="Y58"/>
  <c r="I57"/>
  <c r="I59" s="1"/>
  <c r="I61" s="1"/>
  <c r="I58"/>
  <c r="Z58"/>
  <c r="J57"/>
  <c r="J59" s="1"/>
  <c r="J61" s="1"/>
  <c r="J58"/>
  <c r="AA58"/>
  <c r="K57"/>
  <c r="K59" s="1"/>
  <c r="K61" s="1"/>
  <c r="K58"/>
  <c r="AB58"/>
  <c r="L57"/>
  <c r="L59" s="1"/>
  <c r="L61" s="1"/>
  <c r="L58"/>
  <c r="AC58"/>
  <c r="H60"/>
  <c r="M60" s="1"/>
  <c r="I60"/>
  <c r="Z60"/>
  <c r="J60"/>
  <c r="K60"/>
  <c r="AB60"/>
  <c r="L60"/>
  <c r="H92"/>
  <c r="Y92"/>
  <c r="H59"/>
  <c r="M59" s="1"/>
  <c r="AD58"/>
  <c r="H61"/>
  <c r="J1650" i="35" l="1"/>
  <c r="G1523"/>
  <c r="J1523"/>
  <c r="S1523"/>
  <c r="J1532"/>
  <c r="P1532"/>
  <c r="M1570"/>
  <c r="S1600"/>
  <c r="M1617"/>
  <c r="J1564"/>
  <c r="H51" i="7"/>
  <c r="H80" i="35"/>
  <c r="H81"/>
  <c r="Q60" i="36"/>
  <c r="H52" i="7"/>
  <c r="H79" i="35"/>
  <c r="H50" i="7"/>
  <c r="AD57" i="36"/>
  <c r="Q57" s="1"/>
  <c r="Y59"/>
  <c r="H87"/>
  <c r="Y87"/>
  <c r="D1907" i="35"/>
  <c r="D1903"/>
  <c r="E1901"/>
  <c r="D1902"/>
  <c r="D1909"/>
  <c r="FM48" i="36"/>
  <c r="L88" s="1"/>
  <c r="Y88"/>
  <c r="EZ48"/>
  <c r="EW48"/>
  <c r="E13" i="8"/>
  <c r="GM48" i="36"/>
  <c r="K31" i="8"/>
  <c r="K1919" i="35" s="1"/>
  <c r="I31" i="8"/>
  <c r="I1919" i="35" s="1"/>
  <c r="J28" i="8"/>
  <c r="J1916" i="35" s="1"/>
  <c r="H28" i="8"/>
  <c r="H1916" i="35" s="1"/>
  <c r="F28" i="8"/>
  <c r="F1916" i="35" s="1"/>
  <c r="D28" i="8"/>
  <c r="D1916" i="35" s="1"/>
  <c r="J26" i="8"/>
  <c r="J1914" i="35" s="1"/>
  <c r="H26" i="8"/>
  <c r="H1914" i="35" s="1"/>
  <c r="F26" i="8"/>
  <c r="F1914" i="35" s="1"/>
  <c r="D26" i="8"/>
  <c r="D1914" i="35" s="1"/>
  <c r="C61" i="8"/>
  <c r="C1949" i="35" s="1"/>
  <c r="E61" i="8"/>
  <c r="E1949" i="35" s="1"/>
  <c r="G61" i="8"/>
  <c r="G1949" i="35" s="1"/>
  <c r="I61" i="8"/>
  <c r="I1949" i="35" s="1"/>
  <c r="K61" i="8"/>
  <c r="K1949" i="35" s="1"/>
  <c r="C63" i="8"/>
  <c r="C1951" i="35" s="1"/>
  <c r="E63" i="8"/>
  <c r="E1951" i="35" s="1"/>
  <c r="G63" i="8"/>
  <c r="G1951" i="35" s="1"/>
  <c r="I63" i="8"/>
  <c r="I1951" i="35" s="1"/>
  <c r="K63" i="8"/>
  <c r="K1951" i="35" s="1"/>
  <c r="C96" i="8"/>
  <c r="C1984" i="35" s="1"/>
  <c r="E96" i="8"/>
  <c r="E1984" i="35" s="1"/>
  <c r="G96" i="8"/>
  <c r="G1984" i="35" s="1"/>
  <c r="I96" i="8"/>
  <c r="I1984" i="35" s="1"/>
  <c r="K96" i="8"/>
  <c r="K1984" i="35" s="1"/>
  <c r="C98" i="8"/>
  <c r="C1986" i="35" s="1"/>
  <c r="E98" i="8"/>
  <c r="E1986" i="35" s="1"/>
  <c r="G98" i="8"/>
  <c r="G1986" i="35" s="1"/>
  <c r="I98" i="8"/>
  <c r="I1986" i="35" s="1"/>
  <c r="K98" i="8"/>
  <c r="K1986" i="35" s="1"/>
  <c r="C131" i="8"/>
  <c r="C2019" i="35" s="1"/>
  <c r="E131" i="8"/>
  <c r="E2019" i="35" s="1"/>
  <c r="C133" i="8"/>
  <c r="C2021" i="35" s="1"/>
  <c r="E133" i="8"/>
  <c r="E2021" i="35" s="1"/>
  <c r="P6" i="36"/>
  <c r="Q10" s="1"/>
  <c r="Q1725" i="35" s="1"/>
  <c r="I3" i="29"/>
  <c r="F108" i="15"/>
  <c r="B1958" i="35"/>
  <c r="D1958"/>
  <c r="F1958"/>
  <c r="H1958"/>
  <c r="J1958"/>
  <c r="G1570"/>
  <c r="A1512"/>
  <c r="A1578"/>
  <c r="A1593"/>
  <c r="A1612"/>
  <c r="P294" i="11"/>
  <c r="P6" s="1"/>
  <c r="L27" i="3"/>
  <c r="L378" i="35"/>
  <c r="BR1763"/>
  <c r="B1957"/>
  <c r="D1957"/>
  <c r="F1957"/>
  <c r="H1957"/>
  <c r="J1957"/>
  <c r="D2028"/>
  <c r="C1923"/>
  <c r="G1923"/>
  <c r="K1923"/>
  <c r="C1993"/>
  <c r="G1993"/>
  <c r="K1993"/>
  <c r="F1602"/>
  <c r="U1512"/>
  <c r="M1513"/>
  <c r="P1513"/>
  <c r="G1519"/>
  <c r="S1519"/>
  <c r="G1528"/>
  <c r="B1535" s="1"/>
  <c r="J1528"/>
  <c r="P1528"/>
  <c r="S1528"/>
  <c r="M1532"/>
  <c r="J1552"/>
  <c r="P1552"/>
  <c r="S1552"/>
  <c r="G1564"/>
  <c r="M1564"/>
  <c r="J1570"/>
  <c r="P1570"/>
  <c r="S1570"/>
  <c r="U1578"/>
  <c r="G1579"/>
  <c r="M1579"/>
  <c r="G1600"/>
  <c r="G1613"/>
  <c r="U1593"/>
  <c r="S1594"/>
  <c r="J1605"/>
  <c r="P1605"/>
  <c r="S1605"/>
  <c r="U1612"/>
  <c r="M1613"/>
  <c r="G1617"/>
  <c r="J1617"/>
  <c r="P1617"/>
  <c r="S1617"/>
  <c r="U1511"/>
  <c r="U1592"/>
  <c r="A1599"/>
  <c r="A1616"/>
  <c r="J1654"/>
  <c r="F23" i="8"/>
  <c r="H66"/>
  <c r="H1954" i="35" s="1"/>
  <c r="D66" i="8"/>
  <c r="D1954" i="35" s="1"/>
  <c r="B101" i="8"/>
  <c r="B1989" i="35" s="1"/>
  <c r="B66" i="8"/>
  <c r="B1954" i="35" s="1"/>
  <c r="F66" i="8"/>
  <c r="F1954" i="35" s="1"/>
  <c r="J66" i="8"/>
  <c r="J1954" i="35" s="1"/>
  <c r="F101" i="8"/>
  <c r="F1989" i="35" s="1"/>
  <c r="C66" i="8"/>
  <c r="C1954" i="35" s="1"/>
  <c r="E66" i="8"/>
  <c r="G66"/>
  <c r="G1954" i="35" s="1"/>
  <c r="I66" i="8"/>
  <c r="K66"/>
  <c r="K1954" i="35" s="1"/>
  <c r="D101" i="8"/>
  <c r="D1989" i="35" s="1"/>
  <c r="H101" i="8"/>
  <c r="H1989" i="35" s="1"/>
  <c r="H402"/>
  <c r="H1777"/>
  <c r="Y1777"/>
  <c r="C2028"/>
  <c r="E2028"/>
  <c r="B1923"/>
  <c r="D1923"/>
  <c r="F1923"/>
  <c r="H1923"/>
  <c r="J1923"/>
  <c r="B1993"/>
  <c r="D1993"/>
  <c r="F1993"/>
  <c r="H1993"/>
  <c r="J1993"/>
  <c r="M385"/>
  <c r="E1529"/>
  <c r="J1513"/>
  <c r="J1619" s="1"/>
  <c r="J1636" s="1"/>
  <c r="J1638" s="1"/>
  <c r="J1640" s="1"/>
  <c r="E58" i="8"/>
  <c r="E69" s="1"/>
  <c r="M1619" i="35"/>
  <c r="M1636" s="1"/>
  <c r="M1638" s="1"/>
  <c r="M1640" s="1"/>
  <c r="D136" i="8"/>
  <c r="D2024" i="35" s="1"/>
  <c r="L380"/>
  <c r="H1927"/>
  <c r="Q13" i="36"/>
  <c r="Q1728" i="35" s="1"/>
  <c r="Q11" i="36"/>
  <c r="Q1726" i="35" s="1"/>
  <c r="B1922"/>
  <c r="D1922"/>
  <c r="F1922"/>
  <c r="H1922"/>
  <c r="J1922"/>
  <c r="B1992"/>
  <c r="D1992"/>
  <c r="F1992"/>
  <c r="H1992"/>
  <c r="J1992"/>
  <c r="G1552"/>
  <c r="G1619" s="1"/>
  <c r="B23" i="8"/>
  <c r="B39" s="1"/>
  <c r="J23"/>
  <c r="J39" s="1"/>
  <c r="C93"/>
  <c r="I86" i="36"/>
  <c r="Z86"/>
  <c r="EU48"/>
  <c r="I85" s="1"/>
  <c r="FK48"/>
  <c r="J88" s="1"/>
  <c r="H49" i="7"/>
  <c r="H53" s="1"/>
  <c r="D23" i="8"/>
  <c r="D34" s="1"/>
  <c r="H23"/>
  <c r="H34" s="1"/>
  <c r="B58"/>
  <c r="I58"/>
  <c r="I70" s="1"/>
  <c r="I93"/>
  <c r="F1925" i="35"/>
  <c r="D1925"/>
  <c r="O294" i="11"/>
  <c r="O6" s="1"/>
  <c r="O2786" i="35"/>
  <c r="O2498" s="1"/>
  <c r="D1926"/>
  <c r="HK1763"/>
  <c r="B1928"/>
  <c r="B2028"/>
  <c r="F2028"/>
  <c r="D1927"/>
  <c r="C1928"/>
  <c r="GL1727"/>
  <c r="GL1763" s="1"/>
  <c r="C23" i="8"/>
  <c r="E23"/>
  <c r="G23"/>
  <c r="G35" s="1"/>
  <c r="I23"/>
  <c r="K23"/>
  <c r="C58"/>
  <c r="G58"/>
  <c r="K58"/>
  <c r="E93"/>
  <c r="C128"/>
  <c r="C139" s="1"/>
  <c r="C101"/>
  <c r="E101"/>
  <c r="E1989" i="35" s="1"/>
  <c r="G101" i="8"/>
  <c r="I101"/>
  <c r="I1989" i="35" s="1"/>
  <c r="K101" i="8"/>
  <c r="B136"/>
  <c r="B2024" i="35" s="1"/>
  <c r="F136" i="8"/>
  <c r="F2024" i="35" s="1"/>
  <c r="H1961"/>
  <c r="J1925"/>
  <c r="C30" i="8"/>
  <c r="D30" s="1"/>
  <c r="P158" i="36"/>
  <c r="B19" i="8" s="1"/>
  <c r="FB48" i="36"/>
  <c r="K86" s="1"/>
  <c r="GI1727" i="35"/>
  <c r="GJ1727"/>
  <c r="GJ1763" s="1"/>
  <c r="GK1727"/>
  <c r="GK1763" s="1"/>
  <c r="GF48" i="36"/>
  <c r="GD48"/>
  <c r="GE1763" i="35"/>
  <c r="EY48" i="36"/>
  <c r="Y86" s="1"/>
  <c r="AA88"/>
  <c r="AA87"/>
  <c r="Z85"/>
  <c r="Q58"/>
  <c r="P1728" i="35"/>
  <c r="Q12" i="36"/>
  <c r="Q1727" i="35" s="1"/>
  <c r="P1726"/>
  <c r="L48" i="36"/>
  <c r="L49" s="1"/>
  <c r="B14" i="8" s="1"/>
  <c r="P1725" i="35"/>
  <c r="CX48" i="36"/>
  <c r="J97" s="1"/>
  <c r="CW48"/>
  <c r="Z97" s="1"/>
  <c r="EE48"/>
  <c r="H79" s="1"/>
  <c r="BF48"/>
  <c r="BU48"/>
  <c r="K62" s="1"/>
  <c r="K63" s="1"/>
  <c r="CR1763" i="35"/>
  <c r="DP1763"/>
  <c r="Y1791" s="1"/>
  <c r="I97" i="36"/>
  <c r="Y79"/>
  <c r="FG48"/>
  <c r="K89" s="1"/>
  <c r="FE48"/>
  <c r="Z89" s="1"/>
  <c r="FW1763" i="35"/>
  <c r="CZ48" i="36"/>
  <c r="L97" s="1"/>
  <c r="CV48"/>
  <c r="H97" s="1"/>
  <c r="BS48"/>
  <c r="I62" s="1"/>
  <c r="I63" s="1"/>
  <c r="EE1763" i="35"/>
  <c r="H1794" s="1"/>
  <c r="BV1763"/>
  <c r="L1777" s="1"/>
  <c r="AA97" i="36"/>
  <c r="AC86"/>
  <c r="BD48"/>
  <c r="BT48"/>
  <c r="J62" s="1"/>
  <c r="J63" s="1"/>
  <c r="CT1763" i="35"/>
  <c r="FS1763"/>
  <c r="GG1763"/>
  <c r="GI1763"/>
  <c r="H86" i="36"/>
  <c r="K85"/>
  <c r="AB85"/>
  <c r="EX1763" i="35"/>
  <c r="AC1800" s="1"/>
  <c r="EW1763"/>
  <c r="AB1800" s="1"/>
  <c r="AC85" i="36"/>
  <c r="EO48"/>
  <c r="BV48"/>
  <c r="L62" s="1"/>
  <c r="L63" s="1"/>
  <c r="BR48"/>
  <c r="Y62" s="1"/>
  <c r="FY1763" i="35"/>
  <c r="GA1763"/>
  <c r="BM1763"/>
  <c r="Y1784" s="1"/>
  <c r="DO1763"/>
  <c r="DC1763"/>
  <c r="AA1788" s="1"/>
  <c r="BT1763"/>
  <c r="AA1777" s="1"/>
  <c r="AC62" i="36"/>
  <c r="AC63" s="1"/>
  <c r="J1777" i="35"/>
  <c r="FF48" i="36"/>
  <c r="J89" s="1"/>
  <c r="FL48"/>
  <c r="AB88" s="1"/>
  <c r="FQ48"/>
  <c r="AB87" s="1"/>
  <c r="FA48"/>
  <c r="AA86" s="1"/>
  <c r="ET48"/>
  <c r="Y85" s="1"/>
  <c r="FH48"/>
  <c r="AC89" s="1"/>
  <c r="FD48"/>
  <c r="H89" s="1"/>
  <c r="FJ48"/>
  <c r="I88" s="1"/>
  <c r="FO48"/>
  <c r="I87" s="1"/>
  <c r="EV48"/>
  <c r="J85" s="1"/>
  <c r="AA89"/>
  <c r="AB89"/>
  <c r="AC88"/>
  <c r="CI48"/>
  <c r="DO48"/>
  <c r="DI48"/>
  <c r="K74" s="1"/>
  <c r="DC48"/>
  <c r="J73" s="1"/>
  <c r="DK48"/>
  <c r="DY48"/>
  <c r="AC77" s="1"/>
  <c r="DS48"/>
  <c r="AB76" s="1"/>
  <c r="EA48"/>
  <c r="DU48"/>
  <c r="H77" s="1"/>
  <c r="ES48"/>
  <c r="EG48"/>
  <c r="AA79" s="1"/>
  <c r="BH48"/>
  <c r="Y70" s="1"/>
  <c r="BI48"/>
  <c r="I70" s="1"/>
  <c r="FU1763" i="35"/>
  <c r="GC1763"/>
  <c r="GU1763"/>
  <c r="AC87" i="36"/>
  <c r="AF48"/>
  <c r="DR1763" i="35"/>
  <c r="AA1791" s="1"/>
  <c r="EV1763"/>
  <c r="AA1800" s="1"/>
  <c r="EU1763"/>
  <c r="CZ1763"/>
  <c r="AC1812" s="1"/>
  <c r="CX1763"/>
  <c r="CV1763"/>
  <c r="Y1812" s="1"/>
  <c r="Y77" i="36"/>
  <c r="BC48"/>
  <c r="BE48"/>
  <c r="I69"/>
  <c r="CF48"/>
  <c r="CE48"/>
  <c r="CD48"/>
  <c r="CC48"/>
  <c r="J79"/>
  <c r="Z70"/>
  <c r="CK48"/>
  <c r="CJ48"/>
  <c r="AH48"/>
  <c r="AG48"/>
  <c r="HG48"/>
  <c r="GQ48"/>
  <c r="GP48"/>
  <c r="GU48"/>
  <c r="GT48"/>
  <c r="GS48"/>
  <c r="GR48"/>
  <c r="DD48"/>
  <c r="DM48"/>
  <c r="DH48"/>
  <c r="DF48"/>
  <c r="DA48"/>
  <c r="ED48"/>
  <c r="EB48"/>
  <c r="DW48"/>
  <c r="DR48"/>
  <c r="DP48"/>
  <c r="BM48"/>
  <c r="AE1763" i="35"/>
  <c r="AG1763"/>
  <c r="AN1763"/>
  <c r="AP1763"/>
  <c r="AR1763"/>
  <c r="BF1763"/>
  <c r="CG1763"/>
  <c r="CI1763"/>
  <c r="GM1763"/>
  <c r="GO1763"/>
  <c r="GQ1763"/>
  <c r="GS1763"/>
  <c r="DK1763"/>
  <c r="DF1763"/>
  <c r="H1789" s="1"/>
  <c r="DA1763"/>
  <c r="ED1763"/>
  <c r="DY1763"/>
  <c r="DT1763"/>
  <c r="AC1791" s="1"/>
  <c r="DX1763"/>
  <c r="AB1792" s="1"/>
  <c r="DS1763"/>
  <c r="K1791" s="1"/>
  <c r="EB1763"/>
  <c r="EM48" i="36"/>
  <c r="EH48"/>
  <c r="EQ48"/>
  <c r="EL48"/>
  <c r="BJ48"/>
  <c r="EJ1763" i="35"/>
  <c r="DL1763"/>
  <c r="DG1763"/>
  <c r="GV48" i="36"/>
  <c r="EP48"/>
  <c r="EK48"/>
  <c r="EF48"/>
  <c r="BQ48"/>
  <c r="BP48"/>
  <c r="BO48"/>
  <c r="AC1763" i="35"/>
  <c r="X1763"/>
  <c r="AC1772" s="1"/>
  <c r="Y1763"/>
  <c r="T1763"/>
  <c r="Y1772" s="1"/>
  <c r="CH48" i="36"/>
  <c r="CG48"/>
  <c r="AE48"/>
  <c r="AD48"/>
  <c r="DJ48"/>
  <c r="DE48"/>
  <c r="DN48"/>
  <c r="DL48"/>
  <c r="DG48"/>
  <c r="DB48"/>
  <c r="DT48"/>
  <c r="EC48"/>
  <c r="DX48"/>
  <c r="AB77" s="1"/>
  <c r="DV48"/>
  <c r="DQ48"/>
  <c r="Z76" s="1"/>
  <c r="DZ48"/>
  <c r="EN48"/>
  <c r="AC80" s="1"/>
  <c r="EI48"/>
  <c r="ER48"/>
  <c r="EJ48"/>
  <c r="BL48"/>
  <c r="BK48"/>
  <c r="AB70" s="1"/>
  <c r="GY1763" i="35"/>
  <c r="HA1763"/>
  <c r="HC1763"/>
  <c r="HG1763"/>
  <c r="HI1763"/>
  <c r="AV1763"/>
  <c r="AB1781" s="1"/>
  <c r="AT1763"/>
  <c r="BQ1763"/>
  <c r="AC1784" s="1"/>
  <c r="BJ1763"/>
  <c r="BO1763"/>
  <c r="AA1784" s="1"/>
  <c r="DJ1763"/>
  <c r="DE1763"/>
  <c r="AC1788" s="1"/>
  <c r="DI1763"/>
  <c r="AB1789" s="1"/>
  <c r="DD1763"/>
  <c r="K1788" s="1"/>
  <c r="DM1763"/>
  <c r="EA1763"/>
  <c r="DV1763"/>
  <c r="Z1792" s="1"/>
  <c r="DZ1763"/>
  <c r="ES1763"/>
  <c r="EN1763"/>
  <c r="L1795" s="1"/>
  <c r="EI1763"/>
  <c r="AC1794" s="1"/>
  <c r="ER1763"/>
  <c r="EM1763"/>
  <c r="K1795" s="1"/>
  <c r="EH1763"/>
  <c r="K1794" s="1"/>
  <c r="EQ1763"/>
  <c r="EG1763"/>
  <c r="AA1794" s="1"/>
  <c r="EP1763"/>
  <c r="EK1763"/>
  <c r="Z1795" s="1"/>
  <c r="EO1763"/>
  <c r="CF1763"/>
  <c r="AC1808" s="1"/>
  <c r="CA1763"/>
  <c r="CO1763"/>
  <c r="AB1810" s="1"/>
  <c r="CD1763"/>
  <c r="AA1808" s="1"/>
  <c r="BY1763"/>
  <c r="J1807" s="1"/>
  <c r="CM1763"/>
  <c r="Z1810" s="1"/>
  <c r="CB1763"/>
  <c r="H1808" s="1"/>
  <c r="AA1763"/>
  <c r="V1763"/>
  <c r="AA1772" s="1"/>
  <c r="H73" i="36"/>
  <c r="Y73"/>
  <c r="J77"/>
  <c r="AA77"/>
  <c r="I80"/>
  <c r="Z80"/>
  <c r="AB69"/>
  <c r="K69"/>
  <c r="L73"/>
  <c r="AC73"/>
  <c r="I74"/>
  <c r="Z74"/>
  <c r="I76"/>
  <c r="L79"/>
  <c r="AC79"/>
  <c r="K80"/>
  <c r="AB80"/>
  <c r="H1784" i="35"/>
  <c r="BG48" i="36"/>
  <c r="J74"/>
  <c r="AA74"/>
  <c r="I73"/>
  <c r="Z73"/>
  <c r="K77"/>
  <c r="J76"/>
  <c r="AA76"/>
  <c r="K79"/>
  <c r="AB79"/>
  <c r="H80"/>
  <c r="Y80"/>
  <c r="Y69"/>
  <c r="H69"/>
  <c r="AA70"/>
  <c r="J70"/>
  <c r="AA69"/>
  <c r="J69"/>
  <c r="J71" s="1"/>
  <c r="Z1781" i="35"/>
  <c r="I1781"/>
  <c r="Z1789"/>
  <c r="I1789"/>
  <c r="L1772"/>
  <c r="L74" i="36"/>
  <c r="AC74"/>
  <c r="AC75" s="1"/>
  <c r="K73"/>
  <c r="AB73"/>
  <c r="H74"/>
  <c r="Y74"/>
  <c r="L76"/>
  <c r="AC76"/>
  <c r="I77"/>
  <c r="Z77"/>
  <c r="H76"/>
  <c r="Y76"/>
  <c r="J80"/>
  <c r="J81" s="1"/>
  <c r="AA80"/>
  <c r="I79"/>
  <c r="Z79"/>
  <c r="AC70"/>
  <c r="L70"/>
  <c r="AC69"/>
  <c r="L69"/>
  <c r="L71" s="1"/>
  <c r="J1784" i="35"/>
  <c r="Y1788"/>
  <c r="H1788"/>
  <c r="I1795"/>
  <c r="I1810"/>
  <c r="J1772"/>
  <c r="HA48" i="36"/>
  <c r="GZ48"/>
  <c r="GY48"/>
  <c r="GX48"/>
  <c r="GW48"/>
  <c r="HF48"/>
  <c r="HE48"/>
  <c r="HD48"/>
  <c r="HC48"/>
  <c r="HB48"/>
  <c r="HK48"/>
  <c r="HJ48"/>
  <c r="HI48"/>
  <c r="HH48"/>
  <c r="GO48"/>
  <c r="GN48"/>
  <c r="CO48"/>
  <c r="CM48"/>
  <c r="CB48"/>
  <c r="AD70"/>
  <c r="CP48"/>
  <c r="CN48"/>
  <c r="CL48"/>
  <c r="CA48"/>
  <c r="BZ48"/>
  <c r="BY48"/>
  <c r="BX48"/>
  <c r="AD67"/>
  <c r="GW1763" i="35"/>
  <c r="Y71" i="36"/>
  <c r="AD69"/>
  <c r="M66"/>
  <c r="K67"/>
  <c r="I67"/>
  <c r="AC71"/>
  <c r="AA71"/>
  <c r="M61"/>
  <c r="M65"/>
  <c r="H67"/>
  <c r="L67"/>
  <c r="J67"/>
  <c r="AB71"/>
  <c r="Z71"/>
  <c r="H70"/>
  <c r="K70"/>
  <c r="K71" s="1"/>
  <c r="BD1763" i="35"/>
  <c r="CK1763"/>
  <c r="AY1763"/>
  <c r="I1780" s="1"/>
  <c r="I1782" s="1"/>
  <c r="EC1763"/>
  <c r="DW1763"/>
  <c r="J1792" s="1"/>
  <c r="DQ1763"/>
  <c r="Z1791" s="1"/>
  <c r="EL1763"/>
  <c r="AA1795" s="1"/>
  <c r="EF1763"/>
  <c r="Z1794" s="1"/>
  <c r="BW1763"/>
  <c r="H1807" s="1"/>
  <c r="AL1763"/>
  <c r="AJ1763"/>
  <c r="I1775" s="1"/>
  <c r="H78"/>
  <c r="H82" s="1"/>
  <c r="A1763"/>
  <c r="A1722" s="1"/>
  <c r="HE1763"/>
  <c r="BA1763"/>
  <c r="AB1780" s="1"/>
  <c r="AB1782" s="1"/>
  <c r="BL1763"/>
  <c r="AC1785" s="1"/>
  <c r="BH1763"/>
  <c r="Y1785" s="1"/>
  <c r="Y1786" s="1"/>
  <c r="DN1763"/>
  <c r="DH1763"/>
  <c r="AA1789" s="1"/>
  <c r="DB1763"/>
  <c r="I1788" s="1"/>
  <c r="DU1763"/>
  <c r="H1792" s="1"/>
  <c r="J159" i="15"/>
  <c r="J123"/>
  <c r="J140" s="1"/>
  <c r="J142" s="1"/>
  <c r="J144" s="1"/>
  <c r="S123"/>
  <c r="G123"/>
  <c r="H403" i="35" s="1"/>
  <c r="H404" s="1"/>
  <c r="C1918"/>
  <c r="Z1780"/>
  <c r="Z1782" s="1"/>
  <c r="AA1785"/>
  <c r="J1785"/>
  <c r="AC1789"/>
  <c r="L1789"/>
  <c r="Y1789"/>
  <c r="Y1790" s="1"/>
  <c r="I1791"/>
  <c r="I1794"/>
  <c r="AC1807"/>
  <c r="L1807"/>
  <c r="Y1807"/>
  <c r="K1775"/>
  <c r="AB1775"/>
  <c r="H35" i="8"/>
  <c r="B37"/>
  <c r="H38"/>
  <c r="D38"/>
  <c r="E70"/>
  <c r="I74"/>
  <c r="E74"/>
  <c r="K72"/>
  <c r="G72"/>
  <c r="C72"/>
  <c r="B1913" i="35"/>
  <c r="C1927"/>
  <c r="H1926"/>
  <c r="B1920"/>
  <c r="C32" i="8"/>
  <c r="K1780" i="35"/>
  <c r="Z1788"/>
  <c r="AC1792"/>
  <c r="L1792"/>
  <c r="AC1795"/>
  <c r="AC1796" s="1"/>
  <c r="Y1795"/>
  <c r="H1795"/>
  <c r="J1800"/>
  <c r="AA1812"/>
  <c r="J1812"/>
  <c r="L1773"/>
  <c r="AC1773"/>
  <c r="J1773"/>
  <c r="AA1773"/>
  <c r="H1773"/>
  <c r="Y1773"/>
  <c r="AD1763"/>
  <c r="AH1763"/>
  <c r="AQ1763"/>
  <c r="BE1763"/>
  <c r="CH1763"/>
  <c r="CQ1763"/>
  <c r="CU1763"/>
  <c r="FV1763"/>
  <c r="FZ1763"/>
  <c r="GD1763"/>
  <c r="GH1763"/>
  <c r="GP1763"/>
  <c r="GT1763"/>
  <c r="GX1763"/>
  <c r="HB1763"/>
  <c r="HF1763"/>
  <c r="HJ1763"/>
  <c r="AW1763"/>
  <c r="AC1781" s="1"/>
  <c r="BB1763"/>
  <c r="AU1763"/>
  <c r="AA1781" s="1"/>
  <c r="AZ1763"/>
  <c r="AS1763"/>
  <c r="Y1781" s="1"/>
  <c r="AD1781" s="1"/>
  <c r="AX1763"/>
  <c r="AC1790"/>
  <c r="ET1763"/>
  <c r="FC1763"/>
  <c r="AC1801" s="1"/>
  <c r="FB1763"/>
  <c r="FA1763"/>
  <c r="AA1801" s="1"/>
  <c r="EZ1763"/>
  <c r="EY1763"/>
  <c r="Y1801" s="1"/>
  <c r="FR1763"/>
  <c r="FQ1763"/>
  <c r="K1802" s="1"/>
  <c r="FP1763"/>
  <c r="FO1763"/>
  <c r="I1802" s="1"/>
  <c r="FN1763"/>
  <c r="FM1763"/>
  <c r="AC1803" s="1"/>
  <c r="FL1763"/>
  <c r="FK1763"/>
  <c r="AA1803" s="1"/>
  <c r="FJ1763"/>
  <c r="FI1763"/>
  <c r="Y1803" s="1"/>
  <c r="FH1763"/>
  <c r="FG1763"/>
  <c r="K1804" s="1"/>
  <c r="FF1763"/>
  <c r="FE1763"/>
  <c r="I1804" s="1"/>
  <c r="FD1763"/>
  <c r="CP1763"/>
  <c r="AC1810" s="1"/>
  <c r="CY1763"/>
  <c r="CN1763"/>
  <c r="AA1810" s="1"/>
  <c r="CW1763"/>
  <c r="CL1763"/>
  <c r="Y1810" s="1"/>
  <c r="L1763"/>
  <c r="L1764" s="1"/>
  <c r="G1817" s="1"/>
  <c r="AB1763"/>
  <c r="W1763"/>
  <c r="Z1763"/>
  <c r="U1763"/>
  <c r="B1910"/>
  <c r="S1619"/>
  <c r="J1651"/>
  <c r="J1653" s="1"/>
  <c r="J1655" s="1"/>
  <c r="P1619"/>
  <c r="P1636" s="1"/>
  <c r="P1638" s="1"/>
  <c r="P1640" s="1"/>
  <c r="D58" i="8"/>
  <c r="D74" s="1"/>
  <c r="F58"/>
  <c r="H58"/>
  <c r="H74" s="1"/>
  <c r="J58"/>
  <c r="B93"/>
  <c r="D93"/>
  <c r="G93"/>
  <c r="K93"/>
  <c r="E128"/>
  <c r="E139" s="1"/>
  <c r="AF1763" i="35"/>
  <c r="AO1763"/>
  <c r="BC1763"/>
  <c r="BG1763"/>
  <c r="CJ1763"/>
  <c r="CS1763"/>
  <c r="FT1763"/>
  <c r="FX1763"/>
  <c r="GB1763"/>
  <c r="GF1763"/>
  <c r="GN1763"/>
  <c r="GR1763"/>
  <c r="GV1763"/>
  <c r="GZ1763"/>
  <c r="HD1763"/>
  <c r="HH1763"/>
  <c r="K1781"/>
  <c r="BK1763"/>
  <c r="K1785" s="1"/>
  <c r="BP1763"/>
  <c r="AB1784" s="1"/>
  <c r="BI1763"/>
  <c r="I1785" s="1"/>
  <c r="BN1763"/>
  <c r="I1784" s="1"/>
  <c r="K1789"/>
  <c r="K1792"/>
  <c r="L1794"/>
  <c r="K1800"/>
  <c r="CE1763"/>
  <c r="K1808" s="1"/>
  <c r="BZ1763"/>
  <c r="AB1807" s="1"/>
  <c r="CC1763"/>
  <c r="Z1808" s="1"/>
  <c r="BX1763"/>
  <c r="Z1807" s="1"/>
  <c r="AM1763"/>
  <c r="BU1763"/>
  <c r="AK1763"/>
  <c r="BS1763"/>
  <c r="AI1763"/>
  <c r="C46" i="8"/>
  <c r="C1934" i="35" s="1"/>
  <c r="B1919"/>
  <c r="J1919"/>
  <c r="H1919"/>
  <c r="F1919"/>
  <c r="D1919"/>
  <c r="E1954"/>
  <c r="I1954"/>
  <c r="C1989"/>
  <c r="G1989"/>
  <c r="K1989"/>
  <c r="C136" i="8"/>
  <c r="E136"/>
  <c r="H95"/>
  <c r="H1983" i="35" s="1"/>
  <c r="C95" i="8"/>
  <c r="K95"/>
  <c r="I1959" i="35"/>
  <c r="I1960"/>
  <c r="I1961"/>
  <c r="I1962"/>
  <c r="K1927"/>
  <c r="B95" i="8"/>
  <c r="E95"/>
  <c r="J95"/>
  <c r="J1983" i="35" s="1"/>
  <c r="C130" i="8"/>
  <c r="E1959" i="35"/>
  <c r="E1961"/>
  <c r="E1960"/>
  <c r="E1962"/>
  <c r="H1925"/>
  <c r="D95" i="8"/>
  <c r="F95"/>
  <c r="F1983" i="35" s="1"/>
  <c r="G95" i="8"/>
  <c r="I95"/>
  <c r="B130"/>
  <c r="B2018" i="35" s="1"/>
  <c r="F130" i="8"/>
  <c r="F144" s="1"/>
  <c r="G1927" i="35"/>
  <c r="C1959"/>
  <c r="C1960"/>
  <c r="C1961"/>
  <c r="C1962"/>
  <c r="K1959"/>
  <c r="K1960"/>
  <c r="K1961"/>
  <c r="K1962"/>
  <c r="C1930"/>
  <c r="G1959"/>
  <c r="G1960"/>
  <c r="G1961"/>
  <c r="G1962"/>
  <c r="I1926"/>
  <c r="E1926"/>
  <c r="I1925"/>
  <c r="E1925"/>
  <c r="J1927"/>
  <c r="I1927"/>
  <c r="E1927"/>
  <c r="K1926"/>
  <c r="J1926"/>
  <c r="G1926"/>
  <c r="F1926"/>
  <c r="C1926"/>
  <c r="K1925"/>
  <c r="G1925"/>
  <c r="C1925"/>
  <c r="D130" i="8"/>
  <c r="E130"/>
  <c r="D42"/>
  <c r="D1930" i="35" s="1"/>
  <c r="L1781"/>
  <c r="L1780"/>
  <c r="AC1780"/>
  <c r="J1781"/>
  <c r="J1780"/>
  <c r="AA1780"/>
  <c r="H1781"/>
  <c r="M1781" s="1"/>
  <c r="H1780"/>
  <c r="Y1780"/>
  <c r="F35" i="8"/>
  <c r="D35"/>
  <c r="H39"/>
  <c r="F39"/>
  <c r="D39"/>
  <c r="K38"/>
  <c r="I38"/>
  <c r="G38"/>
  <c r="E38"/>
  <c r="C38"/>
  <c r="J37"/>
  <c r="F37"/>
  <c r="D37"/>
  <c r="J74"/>
  <c r="F74"/>
  <c r="K73"/>
  <c r="G73"/>
  <c r="E73"/>
  <c r="C73"/>
  <c r="J72"/>
  <c r="H72"/>
  <c r="F72"/>
  <c r="D72"/>
  <c r="I1800" i="35"/>
  <c r="Z1800"/>
  <c r="Y1800"/>
  <c r="H1800"/>
  <c r="L1801"/>
  <c r="K1801"/>
  <c r="AB1801"/>
  <c r="I1801"/>
  <c r="Z1801"/>
  <c r="H1801"/>
  <c r="AC1802"/>
  <c r="L1802"/>
  <c r="AA1802"/>
  <c r="J1802"/>
  <c r="Z1802"/>
  <c r="Y1802"/>
  <c r="H1802"/>
  <c r="K1803"/>
  <c r="AB1803"/>
  <c r="J1803"/>
  <c r="I1803"/>
  <c r="Z1803"/>
  <c r="AC1804"/>
  <c r="L1804"/>
  <c r="AB1804"/>
  <c r="AA1804"/>
  <c r="J1804"/>
  <c r="Y1804"/>
  <c r="H1804"/>
  <c r="L1810"/>
  <c r="AB1812"/>
  <c r="K1812"/>
  <c r="J1810"/>
  <c r="Z1812"/>
  <c r="I1812"/>
  <c r="H1810"/>
  <c r="J1774"/>
  <c r="AB1785"/>
  <c r="K1784"/>
  <c r="Z1785"/>
  <c r="Z1784"/>
  <c r="AB1808"/>
  <c r="K1807"/>
  <c r="I1808"/>
  <c r="I1807"/>
  <c r="C143" i="8"/>
  <c r="F142"/>
  <c r="E33" i="15"/>
  <c r="Z1790" i="35"/>
  <c r="AC1809"/>
  <c r="L1785"/>
  <c r="L1788"/>
  <c r="L1800"/>
  <c r="F93" i="8"/>
  <c r="H93"/>
  <c r="J93"/>
  <c r="B128"/>
  <c r="D128"/>
  <c r="L95" i="36"/>
  <c r="AC95"/>
  <c r="K95"/>
  <c r="AB95"/>
  <c r="J95"/>
  <c r="AA95"/>
  <c r="I95"/>
  <c r="Z95"/>
  <c r="H95"/>
  <c r="M95" s="1"/>
  <c r="Y95"/>
  <c r="AD95" s="1"/>
  <c r="L93"/>
  <c r="AC93"/>
  <c r="L92"/>
  <c r="L94" s="1"/>
  <c r="L96" s="1"/>
  <c r="AC92"/>
  <c r="AC94" s="1"/>
  <c r="AC96" s="1"/>
  <c r="K93"/>
  <c r="AB93"/>
  <c r="K92"/>
  <c r="K94" s="1"/>
  <c r="K96" s="1"/>
  <c r="K98" s="1"/>
  <c r="AB92"/>
  <c r="AB94" s="1"/>
  <c r="AB96" s="1"/>
  <c r="AB98" s="1"/>
  <c r="J93"/>
  <c r="AA93"/>
  <c r="J92"/>
  <c r="J94" s="1"/>
  <c r="J96" s="1"/>
  <c r="AA92"/>
  <c r="AA94" s="1"/>
  <c r="AA96" s="1"/>
  <c r="AA98" s="1"/>
  <c r="I93"/>
  <c r="Z93"/>
  <c r="I92"/>
  <c r="Z92"/>
  <c r="H93"/>
  <c r="Y93"/>
  <c r="F1901" i="35" l="1"/>
  <c r="E1909"/>
  <c r="E1903"/>
  <c r="E1902"/>
  <c r="E1907"/>
  <c r="H50" i="3"/>
  <c r="H51" s="1"/>
  <c r="L1774" i="35"/>
  <c r="Z75" i="36"/>
  <c r="E20" i="8"/>
  <c r="F13"/>
  <c r="D1910" i="35"/>
  <c r="D1921" s="1"/>
  <c r="D1904"/>
  <c r="D1928" s="1"/>
  <c r="Y61" i="36"/>
  <c r="AD61" s="1"/>
  <c r="AD59"/>
  <c r="Q59" s="1"/>
  <c r="F1927" i="35"/>
  <c r="F38" i="8"/>
  <c r="F34"/>
  <c r="L1812" i="35"/>
  <c r="L1791"/>
  <c r="E143" i="8"/>
  <c r="Z1804" i="35"/>
  <c r="H1803"/>
  <c r="L1803"/>
  <c r="AB1802"/>
  <c r="J1801"/>
  <c r="I73" i="8"/>
  <c r="H37"/>
  <c r="L1808" i="35"/>
  <c r="H1812"/>
  <c r="AB1794"/>
  <c r="AB1791"/>
  <c r="AB1793" s="1"/>
  <c r="AC1793"/>
  <c r="H1785"/>
  <c r="H1786" s="1"/>
  <c r="Z1775"/>
  <c r="AA1807"/>
  <c r="J1795"/>
  <c r="M1795" s="1"/>
  <c r="AA1792"/>
  <c r="AB1788"/>
  <c r="Y1808"/>
  <c r="Y1809" s="1"/>
  <c r="K1810"/>
  <c r="M1810" s="1"/>
  <c r="J1794"/>
  <c r="L1784"/>
  <c r="L1786" s="1"/>
  <c r="H1772"/>
  <c r="H1774" s="1"/>
  <c r="J1788"/>
  <c r="E72" i="8"/>
  <c r="J34"/>
  <c r="J38"/>
  <c r="J35"/>
  <c r="C105"/>
  <c r="C104"/>
  <c r="B41"/>
  <c r="B35"/>
  <c r="B38"/>
  <c r="B34"/>
  <c r="I89" i="36"/>
  <c r="AB86"/>
  <c r="AA78"/>
  <c r="G102"/>
  <c r="D19" i="8"/>
  <c r="F19"/>
  <c r="I105"/>
  <c r="I104"/>
  <c r="B74"/>
  <c r="B72"/>
  <c r="B73"/>
  <c r="B70"/>
  <c r="B69"/>
  <c r="I72"/>
  <c r="I69"/>
  <c r="AB1786" i="35"/>
  <c r="AA1786"/>
  <c r="AC1786"/>
  <c r="H1790"/>
  <c r="E105" i="8"/>
  <c r="E104"/>
  <c r="G74"/>
  <c r="G70"/>
  <c r="G69"/>
  <c r="K37"/>
  <c r="K39"/>
  <c r="K35"/>
  <c r="K34"/>
  <c r="G37"/>
  <c r="G39"/>
  <c r="G34"/>
  <c r="C37"/>
  <c r="C39"/>
  <c r="C34"/>
  <c r="AD1812" i="35"/>
  <c r="B1921"/>
  <c r="AD1807"/>
  <c r="L1796"/>
  <c r="J1786"/>
  <c r="I1790"/>
  <c r="C35" i="8"/>
  <c r="K70"/>
  <c r="K74"/>
  <c r="K69"/>
  <c r="C70"/>
  <c r="C74"/>
  <c r="C69"/>
  <c r="I39"/>
  <c r="I37"/>
  <c r="I35"/>
  <c r="I34"/>
  <c r="E39"/>
  <c r="E37"/>
  <c r="E35"/>
  <c r="E34"/>
  <c r="AD1785" i="35"/>
  <c r="Y1774"/>
  <c r="AA1774"/>
  <c r="AC1774"/>
  <c r="H1809"/>
  <c r="C140" i="8"/>
  <c r="C19"/>
  <c r="E19"/>
  <c r="L80" i="36"/>
  <c r="L81" s="1"/>
  <c r="J78"/>
  <c r="Z1796" i="35"/>
  <c r="AB1795"/>
  <c r="I81" i="36"/>
  <c r="I1792" i="35"/>
  <c r="I1793" s="1"/>
  <c r="AC81" i="36"/>
  <c r="I78"/>
  <c r="Y1792" i="35"/>
  <c r="Y1793" s="1"/>
  <c r="J1789"/>
  <c r="M80" i="36"/>
  <c r="L75"/>
  <c r="AA1796" i="35"/>
  <c r="AA1790"/>
  <c r="AD1789"/>
  <c r="AB81" i="36"/>
  <c r="K81"/>
  <c r="I75"/>
  <c r="H75"/>
  <c r="Z1793" i="35"/>
  <c r="K1796"/>
  <c r="M1788"/>
  <c r="H85" i="36"/>
  <c r="AD86"/>
  <c r="Z88"/>
  <c r="AD88" s="1"/>
  <c r="L89"/>
  <c r="M89" s="1"/>
  <c r="K87"/>
  <c r="M87" s="1"/>
  <c r="K76"/>
  <c r="AB74"/>
  <c r="AB75" s="1"/>
  <c r="L77"/>
  <c r="L78" s="1"/>
  <c r="AA73"/>
  <c r="AA75" s="1"/>
  <c r="I1786" i="35"/>
  <c r="K1786"/>
  <c r="J75" i="36"/>
  <c r="M73"/>
  <c r="AC78"/>
  <c r="I71"/>
  <c r="AB78"/>
  <c r="M74"/>
  <c r="AA81"/>
  <c r="AD76"/>
  <c r="H1791" i="35"/>
  <c r="H1793" s="1"/>
  <c r="H78" i="36"/>
  <c r="K75"/>
  <c r="Y1794" i="35"/>
  <c r="J98" i="36"/>
  <c r="H62"/>
  <c r="H63" s="1"/>
  <c r="M63" s="1"/>
  <c r="AA62"/>
  <c r="AA63" s="1"/>
  <c r="AC1777" i="35"/>
  <c r="Z62" i="36"/>
  <c r="Z63" s="1"/>
  <c r="AB62"/>
  <c r="AB63" s="1"/>
  <c r="B15" i="8"/>
  <c r="AC1811" i="35"/>
  <c r="AC1813" s="1"/>
  <c r="J1808"/>
  <c r="M1808" s="1"/>
  <c r="AC97" i="36"/>
  <c r="AC98" s="1"/>
  <c r="AA1809" i="35"/>
  <c r="AA1811" s="1"/>
  <c r="AA1813" s="1"/>
  <c r="AD1808"/>
  <c r="AD1810"/>
  <c r="Y97" i="36"/>
  <c r="AD97" s="1"/>
  <c r="H81"/>
  <c r="M79"/>
  <c r="Y89"/>
  <c r="AD89" s="1"/>
  <c r="K88"/>
  <c r="M88" s="1"/>
  <c r="M97"/>
  <c r="H1796" i="35"/>
  <c r="P81"/>
  <c r="L98" i="36"/>
  <c r="AA85"/>
  <c r="AD85" s="1"/>
  <c r="D14" i="8"/>
  <c r="E14"/>
  <c r="C14"/>
  <c r="F14"/>
  <c r="J1791" i="35"/>
  <c r="J1793" s="1"/>
  <c r="Z87" i="36"/>
  <c r="AD87" s="1"/>
  <c r="J86"/>
  <c r="M86" s="1"/>
  <c r="Y63"/>
  <c r="Q1781" i="35"/>
  <c r="AA1782"/>
  <c r="AC1782"/>
  <c r="AA1793"/>
  <c r="AD1791"/>
  <c r="M85" i="36"/>
  <c r="Y78"/>
  <c r="Z81"/>
  <c r="AD79"/>
  <c r="Z78"/>
  <c r="AD77"/>
  <c r="Y75"/>
  <c r="Y81"/>
  <c r="AD80"/>
  <c r="Q80" s="1"/>
  <c r="M69"/>
  <c r="Q69" s="1"/>
  <c r="I50" i="7"/>
  <c r="I79" i="35"/>
  <c r="Q66" i="36"/>
  <c r="M67"/>
  <c r="Q67" s="1"/>
  <c r="AD71"/>
  <c r="H71"/>
  <c r="M71" s="1"/>
  <c r="M70"/>
  <c r="Q70" s="1"/>
  <c r="I80" i="35"/>
  <c r="I51" i="7"/>
  <c r="Q65" i="36"/>
  <c r="P170" i="35"/>
  <c r="M32" i="11"/>
  <c r="P140" i="7"/>
  <c r="M2524" i="35"/>
  <c r="P169"/>
  <c r="P141" i="7"/>
  <c r="Q61" i="36"/>
  <c r="I1809" i="35"/>
  <c r="I1811" s="1"/>
  <c r="I1813" s="1"/>
  <c r="K1809"/>
  <c r="K1811" s="1"/>
  <c r="K1813" s="1"/>
  <c r="S394"/>
  <c r="S393"/>
  <c r="S41" i="3"/>
  <c r="H1775" i="35"/>
  <c r="H1776" s="1"/>
  <c r="Y1775"/>
  <c r="Y1776" s="1"/>
  <c r="Y1778" s="1"/>
  <c r="J1775"/>
  <c r="J1776" s="1"/>
  <c r="J1778" s="1"/>
  <c r="AA1775"/>
  <c r="AA1776" s="1"/>
  <c r="AA1778" s="1"/>
  <c r="L1775"/>
  <c r="AC1775"/>
  <c r="AC1776" s="1"/>
  <c r="G105" i="8"/>
  <c r="G104"/>
  <c r="B105"/>
  <c r="B104"/>
  <c r="H73"/>
  <c r="H70"/>
  <c r="H69"/>
  <c r="D73"/>
  <c r="D70"/>
  <c r="D69"/>
  <c r="I1773" i="35"/>
  <c r="Z1773"/>
  <c r="K1773"/>
  <c r="AB1773"/>
  <c r="L1793"/>
  <c r="AD1804"/>
  <c r="AD1803"/>
  <c r="AD1802"/>
  <c r="AD1801"/>
  <c r="AD1800"/>
  <c r="E140" i="8"/>
  <c r="I1777" i="35"/>
  <c r="Z1777"/>
  <c r="K1777"/>
  <c r="AB1777"/>
  <c r="K105" i="8"/>
  <c r="K104"/>
  <c r="D105"/>
  <c r="D104"/>
  <c r="J73"/>
  <c r="J70"/>
  <c r="J69"/>
  <c r="F73"/>
  <c r="F70"/>
  <c r="F69"/>
  <c r="I1772" i="35"/>
  <c r="Z1772"/>
  <c r="K1772"/>
  <c r="AB1772"/>
  <c r="C1920"/>
  <c r="D32" i="8"/>
  <c r="B1924" i="35"/>
  <c r="B1926"/>
  <c r="B1927"/>
  <c r="B1925"/>
  <c r="I1796"/>
  <c r="M1794"/>
  <c r="D1918"/>
  <c r="E30" i="8"/>
  <c r="K1793" i="35"/>
  <c r="K1782"/>
  <c r="L1809"/>
  <c r="L1811" s="1"/>
  <c r="L1813" s="1"/>
  <c r="K1790"/>
  <c r="C2024"/>
  <c r="E2024"/>
  <c r="D46" i="8"/>
  <c r="H1994" i="35"/>
  <c r="H1996"/>
  <c r="H1995"/>
  <c r="H1997"/>
  <c r="K1983"/>
  <c r="K107" i="8"/>
  <c r="K108"/>
  <c r="K109"/>
  <c r="C1983" i="35"/>
  <c r="C107" i="8"/>
  <c r="C108"/>
  <c r="C109"/>
  <c r="C2018" i="35"/>
  <c r="C142" i="8"/>
  <c r="C144"/>
  <c r="E1983" i="35"/>
  <c r="E107" i="8"/>
  <c r="E109"/>
  <c r="E108"/>
  <c r="J1994" i="35"/>
  <c r="J1995"/>
  <c r="J1997"/>
  <c r="J1996"/>
  <c r="B1983"/>
  <c r="B109" i="8"/>
  <c r="B107"/>
  <c r="B108"/>
  <c r="F2018" i="35"/>
  <c r="F143" i="8"/>
  <c r="I1983" i="35"/>
  <c r="I107" i="8"/>
  <c r="I108"/>
  <c r="I109"/>
  <c r="F1994" i="35"/>
  <c r="F1995"/>
  <c r="F1996"/>
  <c r="F1997"/>
  <c r="E42" i="8"/>
  <c r="B2029" i="35"/>
  <c r="B2030"/>
  <c r="B2031"/>
  <c r="B2032"/>
  <c r="G1983"/>
  <c r="G107" i="8"/>
  <c r="G108"/>
  <c r="G109"/>
  <c r="D1983" i="35"/>
  <c r="D107" i="8"/>
  <c r="D108"/>
  <c r="D109"/>
  <c r="E142"/>
  <c r="E2018" i="35"/>
  <c r="E144" i="8"/>
  <c r="D2018" i="35"/>
  <c r="D139" i="8"/>
  <c r="D142"/>
  <c r="D144"/>
  <c r="D143"/>
  <c r="J107"/>
  <c r="J109"/>
  <c r="J105"/>
  <c r="J104"/>
  <c r="J108"/>
  <c r="Y1811" i="35"/>
  <c r="B139" i="8"/>
  <c r="B142"/>
  <c r="B144"/>
  <c r="B143"/>
  <c r="H107"/>
  <c r="H109"/>
  <c r="H105"/>
  <c r="H104"/>
  <c r="H108"/>
  <c r="H1782" i="35"/>
  <c r="M1780"/>
  <c r="L1790"/>
  <c r="Z1809"/>
  <c r="Z1811" s="1"/>
  <c r="Z1813" s="1"/>
  <c r="AB1809"/>
  <c r="AB1811" s="1"/>
  <c r="AB1813" s="1"/>
  <c r="M1785"/>
  <c r="M1807"/>
  <c r="Q1807" s="1"/>
  <c r="M1812"/>
  <c r="Q1812" s="1"/>
  <c r="M1804"/>
  <c r="M1803"/>
  <c r="Q1803" s="1"/>
  <c r="M1802"/>
  <c r="M1801"/>
  <c r="Q1801" s="1"/>
  <c r="M1800"/>
  <c r="D140" i="8"/>
  <c r="J1782" i="35"/>
  <c r="L1782"/>
  <c r="F107" i="8"/>
  <c r="F109"/>
  <c r="F105"/>
  <c r="F104"/>
  <c r="F108"/>
  <c r="Z1786" i="35"/>
  <c r="AD1786" s="1"/>
  <c r="AD1784"/>
  <c r="H1811"/>
  <c r="Y1782"/>
  <c r="AD1782" s="1"/>
  <c r="AD1780"/>
  <c r="B140" i="8"/>
  <c r="AD93" i="36"/>
  <c r="Y94"/>
  <c r="M93"/>
  <c r="Q93" s="1"/>
  <c r="H94"/>
  <c r="Z94"/>
  <c r="Z96" s="1"/>
  <c r="Z98" s="1"/>
  <c r="AD92"/>
  <c r="I94"/>
  <c r="I96" s="1"/>
  <c r="I98" s="1"/>
  <c r="M92"/>
  <c r="Q92" s="1"/>
  <c r="P79" i="35"/>
  <c r="P50" i="7"/>
  <c r="Q95" i="36"/>
  <c r="S40" i="3" l="1"/>
  <c r="F20" i="8"/>
  <c r="G13"/>
  <c r="F1907" i="35"/>
  <c r="F1903"/>
  <c r="G1901"/>
  <c r="F1902"/>
  <c r="F1909"/>
  <c r="E1910"/>
  <c r="E1921" s="1"/>
  <c r="E1904"/>
  <c r="E1928"/>
  <c r="L1776"/>
  <c r="L1778" s="1"/>
  <c r="AB1796"/>
  <c r="Q1800"/>
  <c r="Q1802"/>
  <c r="Q1804"/>
  <c r="M1784"/>
  <c r="Q1785"/>
  <c r="J1790"/>
  <c r="AB1790"/>
  <c r="AD1790" s="1"/>
  <c r="AD1788"/>
  <c r="Q1788" s="1"/>
  <c r="J1796"/>
  <c r="B1929"/>
  <c r="C41" i="8"/>
  <c r="M62" i="36"/>
  <c r="H54" i="7" s="1"/>
  <c r="H55" s="1"/>
  <c r="F15" i="8"/>
  <c r="F16" s="1"/>
  <c r="B16"/>
  <c r="K5" s="1"/>
  <c r="G15"/>
  <c r="C15"/>
  <c r="Q1810" i="35"/>
  <c r="D15" i="8"/>
  <c r="D16" s="1"/>
  <c r="E15"/>
  <c r="AD1795" i="35"/>
  <c r="Q1795" s="1"/>
  <c r="M1792"/>
  <c r="M1796"/>
  <c r="M81" i="36"/>
  <c r="F45" i="7" s="1"/>
  <c r="AD1792" i="35"/>
  <c r="AD1793"/>
  <c r="M1789"/>
  <c r="Q1789" s="1"/>
  <c r="AD73" i="36"/>
  <c r="Q73" s="1"/>
  <c r="M1790" i="35"/>
  <c r="AD74" i="36"/>
  <c r="Q74" s="1"/>
  <c r="Q86"/>
  <c r="Q87"/>
  <c r="AD75"/>
  <c r="K78"/>
  <c r="M78" s="1"/>
  <c r="F44" i="7" s="1"/>
  <c r="M76" i="36"/>
  <c r="Q76" s="1"/>
  <c r="M77"/>
  <c r="Q77" s="1"/>
  <c r="AC1778" i="35"/>
  <c r="M75" i="36"/>
  <c r="F71" i="35" s="1"/>
  <c r="M1786"/>
  <c r="Q1786" s="1"/>
  <c r="K1774"/>
  <c r="K1776" s="1"/>
  <c r="K1778" s="1"/>
  <c r="R12" i="24"/>
  <c r="AD81" i="36"/>
  <c r="M1791" i="35"/>
  <c r="Q1791" s="1"/>
  <c r="R13" i="24"/>
  <c r="H83" i="35"/>
  <c r="H84" s="1"/>
  <c r="Y1796"/>
  <c r="AD1796" s="1"/>
  <c r="AD1794"/>
  <c r="Q1794" s="1"/>
  <c r="AD62" i="36"/>
  <c r="Q62" s="1"/>
  <c r="G125" i="15"/>
  <c r="G1621" i="35"/>
  <c r="M1773"/>
  <c r="R11" i="24"/>
  <c r="D1621" i="35" s="1"/>
  <c r="Q79" i="36"/>
  <c r="AD63"/>
  <c r="Q63" s="1"/>
  <c r="Q97"/>
  <c r="Q1808" i="35"/>
  <c r="P52" i="7"/>
  <c r="J1809" i="35"/>
  <c r="J1811" s="1"/>
  <c r="J1813" s="1"/>
  <c r="Q89" i="36"/>
  <c r="F74" i="35"/>
  <c r="Q88" i="36"/>
  <c r="Q85"/>
  <c r="AD78"/>
  <c r="AD1775" i="35"/>
  <c r="Q71" i="36"/>
  <c r="F1611" i="35"/>
  <c r="D1534"/>
  <c r="P98"/>
  <c r="J159" i="36"/>
  <c r="J158"/>
  <c r="P71" i="7"/>
  <c r="N149" i="36"/>
  <c r="E93" i="15"/>
  <c r="P69" i="7"/>
  <c r="E1589" i="35"/>
  <c r="P100"/>
  <c r="P96"/>
  <c r="J160" i="36"/>
  <c r="F115" i="15"/>
  <c r="N150" i="36"/>
  <c r="P161"/>
  <c r="N158"/>
  <c r="P67" i="7"/>
  <c r="D38" i="15"/>
  <c r="S395" i="35"/>
  <c r="S42" i="3"/>
  <c r="E1918" i="35"/>
  <c r="F30" i="8"/>
  <c r="D1920" i="35"/>
  <c r="E32" i="8"/>
  <c r="C16"/>
  <c r="AD1809" i="35"/>
  <c r="AD1772"/>
  <c r="AD1777"/>
  <c r="M1793"/>
  <c r="M1775"/>
  <c r="M1772"/>
  <c r="Q1772" s="1"/>
  <c r="I1774"/>
  <c r="E16" i="8"/>
  <c r="Z1774" i="35"/>
  <c r="AD1773"/>
  <c r="M1777"/>
  <c r="AB1774"/>
  <c r="AB1776" s="1"/>
  <c r="AB1778" s="1"/>
  <c r="D1934"/>
  <c r="E46" i="8"/>
  <c r="K1995" i="35"/>
  <c r="K1997"/>
  <c r="K1994"/>
  <c r="K1996"/>
  <c r="C1995"/>
  <c r="C1997"/>
  <c r="C1994"/>
  <c r="C1996"/>
  <c r="B1994"/>
  <c r="B1995"/>
  <c r="B1997"/>
  <c r="B1996"/>
  <c r="C2029"/>
  <c r="C2030"/>
  <c r="C2031"/>
  <c r="C2032"/>
  <c r="E1994"/>
  <c r="E1996"/>
  <c r="E1995"/>
  <c r="E1997"/>
  <c r="D1994"/>
  <c r="D1995"/>
  <c r="D1996"/>
  <c r="D1997"/>
  <c r="E1930"/>
  <c r="F42" i="8"/>
  <c r="F2029" i="35"/>
  <c r="F2030"/>
  <c r="F2031"/>
  <c r="F2032"/>
  <c r="G1994"/>
  <c r="G1995"/>
  <c r="G1996"/>
  <c r="G1997"/>
  <c r="I1994"/>
  <c r="I1996"/>
  <c r="I1995"/>
  <c r="I1997"/>
  <c r="E2029"/>
  <c r="E2031"/>
  <c r="E2030"/>
  <c r="E2032"/>
  <c r="D2029"/>
  <c r="D2030"/>
  <c r="D2032"/>
  <c r="D2031"/>
  <c r="H1813"/>
  <c r="Y1813"/>
  <c r="AD1813" s="1"/>
  <c r="AD1811"/>
  <c r="Q1780"/>
  <c r="H1778"/>
  <c r="Q1784"/>
  <c r="M1782"/>
  <c r="Q1782" s="1"/>
  <c r="M94" i="36"/>
  <c r="H96"/>
  <c r="AD94"/>
  <c r="Y96"/>
  <c r="H1901" i="35" l="1"/>
  <c r="G1909"/>
  <c r="G1903"/>
  <c r="G1902"/>
  <c r="G1907"/>
  <c r="F1910"/>
  <c r="F1921" s="1"/>
  <c r="F1904"/>
  <c r="F1928"/>
  <c r="G20" i="8"/>
  <c r="H13"/>
  <c r="G14"/>
  <c r="G16" s="1"/>
  <c r="G19"/>
  <c r="Q1790" i="35"/>
  <c r="Q1773"/>
  <c r="D41" i="8"/>
  <c r="C1929" i="35"/>
  <c r="Q1777"/>
  <c r="K6" i="8"/>
  <c r="K7"/>
  <c r="M1813" i="35"/>
  <c r="Q1813" s="1"/>
  <c r="Q1792"/>
  <c r="Q1796"/>
  <c r="Q1793"/>
  <c r="Q81" i="36"/>
  <c r="F73" i="35"/>
  <c r="F42" i="7"/>
  <c r="Q78" i="36"/>
  <c r="Q75"/>
  <c r="Q1775" i="35"/>
  <c r="D125" i="15"/>
  <c r="M151" s="1"/>
  <c r="M1811" i="35"/>
  <c r="Q1811" s="1"/>
  <c r="M1809"/>
  <c r="Q1809" s="1"/>
  <c r="B21" i="8"/>
  <c r="B40" s="1"/>
  <c r="P166" i="36"/>
  <c r="M1647" i="35"/>
  <c r="J1648"/>
  <c r="I1776"/>
  <c r="M1774"/>
  <c r="E1920"/>
  <c r="F32" i="8"/>
  <c r="F1918" i="35"/>
  <c r="G30" i="8"/>
  <c r="AD1774" i="35"/>
  <c r="Z1776"/>
  <c r="E1934"/>
  <c r="F46" i="8"/>
  <c r="F1930" i="35"/>
  <c r="G42" i="8"/>
  <c r="AD96" i="36"/>
  <c r="Y98"/>
  <c r="AD98" s="1"/>
  <c r="M96"/>
  <c r="Q96" s="1"/>
  <c r="H98"/>
  <c r="M98" s="1"/>
  <c r="P78" i="35"/>
  <c r="P80" s="1"/>
  <c r="P82" s="1"/>
  <c r="P87" s="1"/>
  <c r="P49" i="7"/>
  <c r="P51" s="1"/>
  <c r="P53" s="1"/>
  <c r="P58" s="1"/>
  <c r="Q94" i="36"/>
  <c r="H1907" i="35" l="1"/>
  <c r="H1903"/>
  <c r="I1901"/>
  <c r="H1902"/>
  <c r="H1909"/>
  <c r="H20" i="8"/>
  <c r="I13"/>
  <c r="H14"/>
  <c r="H19"/>
  <c r="H15"/>
  <c r="H16" s="1"/>
  <c r="G1910" i="35"/>
  <c r="G1921" s="1"/>
  <c r="G1904"/>
  <c r="G1928" s="1"/>
  <c r="E41" i="8"/>
  <c r="D1929" i="35"/>
  <c r="J152" i="15"/>
  <c r="J145"/>
  <c r="J146" s="1"/>
  <c r="J148" s="1"/>
  <c r="P145"/>
  <c r="P146" s="1"/>
  <c r="P148" s="1"/>
  <c r="M1641" i="35"/>
  <c r="M1642" s="1"/>
  <c r="M1644" s="1"/>
  <c r="M145" i="15"/>
  <c r="M146" s="1"/>
  <c r="M148" s="1"/>
  <c r="P1641" i="35"/>
  <c r="P1642" s="1"/>
  <c r="P1644" s="1"/>
  <c r="J1641"/>
  <c r="J1642" s="1"/>
  <c r="J1644" s="1"/>
  <c r="E21" i="8"/>
  <c r="I21"/>
  <c r="D21"/>
  <c r="F21"/>
  <c r="H21"/>
  <c r="C21"/>
  <c r="G21"/>
  <c r="B22"/>
  <c r="Q1774" i="35"/>
  <c r="G1918"/>
  <c r="H30" i="8"/>
  <c r="F1920" i="35"/>
  <c r="G32" i="8"/>
  <c r="AD1776" i="35"/>
  <c r="Z1778"/>
  <c r="AD1778" s="1"/>
  <c r="I1778"/>
  <c r="M1778" s="1"/>
  <c r="M1776"/>
  <c r="F1934"/>
  <c r="G46" i="8"/>
  <c r="G1930" i="35"/>
  <c r="H42" i="8"/>
  <c r="M1621" i="35"/>
  <c r="D1535"/>
  <c r="Q98" i="36"/>
  <c r="Q54" s="1"/>
  <c r="D39" i="15"/>
  <c r="M125"/>
  <c r="I20" i="8" l="1"/>
  <c r="J13"/>
  <c r="I19"/>
  <c r="I14"/>
  <c r="I15"/>
  <c r="I16" s="1"/>
  <c r="J1901" i="35"/>
  <c r="I1909"/>
  <c r="I1903"/>
  <c r="I1902"/>
  <c r="I1907"/>
  <c r="H1910"/>
  <c r="H1921" s="1"/>
  <c r="H1904"/>
  <c r="H1928"/>
  <c r="E1929"/>
  <c r="F41" i="8"/>
  <c r="J149" i="15"/>
  <c r="J161" s="1"/>
  <c r="M163" s="1"/>
  <c r="B33" i="8"/>
  <c r="B36"/>
  <c r="C22"/>
  <c r="C40"/>
  <c r="F22"/>
  <c r="F40"/>
  <c r="E22"/>
  <c r="E40"/>
  <c r="G22"/>
  <c r="G36" s="1"/>
  <c r="G40"/>
  <c r="H22"/>
  <c r="H36" s="1"/>
  <c r="H40"/>
  <c r="D22"/>
  <c r="D40"/>
  <c r="I22"/>
  <c r="I36" s="1"/>
  <c r="I40"/>
  <c r="J1645" i="35"/>
  <c r="J1657" s="1"/>
  <c r="J1661" s="1"/>
  <c r="Q1776"/>
  <c r="H1918"/>
  <c r="I30" i="8"/>
  <c r="Q1778" i="35"/>
  <c r="P1876"/>
  <c r="P1881" s="1"/>
  <c r="N1864"/>
  <c r="N1865"/>
  <c r="G1920"/>
  <c r="H32" i="8"/>
  <c r="G33"/>
  <c r="G1934" i="35"/>
  <c r="H46" i="8"/>
  <c r="H1930" i="35"/>
  <c r="I42" i="8"/>
  <c r="J165" i="15"/>
  <c r="I1910" i="35" l="1"/>
  <c r="I1921" s="1"/>
  <c r="I1904"/>
  <c r="I1928"/>
  <c r="J1907"/>
  <c r="J1903"/>
  <c r="K1901"/>
  <c r="J1902"/>
  <c r="J1909"/>
  <c r="J20" i="8"/>
  <c r="K13"/>
  <c r="J19"/>
  <c r="J14"/>
  <c r="J15"/>
  <c r="J16" s="1"/>
  <c r="J21"/>
  <c r="F1929" i="35"/>
  <c r="G41" i="8"/>
  <c r="M1659" i="35"/>
  <c r="D33" i="8"/>
  <c r="D36"/>
  <c r="E33"/>
  <c r="E36"/>
  <c r="F33"/>
  <c r="F36"/>
  <c r="C33"/>
  <c r="C36"/>
  <c r="Q1769" i="35"/>
  <c r="H1920"/>
  <c r="I32" i="8"/>
  <c r="I1918" i="35"/>
  <c r="J30" i="8"/>
  <c r="H33"/>
  <c r="H1934" i="35"/>
  <c r="I46" i="8"/>
  <c r="I1930" i="35"/>
  <c r="J42" i="8"/>
  <c r="J394" i="35"/>
  <c r="L394" s="1"/>
  <c r="J393"/>
  <c r="L393" s="1"/>
  <c r="J41" i="3"/>
  <c r="L41" s="1"/>
  <c r="J40"/>
  <c r="L40" s="1"/>
  <c r="E92" i="15"/>
  <c r="J6" i="7"/>
  <c r="J1910" i="35" l="1"/>
  <c r="J1921" s="1"/>
  <c r="J1904"/>
  <c r="J1928"/>
  <c r="J40" i="8"/>
  <c r="K20"/>
  <c r="B48"/>
  <c r="K19"/>
  <c r="K14"/>
  <c r="K15"/>
  <c r="K16" s="1"/>
  <c r="K21"/>
  <c r="B1936" i="35"/>
  <c r="K1909"/>
  <c r="K1903"/>
  <c r="K1902"/>
  <c r="K1907"/>
  <c r="J22" i="8"/>
  <c r="J36" s="1"/>
  <c r="G1929" i="35"/>
  <c r="H41" i="8"/>
  <c r="J1918" i="35"/>
  <c r="K30" i="8"/>
  <c r="I1920" i="35"/>
  <c r="J32" i="8"/>
  <c r="I33"/>
  <c r="I1934" i="35"/>
  <c r="J46" i="8"/>
  <c r="J1930" i="35"/>
  <c r="K42" i="8"/>
  <c r="B1944" i="35" l="1"/>
  <c r="B1942"/>
  <c r="C1936"/>
  <c r="B1937"/>
  <c r="B1938"/>
  <c r="K40" i="8"/>
  <c r="K1910" i="35"/>
  <c r="K1921" s="1"/>
  <c r="K1904"/>
  <c r="K1928"/>
  <c r="B55" i="8"/>
  <c r="C48"/>
  <c r="B54"/>
  <c r="B49"/>
  <c r="B50"/>
  <c r="B56"/>
  <c r="K22"/>
  <c r="K36" s="1"/>
  <c r="I41"/>
  <c r="H1929" i="35"/>
  <c r="K1918"/>
  <c r="B65" i="8"/>
  <c r="J1920" i="35"/>
  <c r="K32" i="8"/>
  <c r="J33"/>
  <c r="J1934" i="35"/>
  <c r="K46" i="8"/>
  <c r="K1930" i="35"/>
  <c r="B77" i="8"/>
  <c r="B51" l="1"/>
  <c r="B57" s="1"/>
  <c r="B71" s="1"/>
  <c r="C55"/>
  <c r="D48"/>
  <c r="C54"/>
  <c r="C49"/>
  <c r="C50"/>
  <c r="C51" s="1"/>
  <c r="C56"/>
  <c r="D1936" i="35"/>
  <c r="C1937"/>
  <c r="C1944"/>
  <c r="C1942"/>
  <c r="C1938"/>
  <c r="B1945"/>
  <c r="B1956" s="1"/>
  <c r="B1939"/>
  <c r="B1963" s="1"/>
  <c r="B75" i="8"/>
  <c r="I1929" i="35"/>
  <c r="J41" i="8"/>
  <c r="B1953" i="35"/>
  <c r="C65" i="8"/>
  <c r="K1920" i="35"/>
  <c r="B67" i="8"/>
  <c r="K33"/>
  <c r="K1934" i="35"/>
  <c r="B81" i="8"/>
  <c r="B1965" i="35"/>
  <c r="C77" i="8"/>
  <c r="D1944" i="35" l="1"/>
  <c r="D1942"/>
  <c r="E1936"/>
  <c r="D1937"/>
  <c r="D1938"/>
  <c r="C75" i="8"/>
  <c r="C1945" i="35"/>
  <c r="C1956" s="1"/>
  <c r="C1939"/>
  <c r="C1963"/>
  <c r="D55" i="8"/>
  <c r="E48"/>
  <c r="D54"/>
  <c r="D49"/>
  <c r="D50"/>
  <c r="D56"/>
  <c r="C57"/>
  <c r="C71" s="1"/>
  <c r="J1929" i="35"/>
  <c r="K41" i="8"/>
  <c r="C1953" i="35"/>
  <c r="D65" i="8"/>
  <c r="B1955" i="35"/>
  <c r="C67" i="8"/>
  <c r="B68"/>
  <c r="B1969" i="35"/>
  <c r="C81" i="8"/>
  <c r="C1965" i="35"/>
  <c r="D77" i="8"/>
  <c r="D51" l="1"/>
  <c r="D57" s="1"/>
  <c r="D71" s="1"/>
  <c r="E55"/>
  <c r="F48"/>
  <c r="E54"/>
  <c r="E49"/>
  <c r="E50"/>
  <c r="E51" s="1"/>
  <c r="E56"/>
  <c r="F1936" i="35"/>
  <c r="E1937"/>
  <c r="E1944"/>
  <c r="E1942"/>
  <c r="E1938"/>
  <c r="D1945"/>
  <c r="D1956" s="1"/>
  <c r="D1939"/>
  <c r="D1963" s="1"/>
  <c r="D75" i="8"/>
  <c r="K1929" i="35"/>
  <c r="B76" i="8"/>
  <c r="D1953" i="35"/>
  <c r="E65" i="8"/>
  <c r="C1955" i="35"/>
  <c r="D67" i="8"/>
  <c r="C68"/>
  <c r="C1969" i="35"/>
  <c r="D81" i="8"/>
  <c r="D1965" i="35"/>
  <c r="E77" i="8"/>
  <c r="F1944" i="35" l="1"/>
  <c r="F1942"/>
  <c r="G1936"/>
  <c r="F1937"/>
  <c r="F1938"/>
  <c r="E75" i="8"/>
  <c r="E1945" i="35"/>
  <c r="E1956" s="1"/>
  <c r="E1939"/>
  <c r="E1963"/>
  <c r="F55" i="8"/>
  <c r="G48"/>
  <c r="F49"/>
  <c r="F54"/>
  <c r="F50"/>
  <c r="F51" s="1"/>
  <c r="F56"/>
  <c r="E57"/>
  <c r="E71" s="1"/>
  <c r="B1964" i="35"/>
  <c r="C76" i="8"/>
  <c r="E1953" i="35"/>
  <c r="F65" i="8"/>
  <c r="D1955" i="35"/>
  <c r="E67" i="8"/>
  <c r="D68"/>
  <c r="D1969" i="35"/>
  <c r="E81" i="8"/>
  <c r="E1965" i="35"/>
  <c r="F77" i="8"/>
  <c r="G55" l="1"/>
  <c r="H48"/>
  <c r="G54"/>
  <c r="G49"/>
  <c r="G50"/>
  <c r="G56"/>
  <c r="H1936" i="35"/>
  <c r="G1937"/>
  <c r="G1944"/>
  <c r="G1942"/>
  <c r="G1938"/>
  <c r="F1945"/>
  <c r="F1956" s="1"/>
  <c r="F1939"/>
  <c r="F1963"/>
  <c r="F57" i="8"/>
  <c r="F71" s="1"/>
  <c r="F75"/>
  <c r="C1964" i="35"/>
  <c r="D76" i="8"/>
  <c r="F1953" i="35"/>
  <c r="G65" i="8"/>
  <c r="H65" s="1"/>
  <c r="E1955" i="35"/>
  <c r="F67" i="8"/>
  <c r="E68"/>
  <c r="E1969" i="35"/>
  <c r="F81" i="8"/>
  <c r="G77"/>
  <c r="F1965" i="35"/>
  <c r="G1945" l="1"/>
  <c r="G1956" s="1"/>
  <c r="G1939"/>
  <c r="G1963"/>
  <c r="H55" i="8"/>
  <c r="I48"/>
  <c r="H49"/>
  <c r="H54"/>
  <c r="H50"/>
  <c r="H51" s="1"/>
  <c r="H56"/>
  <c r="H1944" i="35"/>
  <c r="H1942"/>
  <c r="I1936"/>
  <c r="H1937"/>
  <c r="H1938"/>
  <c r="G51" i="8"/>
  <c r="G57" s="1"/>
  <c r="G71" s="1"/>
  <c r="D1964" i="35"/>
  <c r="E76" i="8"/>
  <c r="G1953" i="35"/>
  <c r="F1955"/>
  <c r="G67" i="8"/>
  <c r="F68"/>
  <c r="F1969" i="35"/>
  <c r="G81" i="8"/>
  <c r="G1965" i="35"/>
  <c r="H77" i="8"/>
  <c r="H1945" i="35" l="1"/>
  <c r="H1956" s="1"/>
  <c r="H1939"/>
  <c r="H1963"/>
  <c r="I55" i="8"/>
  <c r="J48"/>
  <c r="I54"/>
  <c r="I49"/>
  <c r="I50"/>
  <c r="I51" s="1"/>
  <c r="I56"/>
  <c r="G75"/>
  <c r="J1936" i="35"/>
  <c r="I1937"/>
  <c r="I1944"/>
  <c r="I1942"/>
  <c r="I1938"/>
  <c r="H57" i="8"/>
  <c r="H71" s="1"/>
  <c r="H75"/>
  <c r="F76"/>
  <c r="E1964" i="35"/>
  <c r="H1953"/>
  <c r="G1955"/>
  <c r="H67" i="8"/>
  <c r="G68"/>
  <c r="G1969" i="35"/>
  <c r="H81" i="8"/>
  <c r="H1965" i="35"/>
  <c r="I77" i="8"/>
  <c r="J1944" i="35" l="1"/>
  <c r="J1942"/>
  <c r="K1936"/>
  <c r="J1937"/>
  <c r="J1938"/>
  <c r="J55" i="8"/>
  <c r="K48"/>
  <c r="J54"/>
  <c r="J49"/>
  <c r="J50"/>
  <c r="J56"/>
  <c r="I57"/>
  <c r="I71" s="1"/>
  <c r="I1945" i="35"/>
  <c r="I1956" s="1"/>
  <c r="I1939"/>
  <c r="I1963" s="1"/>
  <c r="I75" i="8"/>
  <c r="F1964" i="35"/>
  <c r="G76" i="8"/>
  <c r="I1953" i="35"/>
  <c r="H1955"/>
  <c r="I67" i="8"/>
  <c r="H68"/>
  <c r="H1969" i="35"/>
  <c r="I81" i="8"/>
  <c r="I1965" i="35"/>
  <c r="J77" i="8"/>
  <c r="J51" l="1"/>
  <c r="J57" s="1"/>
  <c r="J71" s="1"/>
  <c r="K55"/>
  <c r="B83"/>
  <c r="K54"/>
  <c r="K49"/>
  <c r="K50"/>
  <c r="K51" s="1"/>
  <c r="K56"/>
  <c r="B1971" i="35"/>
  <c r="K1937"/>
  <c r="K1944"/>
  <c r="K1942"/>
  <c r="K1938"/>
  <c r="J1945"/>
  <c r="J1956" s="1"/>
  <c r="J1939"/>
  <c r="J1963" s="1"/>
  <c r="J75" i="8"/>
  <c r="H76"/>
  <c r="G1964" i="35"/>
  <c r="J1953"/>
  <c r="I1955"/>
  <c r="J67" i="8"/>
  <c r="I68"/>
  <c r="I1969" i="35"/>
  <c r="J81" i="8"/>
  <c r="J1965" i="35"/>
  <c r="K77" i="8"/>
  <c r="B1972" i="35" l="1"/>
  <c r="B1973"/>
  <c r="C1971"/>
  <c r="B1979"/>
  <c r="B1977"/>
  <c r="K75" i="8"/>
  <c r="K1945" i="35"/>
  <c r="K1956" s="1"/>
  <c r="K1939"/>
  <c r="K1963"/>
  <c r="B90" i="8"/>
  <c r="C83"/>
  <c r="B89"/>
  <c r="B84"/>
  <c r="B85"/>
  <c r="B86" s="1"/>
  <c r="B91"/>
  <c r="K57"/>
  <c r="K71" s="1"/>
  <c r="I76"/>
  <c r="H1964" i="35"/>
  <c r="K1953"/>
  <c r="B100" i="8"/>
  <c r="J1955" i="35"/>
  <c r="K67" i="8"/>
  <c r="J68"/>
  <c r="J1969" i="35"/>
  <c r="K81" i="8"/>
  <c r="K1965" i="35"/>
  <c r="B112" i="8"/>
  <c r="C90" l="1"/>
  <c r="D83"/>
  <c r="C89"/>
  <c r="C84"/>
  <c r="C85"/>
  <c r="C91"/>
  <c r="D1971" i="35"/>
  <c r="C1972"/>
  <c r="C1979"/>
  <c r="C1977"/>
  <c r="C1973"/>
  <c r="B1980"/>
  <c r="B1991" s="1"/>
  <c r="B1974"/>
  <c r="B1998" s="1"/>
  <c r="B92" i="8"/>
  <c r="B106" s="1"/>
  <c r="B110"/>
  <c r="J76"/>
  <c r="I1964" i="35"/>
  <c r="B1988"/>
  <c r="C100" i="8"/>
  <c r="K1955" i="35"/>
  <c r="B102" i="8"/>
  <c r="K68"/>
  <c r="K1969" i="35"/>
  <c r="B116" i="8"/>
  <c r="B2000" i="35"/>
  <c r="C112" i="8"/>
  <c r="D1972" i="35" l="1"/>
  <c r="D1973"/>
  <c r="E1971"/>
  <c r="D1979"/>
  <c r="D1977"/>
  <c r="C1980"/>
  <c r="C1991" s="1"/>
  <c r="C1974"/>
  <c r="C1998"/>
  <c r="C86" i="8"/>
  <c r="C110" s="1"/>
  <c r="C92"/>
  <c r="C106" s="1"/>
  <c r="D90"/>
  <c r="E83"/>
  <c r="D89"/>
  <c r="D84"/>
  <c r="D85"/>
  <c r="D91"/>
  <c r="K76"/>
  <c r="J1964" i="35"/>
  <c r="C1988"/>
  <c r="D100" i="8"/>
  <c r="B1990" i="35"/>
  <c r="C102" i="8"/>
  <c r="B103"/>
  <c r="B2004" i="35"/>
  <c r="C116" i="8"/>
  <c r="C2000" i="35"/>
  <c r="D112" i="8"/>
  <c r="E90" l="1"/>
  <c r="F83"/>
  <c r="E89"/>
  <c r="E84"/>
  <c r="E85"/>
  <c r="E86" s="1"/>
  <c r="E91"/>
  <c r="F1971" i="35"/>
  <c r="E1972"/>
  <c r="E1979"/>
  <c r="E1977"/>
  <c r="E1973"/>
  <c r="D1980"/>
  <c r="D1991" s="1"/>
  <c r="D1974"/>
  <c r="D1998" s="1"/>
  <c r="D86" i="8"/>
  <c r="D92" s="1"/>
  <c r="D106" s="1"/>
  <c r="K1964" i="35"/>
  <c r="B111" i="8"/>
  <c r="D1988" i="35"/>
  <c r="E100" i="8"/>
  <c r="C1990" i="35"/>
  <c r="D102" i="8"/>
  <c r="C103"/>
  <c r="C2004" i="35"/>
  <c r="D116" i="8"/>
  <c r="D2000" i="35"/>
  <c r="E112" i="8"/>
  <c r="D110" l="1"/>
  <c r="F1972" i="35"/>
  <c r="F1973"/>
  <c r="G1971"/>
  <c r="F1979"/>
  <c r="F1977"/>
  <c r="E1980"/>
  <c r="E1991" s="1"/>
  <c r="E1974"/>
  <c r="E1998" s="1"/>
  <c r="F90" i="8"/>
  <c r="G83"/>
  <c r="F89"/>
  <c r="F84"/>
  <c r="F85"/>
  <c r="F86" s="1"/>
  <c r="F91"/>
  <c r="E110"/>
  <c r="E92"/>
  <c r="E106" s="1"/>
  <c r="B1999" i="35"/>
  <c r="C111" i="8"/>
  <c r="E1988" i="35"/>
  <c r="F100" i="8"/>
  <c r="D1990" i="35"/>
  <c r="E102" i="8"/>
  <c r="D103"/>
  <c r="D2004" i="35"/>
  <c r="E116" i="8"/>
  <c r="F112"/>
  <c r="E2000" i="35"/>
  <c r="H1971" l="1"/>
  <c r="G1972"/>
  <c r="G1979"/>
  <c r="G1977"/>
  <c r="G1973"/>
  <c r="F1980"/>
  <c r="F1991" s="1"/>
  <c r="F1974"/>
  <c r="F1998" s="1"/>
  <c r="G90" i="8"/>
  <c r="H83"/>
  <c r="G84"/>
  <c r="G89"/>
  <c r="G85"/>
  <c r="G91"/>
  <c r="F110"/>
  <c r="F92"/>
  <c r="F106" s="1"/>
  <c r="D111"/>
  <c r="C1999" i="35"/>
  <c r="F1988"/>
  <c r="G100" i="8"/>
  <c r="E1990" i="35"/>
  <c r="F102" i="8"/>
  <c r="E103"/>
  <c r="E2004" i="35"/>
  <c r="F116" i="8"/>
  <c r="F2000" i="35"/>
  <c r="G112" i="8"/>
  <c r="G86" l="1"/>
  <c r="G92" s="1"/>
  <c r="G106" s="1"/>
  <c r="H1972" i="35"/>
  <c r="H1973"/>
  <c r="I1971"/>
  <c r="H1979"/>
  <c r="H1977"/>
  <c r="H90" i="8"/>
  <c r="I83"/>
  <c r="H89"/>
  <c r="H84"/>
  <c r="H85"/>
  <c r="H91"/>
  <c r="G1980" i="35"/>
  <c r="G1991" s="1"/>
  <c r="G1974"/>
  <c r="G1998"/>
  <c r="G110" i="8"/>
  <c r="D1999" i="35"/>
  <c r="E111" i="8"/>
  <c r="G1988" i="35"/>
  <c r="H100" i="8"/>
  <c r="F1990" i="35"/>
  <c r="G102" i="8"/>
  <c r="F103"/>
  <c r="F2004" i="35"/>
  <c r="G116" i="8"/>
  <c r="G2000" i="35"/>
  <c r="H112" i="8"/>
  <c r="H86" l="1"/>
  <c r="H92" s="1"/>
  <c r="H106" s="1"/>
  <c r="I90"/>
  <c r="J83"/>
  <c r="I89"/>
  <c r="I84"/>
  <c r="I85"/>
  <c r="I86" s="1"/>
  <c r="I91"/>
  <c r="J1971" i="35"/>
  <c r="I1972"/>
  <c r="I1979"/>
  <c r="I1977"/>
  <c r="I1973"/>
  <c r="H1980"/>
  <c r="H1991" s="1"/>
  <c r="H1974"/>
  <c r="H1998" s="1"/>
  <c r="H110" i="8"/>
  <c r="F111"/>
  <c r="E1999" i="35"/>
  <c r="H1988"/>
  <c r="I100" i="8"/>
  <c r="G1990" i="35"/>
  <c r="H102" i="8"/>
  <c r="G103"/>
  <c r="G2004" i="35"/>
  <c r="H116" i="8"/>
  <c r="H2000" i="35"/>
  <c r="I112" i="8"/>
  <c r="J1972" i="35" l="1"/>
  <c r="J1973"/>
  <c r="K1971"/>
  <c r="J1979"/>
  <c r="J1977"/>
  <c r="I110" i="8"/>
  <c r="I1980" i="35"/>
  <c r="I1991" s="1"/>
  <c r="I1974"/>
  <c r="I1998"/>
  <c r="J90" i="8"/>
  <c r="K83"/>
  <c r="J89"/>
  <c r="J84"/>
  <c r="J85"/>
  <c r="J91"/>
  <c r="I92"/>
  <c r="I106" s="1"/>
  <c r="F1999" i="35"/>
  <c r="G111" i="8"/>
  <c r="I1988" i="35"/>
  <c r="J100" i="8"/>
  <c r="H1990" i="35"/>
  <c r="I102" i="8"/>
  <c r="H103"/>
  <c r="H2004" i="35"/>
  <c r="I116" i="8"/>
  <c r="I2000" i="35"/>
  <c r="J112" i="8"/>
  <c r="J86" l="1"/>
  <c r="J92" s="1"/>
  <c r="J106" s="1"/>
  <c r="K90"/>
  <c r="B118"/>
  <c r="K89"/>
  <c r="K84"/>
  <c r="K85"/>
  <c r="K91"/>
  <c r="B2006" i="35"/>
  <c r="K1972"/>
  <c r="K1979"/>
  <c r="K1977"/>
  <c r="K1973"/>
  <c r="J1980"/>
  <c r="J1991" s="1"/>
  <c r="J1974"/>
  <c r="J1998" s="1"/>
  <c r="J110" i="8"/>
  <c r="H111"/>
  <c r="G1999" i="35"/>
  <c r="J1988"/>
  <c r="K100" i="8"/>
  <c r="I1990" i="35"/>
  <c r="J102" i="8"/>
  <c r="I103"/>
  <c r="I2004" i="35"/>
  <c r="J116" i="8"/>
  <c r="J2000" i="35"/>
  <c r="K112" i="8"/>
  <c r="B2012" i="35" l="1"/>
  <c r="C2006"/>
  <c r="B2007"/>
  <c r="B2014"/>
  <c r="B2008"/>
  <c r="K1980"/>
  <c r="K1991" s="1"/>
  <c r="K1974"/>
  <c r="K1998"/>
  <c r="K86" i="8"/>
  <c r="K110" s="1"/>
  <c r="K92"/>
  <c r="K106" s="1"/>
  <c r="C118"/>
  <c r="B125"/>
  <c r="B124"/>
  <c r="B119"/>
  <c r="B120"/>
  <c r="B126"/>
  <c r="H1999" i="35"/>
  <c r="I111" i="8"/>
  <c r="K1988" i="35"/>
  <c r="B135" i="8"/>
  <c r="J1990" i="35"/>
  <c r="K102" i="8"/>
  <c r="J103"/>
  <c r="J2004" i="35"/>
  <c r="K116" i="8"/>
  <c r="K2000" i="35"/>
  <c r="B147" i="8"/>
  <c r="B2015" i="35" l="1"/>
  <c r="B2026" s="1"/>
  <c r="B2009"/>
  <c r="B2033"/>
  <c r="C125" i="8"/>
  <c r="D118"/>
  <c r="C124"/>
  <c r="C119"/>
  <c r="C120"/>
  <c r="C126"/>
  <c r="D2006" i="35"/>
  <c r="C2014"/>
  <c r="C2007"/>
  <c r="C2012"/>
  <c r="C2008"/>
  <c r="B121" i="8"/>
  <c r="B145" s="1"/>
  <c r="J111"/>
  <c r="I1999" i="35"/>
  <c r="B2023"/>
  <c r="C135" i="8"/>
  <c r="K1990" i="35"/>
  <c r="B137" i="8"/>
  <c r="K103"/>
  <c r="K2004" i="35"/>
  <c r="B151" i="8"/>
  <c r="B2035" i="35"/>
  <c r="C147" i="8"/>
  <c r="C2015" i="35" l="1"/>
  <c r="C2026" s="1"/>
  <c r="C2009"/>
  <c r="C2033"/>
  <c r="D2012"/>
  <c r="E2006"/>
  <c r="D2007"/>
  <c r="D2014"/>
  <c r="D2008"/>
  <c r="C121" i="8"/>
  <c r="C145" s="1"/>
  <c r="E118"/>
  <c r="D125"/>
  <c r="D124"/>
  <c r="D119"/>
  <c r="D120"/>
  <c r="D126"/>
  <c r="B127"/>
  <c r="B141" s="1"/>
  <c r="J1999" i="35"/>
  <c r="K111" i="8"/>
  <c r="C2023" i="35"/>
  <c r="D135" i="8"/>
  <c r="B2025" i="35"/>
  <c r="C137" i="8"/>
  <c r="B138"/>
  <c r="B2039" i="35"/>
  <c r="C151" i="8"/>
  <c r="C2035" i="35"/>
  <c r="D147" i="8"/>
  <c r="F2006" i="35" l="1"/>
  <c r="E2014"/>
  <c r="E2007"/>
  <c r="E2012"/>
  <c r="E2008"/>
  <c r="C127" i="8"/>
  <c r="C141" s="1"/>
  <c r="E125"/>
  <c r="F118"/>
  <c r="E124"/>
  <c r="E119"/>
  <c r="E120"/>
  <c r="E121" s="1"/>
  <c r="E126"/>
  <c r="D2015" i="35"/>
  <c r="D2026" s="1"/>
  <c r="D2009"/>
  <c r="D2033"/>
  <c r="D121" i="8"/>
  <c r="D127" s="1"/>
  <c r="D141" s="1"/>
  <c r="B146"/>
  <c r="K1999" i="35"/>
  <c r="D2023"/>
  <c r="E135" i="8"/>
  <c r="C2025" i="35"/>
  <c r="D137" i="8"/>
  <c r="C138"/>
  <c r="C2039" i="35"/>
  <c r="D151" i="8"/>
  <c r="E147"/>
  <c r="D2035" i="35"/>
  <c r="D145" i="8" l="1"/>
  <c r="E2015" i="35"/>
  <c r="E2026" s="1"/>
  <c r="E2009"/>
  <c r="E2033"/>
  <c r="F2012"/>
  <c r="F2007"/>
  <c r="F2014"/>
  <c r="F2008"/>
  <c r="F125" i="8"/>
  <c r="F124"/>
  <c r="F119"/>
  <c r="F120"/>
  <c r="F126"/>
  <c r="E145"/>
  <c r="E127"/>
  <c r="E141" s="1"/>
  <c r="C146"/>
  <c r="B2034" i="35"/>
  <c r="E2023"/>
  <c r="F135" i="8"/>
  <c r="D2025" i="35"/>
  <c r="E137" i="8"/>
  <c r="D138"/>
  <c r="D2039" i="35"/>
  <c r="E151" i="8"/>
  <c r="E2035" i="35"/>
  <c r="F147" i="8"/>
  <c r="F2035" i="35" s="1"/>
  <c r="F121" i="8" l="1"/>
  <c r="F2015" i="35"/>
  <c r="F2026" s="1"/>
  <c r="F2009"/>
  <c r="F2033"/>
  <c r="F127" i="8"/>
  <c r="F141" s="1"/>
  <c r="F145"/>
  <c r="D146"/>
  <c r="C2034" i="35"/>
  <c r="F2023"/>
  <c r="E2025"/>
  <c r="F137" i="8"/>
  <c r="F2025" i="35" s="1"/>
  <c r="E138" i="8"/>
  <c r="E2039" i="35"/>
  <c r="F151" i="8"/>
  <c r="F2039" i="35" s="1"/>
  <c r="D2034" l="1"/>
  <c r="E146" i="8"/>
  <c r="F138"/>
  <c r="F146" l="1"/>
  <c r="F2034" i="35" s="1"/>
  <c r="E2034"/>
</calcChain>
</file>

<file path=xl/sharedStrings.xml><?xml version="1.0" encoding="utf-8"?>
<sst xmlns="http://schemas.openxmlformats.org/spreadsheetml/2006/main" count="10116" uniqueCount="4088">
  <si>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</si>
  <si>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</si>
  <si>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</si>
  <si>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</si>
  <si>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</si>
  <si>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</si>
  <si>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</si>
  <si>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</si>
  <si>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</si>
  <si>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</si>
  <si>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</si>
  <si>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</si>
  <si>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</si>
  <si>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</si>
  <si>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</si>
  <si>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</si>
  <si>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</si>
  <si>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</si>
  <si>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</si>
  <si>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</si>
  <si>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</si>
  <si>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</si>
  <si>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</si>
  <si>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</si>
  <si>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</si>
  <si>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</si>
  <si>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</si>
  <si>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</si>
  <si>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</si>
  <si>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</si>
  <si>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</si>
  <si>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</si>
  <si>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</si>
  <si>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</si>
  <si>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</si>
  <si>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</si>
  <si>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</si>
  <si>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</si>
  <si>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</si>
  <si>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</si>
  <si>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</si>
  <si>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</si>
  <si>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</si>
  <si>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</si>
  <si>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</si>
  <si>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</si>
  <si>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</si>
  <si>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</si>
  <si>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</si>
  <si>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</si>
  <si>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</si>
  <si>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</si>
  <si>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</si>
  <si>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</si>
  <si>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</si>
  <si>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</si>
  <si>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</si>
  <si>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</si>
  <si>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</si>
  <si>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</si>
  <si>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</si>
  <si>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</si>
  <si>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</si>
  <si>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</si>
  <si>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</si>
  <si>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</si>
  <si>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</si>
  <si>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</si>
  <si>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</si>
  <si>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</si>
  <si>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</si>
  <si>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</si>
  <si>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</si>
  <si>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</si>
  <si>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</si>
  <si>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</si>
  <si>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</si>
  <si>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</si>
  <si>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</si>
  <si>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</si>
  <si>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</si>
  <si>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</si>
  <si>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</si>
  <si>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</si>
  <si>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</si>
  <si>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</si>
  <si>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</si>
  <si>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</si>
  <si>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</si>
  <si>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</si>
  <si>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</si>
  <si>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</si>
  <si>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</si>
  <si>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</si>
  <si>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</si>
  <si>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</si>
  <si>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</si>
  <si>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</si>
  <si>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</si>
  <si>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</si>
  <si>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</si>
  <si>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</si>
  <si>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</si>
  <si>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</si>
  <si>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</si>
  <si>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</si>
  <si>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</si>
  <si>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</si>
  <si>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</si>
  <si>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</si>
  <si>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</si>
  <si>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</si>
  <si>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</si>
  <si>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</si>
  <si>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</si>
  <si>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</si>
  <si>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</si>
  <si>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</si>
  <si>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</si>
  <si>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</si>
  <si>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</si>
  <si>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</si>
  <si>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</si>
  <si>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</si>
  <si>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</si>
  <si>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</si>
  <si>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</si>
  <si>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</si>
  <si>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</si>
  <si>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</si>
  <si>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</si>
  <si>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</si>
  <si>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</si>
  <si>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</si>
  <si>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</si>
  <si>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</si>
  <si>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</si>
  <si>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</si>
  <si>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</si>
  <si>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</si>
  <si>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</si>
  <si>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</si>
  <si>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</si>
  <si>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</si>
  <si>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</si>
  <si>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</si>
  <si>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</si>
  <si>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</si>
  <si>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</si>
  <si>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</si>
  <si>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</si>
  <si>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</si>
  <si>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</si>
  <si>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</si>
  <si>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</si>
  <si>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</si>
  <si>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</si>
  <si>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</si>
  <si>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</si>
  <si>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</si>
  <si>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</si>
  <si>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</si>
  <si>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</si>
  <si>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</si>
  <si>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</si>
  <si>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</si>
  <si>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</si>
  <si>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</si>
  <si>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</si>
  <si>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</si>
  <si>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</si>
  <si>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</si>
  <si>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</si>
  <si>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</si>
  <si>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</si>
  <si>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</si>
  <si>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</si>
  <si>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</si>
  <si>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</si>
  <si>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</si>
  <si>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</si>
  <si>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</si>
  <si>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</si>
  <si>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</si>
  <si>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</si>
  <si>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</si>
  <si>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</si>
  <si>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</si>
  <si>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</si>
  <si>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</si>
  <si>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</si>
  <si>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</si>
  <si>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</si>
  <si>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</si>
  <si>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</si>
  <si>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</si>
  <si>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</si>
  <si>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</si>
  <si>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</si>
  <si>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</si>
  <si>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</si>
  <si>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</si>
  <si>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</si>
  <si>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</si>
  <si>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</si>
  <si>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</si>
  <si>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</si>
  <si>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</si>
  <si>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</si>
  <si>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</si>
  <si>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</si>
  <si>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</si>
  <si>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</si>
  <si>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</si>
  <si>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</si>
  <si>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</si>
  <si>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</si>
  <si>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</si>
  <si>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</si>
  <si>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</si>
  <si>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</si>
  <si>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</si>
  <si>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</si>
  <si>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</si>
  <si>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</si>
  <si>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</si>
  <si>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</si>
  <si>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</si>
  <si>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</si>
  <si>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</si>
  <si>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</si>
  <si>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</si>
  <si>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</si>
  <si>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</si>
  <si>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</si>
  <si>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</si>
  <si>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</si>
  <si>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</si>
  <si>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</si>
  <si>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</si>
  <si>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</si>
  <si>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</si>
  <si>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</si>
  <si>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</si>
  <si>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</si>
  <si>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</si>
  <si>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</si>
  <si>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</si>
  <si>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</si>
  <si>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</si>
  <si>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</si>
  <si>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</si>
  <si>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</si>
  <si>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</si>
  <si>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</si>
  <si>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</si>
  <si>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</si>
  <si>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</si>
  <si>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</si>
  <si>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</si>
  <si>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</si>
  <si>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</si>
  <si>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</si>
  <si>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</si>
  <si>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</si>
  <si>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</si>
  <si>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</si>
  <si>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</si>
  <si>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</si>
  <si>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</si>
  <si>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</si>
  <si>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</si>
  <si>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</si>
  <si>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</si>
  <si>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</si>
  <si>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</si>
  <si>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</si>
  <si>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</si>
  <si>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</si>
  <si>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</si>
  <si>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</si>
  <si>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</si>
  <si>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</si>
  <si>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</si>
  <si>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</si>
  <si>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</si>
  <si>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</si>
  <si>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</si>
  <si>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</si>
  <si>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</si>
  <si>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</si>
  <si>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</si>
  <si>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</si>
  <si>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</si>
  <si>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</si>
  <si>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</si>
  <si>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</si>
  <si>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</si>
  <si>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</si>
  <si>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</si>
  <si>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</si>
  <si>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</si>
  <si>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</si>
  <si>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</si>
  <si>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</si>
  <si>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</si>
  <si>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</si>
  <si>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</si>
  <si>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</si>
  <si>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</si>
  <si>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</si>
  <si>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</si>
  <si>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</si>
  <si>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</si>
  <si>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</si>
  <si>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</si>
  <si>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</si>
  <si>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</si>
  <si>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</si>
  <si>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</si>
  <si>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</si>
  <si>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</si>
  <si>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</si>
  <si>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</si>
  <si>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</si>
  <si>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</si>
  <si>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</si>
  <si>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</si>
  <si>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</si>
  <si>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</si>
  <si>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</si>
  <si>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</si>
  <si>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</si>
  <si>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</si>
  <si>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</si>
  <si>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</si>
  <si>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</si>
  <si>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</si>
  <si>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</si>
  <si>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</si>
  <si>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</si>
  <si>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</si>
  <si>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</si>
  <si>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</si>
  <si>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</si>
  <si>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</si>
  <si>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</si>
  <si>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</si>
  <si>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</si>
  <si>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</si>
  <si>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</si>
  <si>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</si>
  <si>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</si>
  <si>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</si>
  <si>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</si>
  <si>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</si>
  <si>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</si>
  <si>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</si>
  <si>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</si>
  <si>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</si>
  <si>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</si>
  <si>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</si>
  <si>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</si>
  <si>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</si>
  <si>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</si>
  <si>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</si>
  <si>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</si>
  <si>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</si>
  <si>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</si>
  <si>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</si>
  <si>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</si>
  <si>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</si>
  <si>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</si>
  <si>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</si>
  <si>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</si>
  <si>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</si>
  <si>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</si>
  <si>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</si>
  <si>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</si>
  <si>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</si>
  <si>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</si>
  <si>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</si>
  <si>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</si>
  <si>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</si>
  <si>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</si>
  <si>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</si>
  <si>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</si>
  <si>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</si>
  <si>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</si>
  <si>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</si>
  <si>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</si>
  <si>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</si>
  <si>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</si>
  <si>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</si>
  <si>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</si>
  <si>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</si>
  <si>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</si>
  <si>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</si>
  <si>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</si>
  <si>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</si>
  <si>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</si>
  <si>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</si>
  <si>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</si>
  <si>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</si>
  <si>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</si>
  <si>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</si>
  <si>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</si>
  <si>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</si>
  <si>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</si>
  <si>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</si>
  <si>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</si>
  <si>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</si>
  <si>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</si>
  <si>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</si>
  <si>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</si>
  <si>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</si>
  <si>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</si>
  <si>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</si>
  <si>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</si>
  <si>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</si>
  <si>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</si>
  <si>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</si>
  <si>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</si>
  <si>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</si>
  <si>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</si>
  <si>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</si>
  <si>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</si>
  <si>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</si>
  <si>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</si>
  <si>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</si>
  <si>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</si>
  <si>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</si>
  <si>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</si>
  <si>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</si>
  <si>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</si>
  <si>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</si>
  <si>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</si>
  <si>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</si>
  <si>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</si>
  <si>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</si>
  <si>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</si>
  <si>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</si>
  <si>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</si>
  <si>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</si>
  <si>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</si>
  <si>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</si>
  <si>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</si>
  <si>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</si>
  <si>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</si>
  <si>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</si>
  <si>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</si>
  <si>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</si>
  <si>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</si>
  <si>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</si>
  <si>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</si>
  <si>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</si>
  <si>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</si>
  <si>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</si>
  <si>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</si>
  <si>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</si>
  <si>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</si>
  <si>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</si>
  <si>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</si>
  <si>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</si>
  <si>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</si>
  <si>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</si>
  <si>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</si>
  <si>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</si>
  <si>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</si>
  <si>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</si>
  <si>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</si>
  <si>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</si>
  <si>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</si>
  <si>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</si>
  <si>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</si>
  <si>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</si>
  <si>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</si>
  <si>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</si>
  <si>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</si>
  <si>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</si>
  <si>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</si>
  <si>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</si>
  <si>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</si>
  <si>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</si>
  <si>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</si>
  <si>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</si>
  <si>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</si>
  <si>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</si>
  <si>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</si>
  <si>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</si>
  <si>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</si>
  <si>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</si>
  <si>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</si>
  <si>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</si>
  <si>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</si>
  <si>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</si>
  <si>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</si>
  <si>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</si>
  <si>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</si>
  <si>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</si>
  <si>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</si>
  <si>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</si>
  <si>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</si>
  <si>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</si>
  <si>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</si>
  <si>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</si>
  <si>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</si>
  <si>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</si>
  <si>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</si>
  <si>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</si>
  <si>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</si>
  <si>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</si>
  <si>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</si>
  <si>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</si>
  <si>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</si>
  <si>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</si>
  <si>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</si>
  <si>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</si>
  <si>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</si>
  <si>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</si>
  <si>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</si>
  <si>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</si>
  <si>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</si>
  <si>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</si>
  <si>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</si>
  <si>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</si>
  <si>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</si>
  <si>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</si>
  <si>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</si>
  <si>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</si>
  <si>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</si>
  <si>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</si>
  <si>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</si>
  <si>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</si>
  <si>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</si>
  <si>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</si>
  <si>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</si>
  <si>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</si>
  <si>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</si>
  <si>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</si>
  <si>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</si>
  <si>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</si>
  <si>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</si>
  <si>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</si>
  <si>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</si>
  <si>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</si>
  <si>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</si>
  <si>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</si>
  <si>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</si>
  <si>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</si>
  <si>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</si>
  <si>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</si>
  <si>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</si>
  <si>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</si>
  <si>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</si>
  <si>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</si>
  <si>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</si>
  <si>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</si>
  <si>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</si>
  <si>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</si>
  <si>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</si>
  <si>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</si>
  <si>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</si>
  <si>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</si>
  <si>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</si>
  <si>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</si>
  <si>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</si>
  <si>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</si>
  <si>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</si>
  <si>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</si>
  <si>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</si>
  <si>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</si>
  <si>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</si>
  <si>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</si>
  <si>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</si>
  <si>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</si>
  <si>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</si>
  <si>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</si>
  <si>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</si>
  <si>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</si>
  <si>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</si>
  <si>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</si>
  <si>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</si>
  <si>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</si>
  <si>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</si>
  <si>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</si>
  <si>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</si>
  <si>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</si>
  <si>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</si>
  <si>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</si>
  <si>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</si>
  <si>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</si>
  <si>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</si>
  <si>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</si>
  <si>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</si>
  <si>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</si>
  <si>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</si>
  <si>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</si>
  <si>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</si>
  <si>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</si>
  <si>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</si>
  <si>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</si>
  <si>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</si>
  <si>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</si>
  <si>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</si>
  <si>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</si>
  <si>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</si>
  <si>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</si>
  <si>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</si>
  <si>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</si>
  <si>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</si>
  <si>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</si>
  <si>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</si>
  <si>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</si>
  <si>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</si>
  <si>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</si>
  <si>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</si>
  <si>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</si>
  <si>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</si>
  <si>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</si>
  <si>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</si>
  <si>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</si>
  <si>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</si>
  <si>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</si>
  <si>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</si>
  <si>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</si>
  <si>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</si>
  <si>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</si>
  <si>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</si>
  <si>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</si>
  <si>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</si>
  <si>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</si>
  <si>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</si>
  <si>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</si>
  <si>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</si>
  <si>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</si>
  <si>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</si>
  <si>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</si>
  <si>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</si>
  <si>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</si>
  <si>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</si>
  <si>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</si>
  <si>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</si>
  <si>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</si>
  <si>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</si>
  <si>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</si>
  <si>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</si>
  <si>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</si>
  <si>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</si>
  <si>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</si>
  <si>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</si>
  <si>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</si>
  <si>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</si>
  <si>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</si>
  <si>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</si>
  <si>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</si>
  <si>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</si>
  <si>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</si>
  <si>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</si>
  <si>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</si>
  <si>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</si>
  <si>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</si>
  <si>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</si>
  <si>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</si>
  <si>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</si>
  <si>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</si>
  <si>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</si>
  <si>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</si>
  <si>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</si>
  <si>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</si>
  <si>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</si>
  <si>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</si>
  <si>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</si>
  <si>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</si>
  <si>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</si>
  <si>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</si>
  <si>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</si>
  <si>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</si>
  <si>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</si>
  <si>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</si>
  <si>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</si>
  <si>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</si>
  <si>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</si>
  <si>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</si>
  <si>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</si>
  <si>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</si>
  <si>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</si>
  <si>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</si>
  <si>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</si>
  <si>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</si>
  <si>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</si>
  <si>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</si>
  <si>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</si>
  <si>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</si>
  <si>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</si>
  <si>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</si>
  <si>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</si>
  <si>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</si>
  <si>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</si>
  <si>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</si>
  <si>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</si>
  <si>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</si>
  <si>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</si>
  <si>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</si>
  <si>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</si>
  <si>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</si>
  <si>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</si>
  <si>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</si>
  <si>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</si>
  <si>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</si>
  <si>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</si>
  <si>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</si>
  <si>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</si>
  <si>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</si>
  <si>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</si>
  <si>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</si>
  <si>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</si>
  <si>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</si>
  <si>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</si>
  <si>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</si>
  <si>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</si>
  <si>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</si>
  <si>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</si>
  <si>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</si>
  <si>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</si>
  <si>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</si>
  <si>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</si>
  <si>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</si>
  <si>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</si>
  <si>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</si>
  <si>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</si>
  <si>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</si>
  <si>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</si>
  <si>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</si>
  <si>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</si>
  <si>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</si>
  <si>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</si>
  <si>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</si>
  <si>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</si>
  <si>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</si>
  <si>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</si>
  <si>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</si>
  <si>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</si>
  <si>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</si>
  <si>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</si>
  <si>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</si>
  <si>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</si>
  <si>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</si>
  <si>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</si>
  <si>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</si>
  <si>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</si>
  <si>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</si>
  <si>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</si>
  <si>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</si>
  <si>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</si>
  <si>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</si>
  <si>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</si>
  <si>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</si>
  <si>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</si>
  <si>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</si>
  <si>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</si>
  <si>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</si>
  <si>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</si>
  <si>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</si>
  <si>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</si>
  <si>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</si>
  <si>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</si>
  <si>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</si>
  <si>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</si>
  <si>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</si>
  <si>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</si>
  <si>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</si>
  <si>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</si>
  <si>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</si>
  <si>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</si>
  <si>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</si>
  <si>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</si>
  <si>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</si>
  <si>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</si>
  <si>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</si>
  <si>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</si>
  <si>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</si>
  <si>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</si>
  <si>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</si>
  <si>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</si>
  <si>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</si>
  <si>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</si>
  <si>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</si>
  <si>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</si>
  <si>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</si>
  <si>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</si>
  <si>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</si>
  <si>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</si>
  <si>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</si>
  <si>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</si>
  <si>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</si>
  <si>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</si>
  <si>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</si>
  <si>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</si>
  <si>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</si>
  <si>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</si>
  <si>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</si>
  <si>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</si>
  <si>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</si>
  <si>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</si>
  <si>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</si>
  <si>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</si>
  <si>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</si>
  <si>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</si>
  <si>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</si>
  <si>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</si>
  <si>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</si>
  <si>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</si>
  <si>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</si>
  <si>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</si>
  <si>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</si>
  <si>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</si>
  <si>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</si>
  <si>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</si>
  <si>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</si>
  <si>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</si>
  <si>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</si>
  <si>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</si>
  <si>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</si>
  <si>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</si>
  <si>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</si>
  <si>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</si>
  <si>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</si>
  <si>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</si>
  <si>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</si>
  <si>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</si>
  <si>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</si>
  <si>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</si>
  <si>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</si>
  <si>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</si>
  <si>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</si>
  <si>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</si>
  <si>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</si>
  <si>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</si>
  <si>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</si>
  <si>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</si>
  <si>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</si>
  <si>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</si>
  <si>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</si>
  <si>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</si>
  <si>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</si>
  <si>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</si>
  <si>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</si>
  <si>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</si>
  <si>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</si>
  <si>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</si>
  <si>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</si>
  <si>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</si>
  <si>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</si>
  <si>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</si>
  <si>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</si>
  <si>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</si>
  <si>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</si>
  <si>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</si>
  <si>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</si>
  <si>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</si>
  <si>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</si>
  <si>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</si>
  <si>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</si>
  <si>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</si>
  <si>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</si>
  <si>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</si>
  <si>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</si>
  <si>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</si>
  <si>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</si>
  <si>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</si>
  <si>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</si>
  <si>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</si>
  <si>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</si>
  <si>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</si>
  <si>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</si>
  <si>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</si>
  <si>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</si>
  <si>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</si>
  <si>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</si>
  <si>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</si>
  <si>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</si>
  <si>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</si>
  <si>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</si>
  <si>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</si>
  <si>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</si>
  <si>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</si>
  <si>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</si>
  <si>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</si>
  <si>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</si>
  <si>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</si>
  <si>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</si>
  <si>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</si>
  <si>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</si>
  <si>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</si>
  <si>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</si>
  <si>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</si>
  <si>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</si>
  <si>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</si>
  <si>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</si>
  <si>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</si>
  <si>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</si>
  <si>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</si>
  <si>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</si>
  <si>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</si>
  <si>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</si>
  <si>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</si>
  <si>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</si>
  <si>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</si>
  <si>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</si>
  <si>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</si>
  <si>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</si>
  <si>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</si>
  <si>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</si>
  <si>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</si>
  <si>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</si>
  <si>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</si>
  <si>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</si>
  <si>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</si>
  <si>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</si>
  <si>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</si>
  <si>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</si>
  <si>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</si>
  <si>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</si>
  <si>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</si>
  <si>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</si>
  <si>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</si>
  <si>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</si>
  <si>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</si>
  <si>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</si>
  <si>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</si>
  <si>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</si>
  <si>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</si>
  <si>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</si>
  <si>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</si>
  <si>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</si>
  <si>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</si>
  <si>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</si>
  <si>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</si>
  <si>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</si>
  <si>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</si>
  <si>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</si>
  <si>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</si>
  <si>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</si>
  <si>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</si>
  <si>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</si>
  <si>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</si>
  <si>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</si>
  <si>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</si>
  <si>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</si>
  <si>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</si>
  <si>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</si>
  <si>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</si>
  <si>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</si>
  <si>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</si>
  <si>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</si>
  <si>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</si>
  <si>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</si>
  <si>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</si>
  <si>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</si>
  <si>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</si>
  <si>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</si>
  <si>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</si>
  <si>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</si>
  <si>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</si>
  <si>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</si>
  <si>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</si>
  <si>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</si>
  <si>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</si>
  <si>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</si>
  <si>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</si>
  <si>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</si>
  <si>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</si>
  <si>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</si>
  <si>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</si>
  <si>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</si>
  <si>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</si>
  <si>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</si>
  <si>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</si>
  <si>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</si>
  <si>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</si>
  <si>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</si>
  <si>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</si>
  <si>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</si>
  <si>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</si>
  <si>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</si>
  <si>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</si>
  <si>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</si>
  <si>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</si>
  <si>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</si>
  <si>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</si>
  <si>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</si>
  <si>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</si>
  <si>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</si>
  <si>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</si>
  <si>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</si>
  <si>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</si>
  <si>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</si>
  <si>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</si>
  <si>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</si>
  <si>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</si>
  <si>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</si>
  <si>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</si>
  <si>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</si>
  <si>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</si>
  <si>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</si>
  <si>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</si>
  <si>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</si>
  <si>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</si>
  <si>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</si>
  <si>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</si>
  <si>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</si>
  <si>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</si>
  <si>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</si>
  <si>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</si>
  <si>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</si>
  <si>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</si>
  <si>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</si>
  <si>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</si>
  <si>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</si>
  <si>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</si>
  <si>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</si>
  <si>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</si>
  <si>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</si>
  <si>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</si>
  <si>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</si>
  <si>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</si>
  <si>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</si>
  <si>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</si>
  <si>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</si>
  <si>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</si>
  <si>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</si>
  <si>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</si>
  <si>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</si>
  <si>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</si>
  <si>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</si>
  <si>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</si>
  <si>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</si>
  <si>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</si>
  <si>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</si>
  <si>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</si>
  <si>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</si>
  <si>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</si>
  <si>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</si>
  <si>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</si>
  <si>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</si>
  <si>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</si>
  <si>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</si>
  <si>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</si>
  <si>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</si>
  <si>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</si>
  <si>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</si>
  <si>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</si>
  <si>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</si>
  <si>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</si>
  <si>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</si>
  <si>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</si>
  <si>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</si>
  <si>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</si>
  <si>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</si>
  <si>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</si>
  <si>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</si>
  <si>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</si>
  <si>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</si>
  <si>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</si>
  <si>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</si>
  <si>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</si>
  <si>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</si>
  <si>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</si>
  <si>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</si>
  <si>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</si>
  <si>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</si>
  <si>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</si>
  <si>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</si>
  <si>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</si>
  <si>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</si>
  <si>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</si>
  <si>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</si>
  <si>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</si>
  <si>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</si>
  <si>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</si>
  <si>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</si>
  <si>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</si>
  <si>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</si>
  <si>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</si>
  <si>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</si>
  <si>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</si>
  <si>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</si>
  <si>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</si>
  <si>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</si>
  <si>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</si>
  <si>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</si>
  <si>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</si>
  <si>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</si>
  <si>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</si>
  <si>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</si>
  <si>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</si>
  <si>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</si>
  <si>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</si>
  <si>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</si>
  <si>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</si>
  <si>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</si>
  <si>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</si>
  <si>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</si>
  <si>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</si>
  <si>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</si>
  <si>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</si>
  <si>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</si>
  <si>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</si>
  <si>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</si>
  <si>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</si>
  <si>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</si>
  <si>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</si>
  <si>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</si>
  <si>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</si>
  <si>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</si>
  <si>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</si>
  <si>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</si>
  <si>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</si>
  <si>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</si>
  <si>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</si>
  <si>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</si>
  <si>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</si>
  <si>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</si>
  <si>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</si>
  <si>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</si>
  <si>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</si>
  <si>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</si>
  <si>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</si>
  <si>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</si>
  <si>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</si>
  <si>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</si>
  <si>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</si>
  <si>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</si>
  <si>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</si>
  <si>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</si>
  <si>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</si>
  <si>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</si>
  <si>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</si>
  <si>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</si>
  <si>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</si>
  <si>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</si>
  <si>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</si>
  <si>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</si>
  <si>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</si>
  <si>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</si>
  <si>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</si>
  <si>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</si>
  <si>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</si>
  <si>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</si>
  <si>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</si>
  <si>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</si>
  <si>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</si>
  <si>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</si>
  <si>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</si>
  <si>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</si>
  <si>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</si>
  <si>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</si>
  <si>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</si>
  <si>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</si>
  <si>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</si>
  <si>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</si>
  <si>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</si>
  <si>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</si>
  <si>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</si>
  <si>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</si>
  <si>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</si>
  <si>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</si>
  <si>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</si>
  <si>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</si>
  <si>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</si>
  <si>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</si>
  <si>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</si>
  <si>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</si>
  <si>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</si>
  <si>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</si>
  <si>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</si>
  <si>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</si>
  <si>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</si>
  <si>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</si>
  <si>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</si>
  <si>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</si>
  <si>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</si>
  <si>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</si>
  <si>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</si>
  <si>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</si>
  <si>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</si>
  <si>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</si>
  <si>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</si>
  <si>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</si>
  <si>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</si>
  <si>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</si>
  <si>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</si>
  <si>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</si>
  <si>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</si>
  <si>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</si>
  <si>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</si>
  <si>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</si>
  <si>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</si>
  <si>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</si>
  <si>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</si>
  <si>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</si>
  <si>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</si>
  <si>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</si>
  <si>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</si>
  <si>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</si>
  <si>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</si>
  <si>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</si>
  <si>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</si>
  <si>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</si>
  <si>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</si>
  <si>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</si>
  <si>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</si>
  <si>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</si>
  <si>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</si>
  <si>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</si>
  <si>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</si>
  <si>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</si>
  <si>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</si>
  <si>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</si>
  <si>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</si>
  <si>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</si>
  <si>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</si>
  <si>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</si>
  <si>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</si>
  <si>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</si>
  <si>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</si>
  <si>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</si>
  <si>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</si>
  <si>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</si>
  <si>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</si>
  <si>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</si>
  <si>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</si>
  <si>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</si>
  <si>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</si>
  <si>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</si>
  <si>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</si>
  <si>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</si>
  <si>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</si>
  <si>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</si>
  <si>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</si>
  <si>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</si>
  <si>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</si>
  <si>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</si>
  <si>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</si>
  <si>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</si>
  <si>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</si>
  <si>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</si>
  <si>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</si>
  <si>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</si>
  <si>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</si>
  <si>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</si>
  <si>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</si>
  <si>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</si>
  <si>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</si>
  <si>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</si>
  <si>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</si>
  <si>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</si>
  <si>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</si>
  <si>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</si>
  <si>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</si>
  <si>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</si>
  <si>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</si>
  <si>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</si>
  <si>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</si>
  <si>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</si>
  <si>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</si>
  <si>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</si>
  <si>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</si>
  <si>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</si>
  <si>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</si>
  <si>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</si>
  <si>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</si>
  <si>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</si>
  <si>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</si>
  <si>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</si>
  <si>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</si>
  <si>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</si>
  <si>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</si>
  <si>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</si>
  <si>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</si>
  <si>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</si>
  <si>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</si>
  <si>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</si>
  <si>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</si>
  <si>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</si>
  <si>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</si>
  <si>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</si>
  <si>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</si>
  <si>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</si>
  <si>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</si>
  <si>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</si>
  <si>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</si>
  <si>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</si>
  <si>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</si>
  <si>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</si>
  <si>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</si>
  <si>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</si>
  <si>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</si>
  <si>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</si>
  <si>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</si>
  <si>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</si>
  <si>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</si>
  <si>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</si>
  <si>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</si>
  <si>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</si>
  <si>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</si>
  <si>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</si>
  <si>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</si>
  <si>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</si>
  <si>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</si>
  <si>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</si>
  <si>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</si>
  <si>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</si>
  <si>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</si>
  <si>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</si>
  <si>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</si>
  <si>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</si>
  <si>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</si>
  <si>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</si>
  <si>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</si>
  <si>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</si>
  <si>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</si>
  <si>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</si>
  <si>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</si>
  <si>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</si>
  <si>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</si>
  <si>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</si>
  <si>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</si>
  <si>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</si>
  <si>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</si>
  <si>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</si>
  <si>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</si>
  <si>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</si>
  <si>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</si>
  <si>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</si>
  <si>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</si>
  <si>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</si>
  <si>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</si>
  <si>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</si>
  <si>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</si>
  <si>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</si>
  <si>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</si>
  <si>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</si>
  <si>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</si>
  <si>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</si>
  <si>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</si>
  <si>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</si>
  <si>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</si>
  <si>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</si>
  <si>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</si>
  <si>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</si>
  <si>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</si>
  <si>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</si>
  <si>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</si>
  <si>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</si>
  <si>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</si>
  <si>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</si>
  <si>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</si>
  <si>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</si>
  <si>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</si>
  <si>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</si>
  <si>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</si>
  <si>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</si>
  <si>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</si>
  <si>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</si>
  <si>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</si>
  <si>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</si>
  <si>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</si>
  <si>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</si>
  <si>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</si>
  <si>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</si>
  <si>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</si>
  <si>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</si>
  <si>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</si>
  <si>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</si>
  <si>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</si>
  <si>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</si>
  <si>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</si>
  <si>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</si>
  <si>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</si>
  <si>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</si>
  <si>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</si>
  <si>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</si>
  <si>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</si>
  <si>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</si>
  <si>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</si>
  <si>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</si>
  <si>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</si>
  <si>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</si>
  <si>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</si>
  <si>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</si>
  <si>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</si>
  <si>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</si>
  <si>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</si>
  <si>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</si>
  <si>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</si>
  <si>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</si>
  <si>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</si>
  <si>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</si>
  <si>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</si>
  <si>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</si>
  <si>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</si>
  <si>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</si>
  <si>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</si>
  <si>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</si>
  <si>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</si>
  <si>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</si>
  <si>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</si>
  <si>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</si>
  <si>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</si>
  <si>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</si>
  <si>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</si>
  <si>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</si>
  <si>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</si>
  <si>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</si>
  <si>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</si>
  <si>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</si>
  <si>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</si>
  <si>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</si>
  <si>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</si>
  <si>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</si>
  <si>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</si>
  <si>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</si>
  <si>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</si>
  <si>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</si>
  <si>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</si>
  <si>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</si>
  <si>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</si>
  <si>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</si>
  <si>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</si>
  <si>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</si>
  <si>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</si>
  <si>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</si>
  <si>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</si>
  <si>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</si>
  <si>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</si>
  <si>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</si>
  <si>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</si>
  <si>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</si>
  <si>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</si>
  <si>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</si>
  <si>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</si>
  <si>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</si>
  <si>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</si>
  <si>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</si>
  <si>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</si>
  <si>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</si>
  <si>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</si>
  <si>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</si>
  <si>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</si>
  <si>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</si>
  <si>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</si>
  <si>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</si>
  <si>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</si>
  <si>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</si>
  <si>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</si>
  <si>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</si>
  <si>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</si>
  <si>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</si>
  <si>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</si>
  <si>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</si>
  <si>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</si>
  <si>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</si>
  <si>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</si>
  <si>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</si>
  <si>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</si>
  <si>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</si>
  <si>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</si>
  <si>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</si>
  <si>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</si>
  <si>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</si>
  <si>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</si>
  <si>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</si>
  <si>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</si>
  <si>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</si>
  <si>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</si>
  <si>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</si>
  <si>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</si>
  <si>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</si>
  <si>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</si>
  <si>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</si>
  <si>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</si>
  <si>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</si>
  <si>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</si>
  <si>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</si>
  <si>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</si>
  <si>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</si>
  <si>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</si>
  <si>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</si>
  <si>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</si>
  <si>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</si>
  <si>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</si>
  <si>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</si>
  <si>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</si>
  <si>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</si>
  <si>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</si>
  <si>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</si>
  <si>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</si>
  <si>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</si>
  <si>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</si>
  <si>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</si>
  <si>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</si>
  <si>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</si>
  <si>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</si>
  <si>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</si>
  <si>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</si>
  <si>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</si>
  <si>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</si>
  <si>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</si>
  <si>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</si>
  <si>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</si>
  <si>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</si>
  <si>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</si>
  <si>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</si>
  <si>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</si>
  <si>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</si>
  <si>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</si>
  <si>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</si>
  <si>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</si>
  <si>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</si>
  <si>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</si>
  <si>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</si>
  <si>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</si>
  <si>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</si>
  <si>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</si>
  <si>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</si>
  <si>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</si>
  <si>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</si>
  <si>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</si>
  <si>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</si>
  <si>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</si>
  <si>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</si>
  <si>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</si>
  <si>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</si>
  <si>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</si>
  <si>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</si>
  <si>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</si>
  <si>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</si>
  <si>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</si>
  <si>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</si>
  <si>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</si>
  <si>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</si>
  <si>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</si>
  <si>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</si>
  <si>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</si>
  <si>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</si>
  <si>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</si>
  <si>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</si>
  <si>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</si>
  <si>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</si>
  <si>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</si>
  <si>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</si>
  <si>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</si>
  <si>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</si>
  <si>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</si>
  <si>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</si>
  <si>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</si>
  <si>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</si>
  <si>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</si>
  <si>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</si>
  <si>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</si>
  <si>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</si>
  <si>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</si>
  <si>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</si>
  <si>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</si>
  <si>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</si>
  <si>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</si>
  <si>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</si>
  <si>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</si>
  <si>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</si>
  <si>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</si>
  <si>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</si>
  <si>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</si>
  <si>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</si>
  <si>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</si>
  <si>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</si>
  <si>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</si>
  <si>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</si>
  <si>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</si>
  <si>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</si>
  <si>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</si>
  <si>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</si>
  <si>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</si>
  <si>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</si>
  <si>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</si>
  <si>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</si>
  <si>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</si>
  <si>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</si>
  <si>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</si>
  <si>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</si>
  <si>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</si>
  <si>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</si>
  <si>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</si>
  <si>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</si>
  <si>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</si>
  <si>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</si>
  <si>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</si>
  <si>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</si>
  <si>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</si>
  <si>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</si>
  <si>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</si>
  <si>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</si>
  <si>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</si>
  <si>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</si>
  <si>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</si>
  <si>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</si>
  <si>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</si>
  <si>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</si>
  <si>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</si>
  <si>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</si>
  <si>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</si>
  <si>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</si>
  <si>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</si>
  <si>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</si>
  <si>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</si>
  <si>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</si>
  <si>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</si>
  <si>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</si>
  <si>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</si>
  <si>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</si>
  <si>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</si>
  <si>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</si>
  <si>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</si>
  <si>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</si>
  <si>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</si>
  <si>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</si>
  <si>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</si>
  <si>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</si>
  <si>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</si>
  <si>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</si>
  <si>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</si>
  <si>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</si>
  <si>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</si>
  <si>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</si>
  <si>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</si>
  <si>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</si>
  <si>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</si>
  <si>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</si>
  <si>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</si>
  <si>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</si>
  <si>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</si>
  <si>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</si>
  <si>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</si>
  <si>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</si>
  <si>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</si>
  <si>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</si>
  <si>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</si>
  <si>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</si>
  <si>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</si>
  <si>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</si>
  <si>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</si>
  <si>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</si>
  <si>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</si>
  <si>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</si>
  <si>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</si>
  <si>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</si>
  <si>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</si>
  <si>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</si>
  <si>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</si>
  <si>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</si>
  <si>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</si>
  <si>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</si>
  <si>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</si>
  <si>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</si>
  <si>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</si>
  <si>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</si>
  <si>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</si>
  <si>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</si>
  <si>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</si>
  <si>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</si>
  <si>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</si>
  <si>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</si>
  <si>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</si>
  <si>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</si>
  <si>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</si>
  <si>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</si>
  <si>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</si>
  <si>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</si>
  <si>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</si>
  <si>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</si>
  <si>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</si>
  <si>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</si>
  <si>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</si>
  <si>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</si>
  <si>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</si>
  <si>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</si>
  <si>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</si>
  <si>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</si>
  <si>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</si>
  <si>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</si>
  <si>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</si>
  <si>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</si>
  <si>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</si>
  <si>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</si>
  <si>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</si>
  <si>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</si>
  <si>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</si>
  <si>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</si>
  <si>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</si>
  <si>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</si>
  <si>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</si>
  <si>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</si>
  <si>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</si>
  <si>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</si>
  <si>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</si>
  <si>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</si>
  <si>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</si>
  <si>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</si>
  <si>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</si>
  <si>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</si>
  <si>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</si>
  <si>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</si>
  <si>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</si>
  <si>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</si>
  <si>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</si>
  <si>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</si>
  <si>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</si>
  <si>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</si>
  <si>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</si>
  <si>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</si>
  <si>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</si>
  <si>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</si>
  <si>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</si>
  <si>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</si>
  <si>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</si>
  <si>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</si>
  <si>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</si>
  <si>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</si>
  <si>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</si>
  <si>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</si>
  <si>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</si>
  <si>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</si>
  <si>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</si>
  <si>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</si>
  <si>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</si>
  <si>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</si>
  <si>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</si>
  <si>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</si>
  <si>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</si>
  <si>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</si>
  <si>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</si>
  <si>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</si>
  <si>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</si>
  <si>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</si>
  <si>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</si>
  <si>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</si>
  <si>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</si>
  <si>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</si>
  <si>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</si>
  <si>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</si>
  <si>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</si>
  <si>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</si>
  <si>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</si>
  <si>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</si>
  <si>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</si>
  <si>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</si>
  <si>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</si>
  <si>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</si>
  <si>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</si>
  <si>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</si>
  <si>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</si>
  <si>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</si>
  <si>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</si>
  <si>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</si>
  <si>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</si>
  <si>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</si>
  <si>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</si>
  <si>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</si>
  <si>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</si>
  <si>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</si>
  <si>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</si>
  <si>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</si>
  <si>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</si>
  <si>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</si>
  <si>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</si>
  <si>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</si>
  <si>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</si>
  <si>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</si>
  <si>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</si>
  <si>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</si>
  <si>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</si>
  <si>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</si>
  <si>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</si>
  <si>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</si>
  <si>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</si>
  <si>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</si>
  <si>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</si>
  <si>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</si>
  <si>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</si>
  <si>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</si>
  <si>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</si>
  <si>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</si>
  <si>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</si>
  <si>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</si>
  <si>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</si>
  <si>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</si>
  <si>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</si>
  <si>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</si>
  <si>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</si>
  <si>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</si>
  <si>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</si>
  <si>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</si>
  <si>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</si>
  <si>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</si>
  <si>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</si>
  <si>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</si>
  <si>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</si>
  <si>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</si>
  <si>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</si>
  <si>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</si>
  <si>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</si>
  <si>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</si>
  <si>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</si>
  <si>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</si>
  <si>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</si>
  <si>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</si>
  <si>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</si>
  <si>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</si>
  <si>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</si>
  <si>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</si>
  <si>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</si>
  <si>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</si>
  <si>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</si>
  <si>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</si>
  <si>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</si>
  <si>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</si>
  <si>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</si>
  <si>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</si>
  <si>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</si>
  <si>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</si>
  <si>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</si>
  <si>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</si>
  <si>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</si>
  <si>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</si>
  <si>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</si>
  <si>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</si>
  <si>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</si>
  <si>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</si>
  <si>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</si>
  <si>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</si>
  <si>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</si>
  <si>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</si>
  <si>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</si>
  <si>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</si>
  <si>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</si>
  <si>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</si>
  <si>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</si>
  <si>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</si>
  <si>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</si>
  <si>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</si>
  <si>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</si>
  <si>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</si>
  <si>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</si>
  <si>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</si>
  <si>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</si>
  <si>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</si>
  <si>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</si>
  <si>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</si>
  <si>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</si>
  <si>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</si>
  <si>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</si>
  <si>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</si>
  <si>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</si>
  <si>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</si>
  <si>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</si>
  <si>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</si>
  <si>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</si>
  <si>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</si>
  <si>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</si>
  <si>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</si>
  <si>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</si>
  <si>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</si>
  <si>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</si>
  <si>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</si>
  <si>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</si>
  <si>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</si>
  <si>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</si>
  <si>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</si>
  <si>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</si>
  <si>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</si>
  <si>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</si>
  <si>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</si>
  <si>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</si>
  <si>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</si>
  <si>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</si>
  <si>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</si>
  <si>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</si>
  <si>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</si>
  <si>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</si>
  <si>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</si>
  <si>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</si>
  <si>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</si>
  <si>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</si>
  <si>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</si>
  <si>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</si>
  <si>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</si>
  <si>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</si>
  <si>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</si>
  <si>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</si>
  <si>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</si>
  <si>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</si>
  <si>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</si>
  <si>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</si>
  <si>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</si>
  <si>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</si>
  <si>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</si>
  <si>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</si>
  <si>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</si>
  <si>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</si>
  <si>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</si>
  <si>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</si>
  <si>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</si>
  <si>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</si>
  <si>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</si>
  <si>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</si>
  <si>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</si>
  <si>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</si>
  <si>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</si>
  <si>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</si>
  <si>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</si>
  <si>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</si>
  <si>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</si>
  <si>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</si>
  <si>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</si>
  <si>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</si>
  <si>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</si>
  <si>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</si>
  <si>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</si>
  <si>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</si>
  <si>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</si>
  <si>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</si>
  <si>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</si>
  <si>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</si>
  <si>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</si>
  <si>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</si>
  <si>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</si>
  <si>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</si>
  <si>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</si>
  <si>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</si>
  <si>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</si>
  <si>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</si>
  <si>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</si>
  <si>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</si>
  <si>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</si>
  <si>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</si>
  <si>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</si>
  <si>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</si>
  <si>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</si>
  <si>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</si>
  <si>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</si>
  <si>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</si>
  <si>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</si>
  <si>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</si>
  <si>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</si>
  <si>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</si>
  <si>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</si>
  <si>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</si>
  <si>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</si>
  <si>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</si>
  <si>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</si>
  <si>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</si>
  <si>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</si>
  <si>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</si>
  <si>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</si>
  <si>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</si>
  <si>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</si>
  <si>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</si>
  <si>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</si>
  <si>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</si>
  <si>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</si>
  <si>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</si>
  <si>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</si>
  <si>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</si>
  <si>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</si>
  <si>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</si>
  <si>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</si>
  <si>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</si>
  <si>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</si>
  <si>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</si>
  <si>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</si>
  <si>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</si>
  <si>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</si>
  <si>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</si>
  <si>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</si>
  <si>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</si>
  <si>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</si>
  <si>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</si>
  <si>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</si>
  <si>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</si>
  <si>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</si>
  <si>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</si>
  <si>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</si>
  <si>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</si>
  <si>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</si>
  <si>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</si>
  <si>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</si>
  <si>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</si>
  <si>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</si>
  <si>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</si>
  <si>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</si>
  <si>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</si>
  <si>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</si>
  <si>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</si>
  <si>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</si>
  <si>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</si>
  <si>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</si>
  <si>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</si>
  <si>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</si>
  <si>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</si>
  <si>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</si>
  <si>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</si>
  <si>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</si>
  <si>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</si>
  <si>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</si>
  <si>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</si>
  <si>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</si>
  <si>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</si>
  <si>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</si>
  <si>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</si>
  <si>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</si>
  <si>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</si>
  <si>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</si>
  <si>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</si>
  <si>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</si>
  <si>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</si>
  <si>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</si>
  <si>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</si>
  <si>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</si>
  <si>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</si>
  <si>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</si>
  <si>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</si>
  <si>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</si>
  <si>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</si>
  <si>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</si>
  <si>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</si>
  <si>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</si>
  <si>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</si>
  <si>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</si>
  <si>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</si>
  <si>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</si>
  <si>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</si>
  <si>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</si>
  <si>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</si>
  <si>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</si>
  <si>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</si>
  <si>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</si>
  <si>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</si>
  <si>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</si>
  <si>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</si>
  <si>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</si>
  <si>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</si>
  <si>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</si>
  <si>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</si>
  <si>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</si>
  <si>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</si>
  <si>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</si>
  <si>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</si>
  <si>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</si>
  <si>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</si>
  <si>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</si>
  <si>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</si>
  <si>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</si>
  <si>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</si>
  <si>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</si>
  <si>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</si>
  <si>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</si>
  <si>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</si>
  <si>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</si>
  <si>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</si>
  <si>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</si>
  <si>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</si>
  <si>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</si>
  <si>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</si>
  <si>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</si>
  <si>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</si>
  <si>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</si>
  <si>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</si>
  <si>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</si>
  <si>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</si>
  <si>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</si>
  <si>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</si>
  <si>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</si>
  <si>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</si>
  <si>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</si>
  <si>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</si>
  <si>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</si>
  <si>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</si>
  <si>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</si>
  <si>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</si>
  <si>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</si>
  <si>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</si>
  <si>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</si>
  <si>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</si>
  <si>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</si>
  <si>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</si>
  <si>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</si>
  <si>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</si>
  <si>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</si>
  <si>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</si>
  <si>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</si>
  <si>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</si>
  <si>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</si>
  <si>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</si>
  <si>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</si>
  <si>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</si>
  <si>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</si>
  <si>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</si>
  <si>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</si>
  <si>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</si>
  <si>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</si>
  <si>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</si>
  <si>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</si>
  <si>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</si>
  <si>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</si>
  <si>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</si>
  <si>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</si>
  <si>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</si>
  <si>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</si>
  <si>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</si>
  <si>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</si>
  <si>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</si>
  <si>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</si>
  <si>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</si>
  <si>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</si>
  <si>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</si>
  <si>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</si>
  <si>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</si>
  <si>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</si>
  <si>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</si>
  <si>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</si>
  <si>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</si>
  <si>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</si>
  <si>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</si>
  <si>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</si>
  <si>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</si>
  <si>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</si>
  <si>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</si>
  <si>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</si>
  <si>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</si>
  <si>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</si>
  <si>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</si>
  <si>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</si>
  <si>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</si>
  <si>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</si>
  <si>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</si>
  <si>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</si>
  <si>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</si>
  <si>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</si>
  <si>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</si>
  <si>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</si>
  <si>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</si>
  <si>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</si>
  <si>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</si>
  <si>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</si>
  <si>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</si>
  <si>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</si>
  <si>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</si>
  <si>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</si>
  <si>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</si>
  <si>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</si>
  <si>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</si>
  <si>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</si>
  <si>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</si>
  <si>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</si>
  <si>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</si>
  <si>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</si>
  <si>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</si>
  <si>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</si>
  <si>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</si>
  <si>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</si>
  <si>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</si>
  <si>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</si>
  <si>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</si>
  <si>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</si>
  <si>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</si>
  <si>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</si>
  <si>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</si>
  <si>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</si>
  <si>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</si>
  <si>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</si>
  <si>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</si>
  <si>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</si>
  <si>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</si>
  <si>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</si>
  <si>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</si>
  <si>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</si>
  <si>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</si>
  <si>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</si>
  <si>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</si>
  <si>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</si>
  <si>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</si>
  <si>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</si>
  <si>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</si>
  <si>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</si>
  <si>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</si>
  <si>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</si>
  <si>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</si>
  <si>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</si>
  <si>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</si>
  <si>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</si>
  <si>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</si>
  <si>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</si>
  <si>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</si>
  <si>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</si>
  <si>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</si>
  <si>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</si>
  <si>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</si>
  <si>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</si>
  <si>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</si>
  <si>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</si>
  <si>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</si>
  <si>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</si>
  <si>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</si>
  <si>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</si>
  <si>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</si>
  <si>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</si>
  <si>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</si>
  <si>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</si>
  <si>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</si>
  <si>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</si>
  <si>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</si>
  <si>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</si>
  <si>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</si>
  <si>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</si>
  <si>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</si>
  <si>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</si>
  <si>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</si>
  <si>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</si>
  <si>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</si>
  <si>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</si>
  <si>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</si>
  <si>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</si>
  <si>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</si>
  <si>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</si>
  <si>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</si>
  <si>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</si>
  <si>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</si>
  <si>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</si>
  <si>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</si>
  <si>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</si>
  <si>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</si>
  <si>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</si>
  <si>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</si>
  <si>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</si>
  <si>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</si>
  <si>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</si>
  <si>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</si>
  <si>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</si>
  <si>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</si>
  <si>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</si>
  <si>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</si>
  <si>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</si>
  <si>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</si>
  <si>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</si>
  <si>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</si>
  <si>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</si>
  <si>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</si>
  <si>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</si>
  <si>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</si>
  <si>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</si>
  <si>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</si>
  <si>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</si>
  <si>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</si>
  <si>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</si>
  <si>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</si>
  <si>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</si>
  <si>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</si>
  <si>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</si>
  <si>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</si>
  <si>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</si>
  <si>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</si>
  <si>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</si>
  <si>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</si>
  <si>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</si>
  <si>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</si>
  <si>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</si>
  <si>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</si>
  <si>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</si>
  <si>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</si>
  <si>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</si>
  <si>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</si>
  <si>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</si>
  <si>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</si>
  <si>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</si>
  <si>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</si>
  <si>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</si>
  <si>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</si>
  <si>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</si>
  <si>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</si>
  <si>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</si>
  <si>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</si>
  <si>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</si>
  <si>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</si>
  <si>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</si>
  <si>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</si>
  <si>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</si>
  <si>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</si>
  <si>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</si>
  <si>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</si>
  <si>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</si>
  <si>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</si>
  <si>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</si>
  <si>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</si>
  <si>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</si>
  <si>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</si>
  <si>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</si>
  <si>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</si>
  <si>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</si>
  <si>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</si>
  <si>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</si>
  <si>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</si>
  <si>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</si>
  <si>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</si>
  <si>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</si>
  <si>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</si>
  <si>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</si>
  <si>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</si>
  <si>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</si>
  <si>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</si>
  <si>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</si>
  <si>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</si>
  <si>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</si>
  <si>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</si>
  <si>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</si>
  <si>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</si>
  <si>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</si>
  <si>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</si>
  <si>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</si>
  <si>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</si>
  <si>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</si>
  <si>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</si>
  <si>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</si>
  <si>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</si>
  <si>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</si>
  <si>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</si>
  <si>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</si>
  <si>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</si>
  <si>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</si>
  <si>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</si>
  <si>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</si>
  <si>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</si>
  <si>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</si>
  <si>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</si>
  <si>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</si>
  <si>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</si>
  <si>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</si>
  <si>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</si>
  <si>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</si>
  <si>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</si>
  <si>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</si>
  <si>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</si>
  <si>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</si>
  <si>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</si>
  <si>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</si>
  <si>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</si>
  <si>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</si>
  <si>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</si>
  <si>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</si>
  <si>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</si>
  <si>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</si>
  <si>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</si>
  <si>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</si>
  <si>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</si>
  <si>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</si>
  <si>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</si>
  <si>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</si>
  <si>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</si>
  <si>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</si>
  <si>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</si>
  <si>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</si>
  <si>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</si>
  <si>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</si>
  <si>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</si>
  <si>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</si>
  <si>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</si>
  <si>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</si>
  <si>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</si>
  <si>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</si>
  <si>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</si>
  <si>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</si>
  <si>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</si>
  <si>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</si>
  <si>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</si>
  <si>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</si>
  <si>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</si>
  <si>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</si>
  <si>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</si>
  <si>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</si>
  <si>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</si>
  <si>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</si>
  <si>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</si>
  <si>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</si>
  <si>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</si>
  <si>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</si>
  <si>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</si>
  <si>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</si>
  <si>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</si>
  <si>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</si>
  <si>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</si>
  <si>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</si>
  <si>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</si>
  <si>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</si>
  <si>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</si>
  <si>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</si>
  <si>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</si>
  <si>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</si>
  <si>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</si>
  <si>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</si>
  <si>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</si>
  <si>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</si>
  <si>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</si>
  <si>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</si>
  <si>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</si>
  <si>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</si>
  <si>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</si>
  <si>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</si>
  <si>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</si>
  <si>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</si>
  <si>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</si>
  <si>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</si>
  <si>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</si>
  <si>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</si>
  <si>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</si>
  <si>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</si>
  <si>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</si>
  <si>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</si>
  <si>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</si>
  <si>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</si>
  <si>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</si>
  <si>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</si>
  <si>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</si>
  <si>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</si>
  <si>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</si>
  <si>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</si>
  <si>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</si>
  <si>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</si>
  <si>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</si>
  <si>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</si>
  <si>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</si>
  <si>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</si>
  <si>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</si>
  <si>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</si>
  <si>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</si>
  <si>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</si>
  <si>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</si>
  <si>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</si>
  <si>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</si>
  <si>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</si>
  <si>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</si>
  <si>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</si>
  <si>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</si>
  <si>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</si>
  <si>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</si>
  <si>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</si>
  <si>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</si>
  <si>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</si>
  <si>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</si>
  <si>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</si>
  <si>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</si>
  <si>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</si>
  <si>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</si>
  <si>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</si>
  <si>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</si>
  <si>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</si>
  <si>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</si>
  <si>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</si>
  <si>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</si>
  <si>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</si>
  <si>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</si>
  <si>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</si>
  <si>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</si>
  <si>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</si>
  <si>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</si>
  <si>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</si>
  <si>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</si>
  <si>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</si>
  <si>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</si>
  <si>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</si>
  <si>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</si>
  <si>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</si>
  <si>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</si>
  <si>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</si>
  <si>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</si>
  <si>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</si>
  <si>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</si>
  <si>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</si>
  <si>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</si>
  <si>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</si>
  <si>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</si>
  <si>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</si>
  <si>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</si>
  <si>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</si>
  <si>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</si>
  <si>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</si>
  <si>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</si>
  <si>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</si>
  <si>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</si>
  <si>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</si>
  <si>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</si>
  <si>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</si>
  <si>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</si>
  <si>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</si>
  <si>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</si>
  <si>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</si>
  <si>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</si>
  <si>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</si>
  <si>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</si>
  <si>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</si>
  <si>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</si>
  <si>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</si>
  <si>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</si>
  <si>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</si>
  <si>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</si>
  <si>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</si>
  <si>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</si>
  <si>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</si>
  <si>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</si>
  <si>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</si>
  <si>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</si>
  <si>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</si>
  <si>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</si>
  <si>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</si>
  <si>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</si>
  <si>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</si>
  <si>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</si>
  <si>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</si>
  <si>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</si>
  <si>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</si>
  <si>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</si>
  <si>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</si>
  <si>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</si>
  <si>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</si>
  <si>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</si>
  <si>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</si>
  <si>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</si>
  <si>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</si>
  <si>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</si>
  <si>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</si>
  <si>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</si>
  <si>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</si>
  <si>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</si>
  <si>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</si>
  <si>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</si>
  <si>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</si>
  <si>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</si>
  <si>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</si>
  <si>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</si>
  <si>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</si>
  <si>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</si>
  <si>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</si>
  <si>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</si>
  <si>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</si>
  <si>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</si>
  <si>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</si>
  <si>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</si>
  <si>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</si>
  <si>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</si>
  <si>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</si>
  <si>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</si>
  <si>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</si>
  <si>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</si>
  <si>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</si>
  <si>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</si>
  <si>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</si>
  <si>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</si>
  <si>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</si>
  <si>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</si>
  <si>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</si>
  <si>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</si>
  <si>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</si>
  <si>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</si>
  <si>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</si>
  <si>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</si>
  <si>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</si>
  <si>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</si>
  <si>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</si>
  <si>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</si>
  <si>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</si>
  <si>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</si>
  <si>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</si>
  <si>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</si>
  <si>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</si>
  <si>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</si>
  <si>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</si>
  <si>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</si>
  <si>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</si>
  <si>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</si>
  <si>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</si>
  <si>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</si>
  <si>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</si>
  <si>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</si>
  <si>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</si>
  <si>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</si>
  <si>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</si>
  <si>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</si>
  <si>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</si>
  <si>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</si>
  <si>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</si>
  <si>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</si>
  <si>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</si>
  <si>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</si>
  <si>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</si>
  <si>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</si>
  <si>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</si>
  <si>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</si>
  <si>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</si>
  <si>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</si>
  <si>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</si>
  <si>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</si>
  <si>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</si>
  <si>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</si>
  <si>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</si>
  <si>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</si>
  <si>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</si>
  <si>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</si>
  <si>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</si>
  <si>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</si>
  <si>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</si>
  <si>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</si>
  <si>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</si>
  <si>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</si>
  <si>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</si>
  <si>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</si>
  <si>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</si>
  <si>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</si>
  <si>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</si>
  <si>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</si>
  <si>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</si>
  <si>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</si>
  <si>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</si>
  <si>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</si>
  <si>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</si>
  <si>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</si>
  <si>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</si>
  <si>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</si>
  <si>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</si>
  <si>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</si>
  <si>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</si>
  <si>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</si>
  <si>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</si>
  <si>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</si>
  <si>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</si>
  <si>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</si>
  <si>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</si>
  <si>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</si>
  <si>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</si>
  <si>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</si>
  <si>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</si>
  <si>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</si>
  <si>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</si>
  <si>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</si>
  <si>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</si>
  <si>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</si>
  <si>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</si>
  <si>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</si>
  <si>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</si>
  <si>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</si>
  <si>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</si>
  <si>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</si>
  <si>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</si>
  <si>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</si>
  <si>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</si>
  <si>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</si>
  <si>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</si>
  <si>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</si>
  <si>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</si>
  <si>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</si>
  <si>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</si>
  <si>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</si>
  <si>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</si>
  <si>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</si>
  <si>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</si>
  <si>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</si>
  <si>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</si>
  <si>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</si>
  <si>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</si>
  <si>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</si>
  <si>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</si>
  <si>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</si>
  <si>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</si>
  <si>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</si>
  <si>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</si>
  <si>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</si>
  <si>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</si>
  <si>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</si>
  <si>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</si>
  <si>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</si>
  <si>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</si>
  <si>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</si>
  <si>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</si>
  <si>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</si>
  <si>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</si>
  <si>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</si>
  <si>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</si>
  <si>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</si>
  <si>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</si>
  <si>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</si>
  <si>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</si>
  <si>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</si>
  <si>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</si>
  <si>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</si>
  <si>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</si>
  <si>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</si>
  <si>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</si>
  <si>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</si>
  <si>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</si>
  <si>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</si>
  <si>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</si>
  <si>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</si>
  <si>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</si>
  <si>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</si>
  <si>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</si>
  <si>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</si>
  <si>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</si>
  <si>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</si>
  <si>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</si>
  <si>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</si>
  <si>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</si>
  <si>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</si>
  <si>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</si>
  <si>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</si>
  <si>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</si>
  <si>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</si>
  <si>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</si>
  <si>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</si>
  <si>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</si>
  <si>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</si>
  <si>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</si>
  <si>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</si>
  <si>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</si>
  <si>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</si>
  <si>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</si>
  <si>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</si>
  <si>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</si>
  <si>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</si>
  <si>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</si>
  <si>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</si>
  <si>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</si>
  <si>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</si>
  <si>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</si>
  <si>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</si>
  <si>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</si>
  <si>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</si>
  <si>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</si>
  <si>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</si>
  <si>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</si>
  <si>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</si>
  <si>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</si>
  <si>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</si>
  <si>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</si>
  <si>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</si>
  <si>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</si>
  <si>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</si>
  <si>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</si>
  <si>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</si>
  <si>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</si>
  <si>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</si>
  <si>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</si>
  <si>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</si>
  <si>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</si>
  <si>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</si>
  <si>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</si>
  <si>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</si>
  <si>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</si>
  <si>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</si>
  <si>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</si>
  <si>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</si>
  <si>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</si>
  <si>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</si>
  <si>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</si>
  <si>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</si>
  <si>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</si>
  <si>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</si>
  <si>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</si>
  <si>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</si>
  <si>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</si>
  <si>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</si>
  <si>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</si>
  <si>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</si>
  <si>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</si>
  <si>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</si>
  <si>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</si>
  <si>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</si>
  <si>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</si>
  <si>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</si>
  <si>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</si>
  <si>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</si>
  <si>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</si>
  <si>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</si>
  <si>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</si>
  <si>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</si>
  <si>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</si>
  <si>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</si>
  <si>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</si>
  <si>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</si>
  <si>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</si>
  <si>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</si>
  <si>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</si>
  <si>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</si>
  <si>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</si>
  <si>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</si>
  <si>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</si>
  <si>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</si>
  <si>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</si>
  <si>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</si>
  <si>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</si>
  <si>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</si>
  <si>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</si>
  <si>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</si>
  <si>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</si>
  <si>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</si>
  <si>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</si>
  <si>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</si>
  <si>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</si>
  <si>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</si>
  <si>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</si>
  <si>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</si>
  <si>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</si>
  <si>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</si>
  <si>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</si>
  <si>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</si>
  <si>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</si>
  <si>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</si>
  <si>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</si>
  <si>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</si>
  <si>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</si>
  <si>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</si>
  <si>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</si>
  <si>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</si>
  <si>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</si>
  <si>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</si>
  <si>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</si>
  <si>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</si>
  <si>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</si>
  <si>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</si>
  <si>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</si>
  <si>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</si>
  <si>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</si>
  <si>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</si>
  <si>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</si>
  <si>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</si>
  <si>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</si>
  <si>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</si>
  <si>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</si>
  <si>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</si>
  <si>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</si>
  <si>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</si>
  <si>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</si>
  <si>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</si>
  <si>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</si>
  <si>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</si>
  <si>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</si>
  <si>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</si>
  <si>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</si>
  <si>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</si>
  <si>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</si>
  <si>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</si>
  <si>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</si>
  <si>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</si>
  <si>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</si>
  <si>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</si>
  <si>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</si>
  <si>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</si>
  <si>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</si>
  <si>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</si>
  <si>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</si>
  <si>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</si>
  <si>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</si>
  <si>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</si>
  <si>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</si>
  <si>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</si>
  <si>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</si>
  <si>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</si>
  <si>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</si>
  <si>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</si>
  <si>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</si>
  <si>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</si>
  <si>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</si>
  <si>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</si>
  <si>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</si>
  <si>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</si>
  <si>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</si>
  <si>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</si>
  <si>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</si>
  <si>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</si>
  <si>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</si>
  <si>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</si>
  <si>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</si>
  <si>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</si>
  <si>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</si>
  <si>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</si>
  <si>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</si>
  <si>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</si>
  <si>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</si>
  <si>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</si>
  <si>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</si>
  <si>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</si>
  <si>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</si>
  <si>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</si>
  <si>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</si>
  <si>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</si>
  <si>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</si>
  <si>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</si>
  <si>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</si>
  <si>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</si>
  <si>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</si>
  <si>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</si>
  <si>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</si>
  <si>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</si>
  <si>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</si>
  <si>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</si>
  <si>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</si>
  <si>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</si>
  <si>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</si>
  <si>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</si>
  <si>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</si>
  <si>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</si>
  <si>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</si>
  <si>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</si>
  <si>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</si>
  <si>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</si>
  <si>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</si>
  <si>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</si>
  <si>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</si>
  <si>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</si>
  <si>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</si>
  <si>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</si>
  <si>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</si>
  <si>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</si>
  <si>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</si>
  <si>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</si>
  <si>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</si>
  <si>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</si>
  <si>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</si>
  <si>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</si>
  <si>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</si>
  <si>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</si>
  <si>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</si>
  <si>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</si>
  <si>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</si>
  <si>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</si>
  <si>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</si>
  <si>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</si>
  <si>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</si>
  <si>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</si>
  <si>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</si>
  <si>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</si>
  <si>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</si>
  <si>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</si>
  <si>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</si>
  <si>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</si>
  <si>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</si>
  <si>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</si>
  <si>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</si>
  <si>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</si>
  <si>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</si>
  <si>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</si>
  <si>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</si>
  <si>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</si>
  <si>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</si>
  <si>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</si>
  <si>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</si>
  <si>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</si>
  <si>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</si>
  <si>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</si>
  <si>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</si>
  <si>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</si>
  <si>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</si>
  <si>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</si>
  <si>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</si>
  <si>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</si>
  <si>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</si>
  <si>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</si>
  <si>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</si>
  <si>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</si>
  <si>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</si>
  <si>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</si>
  <si>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</si>
  <si>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</si>
  <si>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</si>
  <si>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</si>
  <si>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</si>
  <si>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</si>
  <si>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</si>
  <si>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</si>
  <si>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</si>
  <si>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</si>
  <si>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</si>
  <si>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</si>
  <si>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</si>
  <si>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</si>
  <si>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</si>
  <si>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</si>
  <si>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</si>
  <si>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</si>
  <si>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</si>
  <si>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</si>
  <si>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</si>
  <si>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</si>
  <si>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</si>
  <si>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</si>
  <si>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</si>
  <si>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</si>
  <si>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</si>
  <si>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</si>
  <si>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</si>
  <si>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</si>
  <si>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</si>
  <si>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</si>
  <si>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</si>
  <si>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</si>
  <si>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</si>
  <si>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</si>
  <si>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</si>
  <si>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</si>
  <si>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</si>
  <si>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</si>
  <si>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</si>
  <si>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</si>
  <si>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</si>
  <si>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</si>
  <si>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</si>
  <si>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</si>
  <si>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</si>
  <si>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</si>
  <si>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</si>
  <si>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</si>
  <si>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</si>
  <si>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</si>
  <si>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</si>
  <si>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</si>
  <si>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</si>
  <si>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</si>
  <si>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</si>
  <si>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</si>
  <si>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</si>
  <si>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</si>
  <si>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</si>
  <si>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</si>
  <si>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</si>
  <si>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</si>
  <si>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</si>
  <si>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</si>
  <si>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</si>
  <si>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</si>
  <si>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</si>
  <si>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</si>
  <si>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</si>
  <si>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</si>
  <si>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</si>
  <si>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</si>
  <si>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</si>
  <si>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</si>
  <si>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</si>
  <si>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</si>
  <si>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</si>
  <si>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</si>
  <si>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</si>
  <si>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</si>
  <si>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</si>
  <si>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</si>
  <si>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</si>
  <si>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</si>
  <si>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</si>
  <si>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</si>
  <si>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</si>
  <si>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</si>
  <si>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</si>
  <si>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</si>
  <si>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</si>
  <si>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</si>
  <si>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</si>
  <si>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</si>
  <si>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</si>
  <si>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</si>
  <si>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</si>
  <si>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</si>
  <si>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</si>
  <si>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</si>
  <si>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</si>
  <si>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</si>
  <si>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</si>
  <si>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</si>
  <si>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</si>
  <si>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</si>
  <si>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</si>
  <si>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</si>
  <si>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</si>
  <si>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</si>
  <si>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</si>
  <si>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</si>
  <si>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</si>
  <si>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</si>
  <si>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</si>
  <si>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</si>
  <si>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</si>
  <si>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</si>
  <si>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</si>
  <si>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</si>
  <si>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</si>
  <si>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</si>
  <si>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</si>
  <si>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</si>
  <si>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</si>
  <si>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</si>
  <si>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</si>
  <si>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</si>
  <si>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</si>
  <si>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</si>
  <si>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</si>
  <si>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</si>
  <si>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</si>
  <si>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</si>
  <si>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</si>
  <si>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</si>
  <si>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</si>
  <si>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</si>
  <si>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</si>
  <si>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</si>
  <si>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</si>
  <si>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</si>
  <si>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</si>
  <si>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</si>
  <si>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</si>
  <si>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</si>
  <si>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</si>
  <si>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</si>
  <si>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</si>
  <si>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</si>
  <si>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</si>
  <si>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</si>
  <si>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</si>
  <si>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</si>
  <si>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</si>
  <si>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</si>
  <si>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</si>
  <si>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</si>
  <si>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</si>
  <si>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</si>
  <si>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</si>
  <si>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</si>
  <si>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</si>
  <si>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</si>
  <si>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</si>
  <si>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</si>
  <si>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</si>
  <si>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</si>
  <si>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</si>
  <si>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</si>
  <si>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</si>
  <si>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</si>
  <si>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</si>
  <si>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</si>
  <si>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</si>
  <si>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</si>
  <si>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</si>
  <si>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</si>
  <si>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</si>
  <si>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</si>
  <si>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</si>
  <si>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</si>
  <si>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</si>
  <si>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</si>
  <si>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</si>
  <si>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</si>
  <si>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</si>
  <si>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</si>
  <si>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</si>
  <si>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</si>
  <si>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</si>
  <si>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</si>
  <si>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</si>
  <si>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</si>
  <si>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</si>
  <si>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</si>
  <si>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</si>
  <si>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</si>
  <si>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</si>
  <si>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</si>
  <si>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</si>
  <si>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</si>
  <si>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</si>
  <si>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</si>
  <si>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</si>
  <si>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</si>
  <si>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</si>
  <si>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</si>
  <si>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</si>
  <si>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</si>
  <si>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</si>
  <si>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</si>
  <si>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</si>
  <si>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</si>
  <si>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</si>
  <si>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</si>
  <si>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</si>
  <si>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</si>
  <si>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</si>
  <si>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</si>
  <si>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</si>
  <si>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</si>
  <si>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</si>
  <si>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</si>
  <si>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</si>
  <si>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</si>
  <si>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</si>
  <si>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</si>
  <si>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</si>
  <si>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</si>
  <si>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</si>
  <si>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</si>
  <si>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</si>
  <si>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</si>
  <si>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</si>
  <si>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</si>
  <si>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</si>
  <si>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</si>
  <si>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</si>
  <si>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</si>
  <si>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</si>
  <si>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</si>
  <si>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</si>
  <si>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</si>
  <si>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</si>
  <si>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</si>
  <si>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</si>
  <si>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</si>
  <si>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</si>
  <si>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</si>
  <si>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</si>
  <si>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</si>
  <si>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</si>
  <si>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</si>
  <si>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</si>
  <si>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</si>
  <si>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</si>
  <si>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</si>
  <si>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</si>
  <si>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</si>
  <si>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</si>
  <si>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</si>
  <si>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</si>
  <si>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</si>
  <si>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</si>
  <si>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</si>
  <si>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</si>
  <si>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</si>
  <si>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</si>
  <si>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</si>
  <si>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</si>
  <si>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</si>
  <si>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</si>
  <si>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</si>
  <si>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</si>
  <si>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</si>
  <si>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</si>
  <si>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</si>
  <si>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</si>
  <si>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</si>
  <si>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</si>
  <si>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</si>
  <si>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</si>
  <si>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</si>
  <si>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</si>
  <si>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</si>
  <si>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</si>
  <si>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</si>
  <si>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</si>
  <si>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</si>
  <si>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</si>
  <si>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</si>
  <si>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</si>
  <si>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</si>
  <si>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</si>
  <si>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</si>
  <si>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</si>
  <si>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</si>
  <si>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</si>
  <si>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</si>
  <si>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</si>
  <si>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</si>
  <si>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</si>
  <si>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</si>
  <si>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</si>
  <si>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</si>
  <si>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</si>
  <si>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</si>
  <si>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</si>
  <si>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</si>
  <si>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</si>
  <si>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</si>
  <si>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</si>
  <si>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</si>
  <si>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</si>
  <si>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</si>
  <si>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</si>
  <si>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</si>
  <si>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</si>
  <si>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</si>
  <si>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</si>
  <si>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</si>
  <si>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</si>
  <si>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</si>
  <si>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</si>
  <si>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</si>
  <si>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</si>
  <si>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</si>
  <si>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</si>
  <si>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</si>
  <si>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</si>
  <si>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</si>
  <si>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</si>
  <si>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</si>
  <si>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</si>
  <si>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</si>
  <si>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</si>
  <si>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</si>
  <si>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</si>
  <si>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</si>
  <si>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</si>
  <si>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</si>
  <si>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</si>
  <si>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</si>
  <si>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</si>
  <si>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</si>
  <si>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</si>
  <si>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</si>
  <si>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</si>
  <si>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</si>
  <si>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</si>
  <si>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</si>
  <si>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</si>
  <si>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</si>
  <si>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</si>
  <si>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</si>
  <si>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</si>
  <si>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</si>
  <si>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</si>
  <si>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</si>
  <si>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</si>
  <si>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</si>
  <si>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</si>
  <si>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</si>
  <si>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</si>
  <si>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</si>
  <si>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</si>
  <si>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</si>
  <si>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</si>
  <si>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</si>
  <si>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</si>
  <si>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</si>
  <si>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</si>
  <si>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</si>
  <si>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</si>
  <si>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</si>
  <si>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</si>
  <si>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</si>
  <si>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</si>
  <si>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</si>
  <si>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</si>
  <si>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</si>
  <si>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</si>
  <si>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</si>
  <si>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</si>
  <si>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</si>
  <si>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</si>
  <si>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</si>
  <si>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</si>
  <si>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</si>
  <si>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</si>
  <si>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</si>
  <si>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</si>
  <si>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</si>
  <si>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</si>
  <si>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</si>
  <si>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</si>
  <si>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</si>
  <si>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</si>
  <si>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</si>
  <si>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</si>
  <si>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</si>
  <si>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</si>
  <si>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</si>
  <si>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</si>
  <si>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</si>
  <si>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</si>
  <si>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</si>
  <si>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</si>
  <si>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</si>
  <si>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</si>
  <si>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</si>
  <si>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</si>
  <si>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</si>
  <si>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</si>
  <si>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</si>
  <si>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</si>
  <si>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</si>
  <si>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</si>
  <si>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</si>
  <si>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</si>
  <si>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</si>
  <si>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</si>
  <si>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</si>
  <si>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</si>
  <si>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</si>
  <si>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</si>
  <si>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</si>
  <si>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</si>
  <si>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</si>
  <si>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</si>
  <si>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</si>
  <si>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</si>
  <si>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</si>
  <si>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</si>
  <si>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</si>
  <si>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</si>
  <si>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</si>
  <si>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</si>
  <si>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</si>
  <si>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</si>
  <si>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</si>
  <si>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</si>
  <si>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</si>
  <si>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</si>
  <si>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</si>
  <si>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</si>
  <si>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</si>
  <si>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</si>
  <si>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</si>
  <si>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</si>
  <si>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</si>
  <si>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</si>
  <si>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</si>
  <si>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</si>
  <si>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</si>
  <si>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</si>
  <si>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</si>
  <si>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</si>
  <si>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</si>
  <si>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</si>
  <si>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</si>
  <si>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</si>
  <si>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</si>
  <si>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</si>
  <si>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</si>
  <si>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</si>
  <si>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</si>
  <si>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</si>
  <si>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</si>
  <si>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</si>
  <si>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</si>
  <si>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</si>
  <si>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</si>
  <si>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</si>
  <si>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</si>
  <si>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</si>
  <si>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</si>
  <si>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</si>
  <si>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</si>
  <si>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</si>
  <si>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</si>
  <si>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</si>
  <si>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</si>
  <si>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</si>
  <si>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</si>
  <si>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</si>
  <si>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</si>
  <si>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</si>
  <si>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</si>
  <si>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</si>
  <si>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</si>
  <si>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</si>
  <si>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</si>
  <si>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</si>
  <si>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</si>
  <si>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</si>
  <si>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</si>
  <si>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</si>
  <si>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</si>
  <si>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</si>
  <si>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</si>
  <si>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</si>
  <si>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</si>
  <si>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</si>
  <si>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</si>
  <si>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</si>
  <si>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</si>
  <si>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</si>
  <si>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</si>
  <si>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</si>
  <si>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</si>
  <si>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</si>
  <si>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</si>
  <si>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</si>
  <si>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</si>
  <si>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</si>
  <si>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</si>
  <si>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</si>
  <si>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</si>
  <si>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</si>
  <si>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</si>
  <si>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</si>
  <si>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</si>
  <si>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</si>
  <si>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</si>
  <si>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</si>
  <si>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</si>
  <si>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</si>
  <si>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</si>
  <si>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</si>
  <si>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</si>
  <si>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</si>
  <si>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</si>
  <si>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</si>
  <si>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</si>
  <si>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</si>
  <si>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</si>
  <si>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</si>
  <si>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</si>
  <si>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</si>
  <si>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</si>
  <si>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</si>
  <si>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</si>
  <si>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</si>
  <si>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</si>
  <si>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</si>
  <si>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</si>
  <si>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</si>
  <si>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</si>
  <si>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</si>
  <si>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</si>
  <si>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</si>
  <si>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</si>
  <si>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</si>
  <si>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</si>
  <si>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</si>
  <si>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</si>
  <si>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</si>
  <si>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</si>
  <si>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</si>
  <si>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</si>
  <si>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</si>
  <si>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</si>
  <si>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</si>
  <si>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</si>
  <si>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</si>
  <si>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</si>
  <si>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</si>
  <si>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</si>
  <si>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</si>
  <si>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</si>
  <si>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</si>
  <si>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</si>
  <si>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</si>
  <si>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</si>
  <si>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</si>
  <si>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</si>
  <si>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</si>
  <si>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</si>
  <si>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</si>
  <si>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</si>
  <si>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</si>
  <si>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</si>
  <si>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</si>
  <si>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</si>
  <si>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</si>
  <si>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</si>
  <si>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</si>
  <si>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</si>
  <si>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</si>
  <si>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</si>
  <si>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</si>
  <si>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</si>
  <si>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</si>
  <si>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</si>
  <si>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</si>
  <si>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</si>
  <si>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</si>
  <si>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</si>
  <si>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</si>
  <si>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</si>
  <si>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</si>
  <si>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</si>
  <si>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</si>
  <si>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</si>
  <si>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</si>
  <si>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</si>
  <si>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</si>
  <si>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</si>
  <si>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</si>
  <si>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</si>
  <si>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</si>
  <si>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</si>
  <si>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</si>
  <si>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</si>
  <si>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</si>
  <si>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</si>
  <si>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</si>
  <si>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</si>
  <si>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</si>
  <si>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</si>
  <si>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</si>
  <si>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</si>
  <si>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</si>
  <si>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</si>
  <si>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</si>
  <si>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</si>
  <si>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</si>
  <si>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</si>
  <si>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</si>
  <si>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</si>
  <si>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</si>
  <si>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</si>
  <si>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</si>
  <si>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</si>
  <si>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</si>
  <si>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</si>
  <si>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</si>
  <si>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</si>
  <si>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</si>
  <si>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</si>
  <si>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</si>
  <si>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</si>
  <si>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</si>
  <si>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</si>
  <si>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</si>
  <si>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</si>
  <si>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</si>
  <si>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</si>
  <si>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</si>
  <si>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</si>
  <si>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</si>
  <si>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</si>
  <si>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</si>
  <si>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</si>
  <si>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</si>
  <si>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</si>
  <si>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</si>
  <si>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</si>
  <si>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</si>
  <si>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</si>
  <si>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</si>
  <si>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</si>
  <si>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</si>
  <si>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</si>
  <si>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</si>
  <si>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</si>
  <si>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</si>
  <si>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</si>
  <si>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</si>
  <si>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</si>
  <si>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</si>
  <si>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</si>
  <si>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</si>
  <si>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</si>
  <si>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</si>
  <si>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</si>
  <si>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</si>
  <si>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</si>
  <si>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</si>
  <si>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</si>
  <si>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</si>
  <si>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</si>
  <si>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</si>
  <si>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</si>
  <si>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</si>
  <si>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</si>
  <si>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</si>
  <si>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</si>
  <si>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</si>
  <si>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</si>
  <si>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</si>
  <si>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</si>
  <si>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</si>
  <si>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</si>
  <si>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</si>
  <si>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</si>
  <si>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</si>
  <si>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</si>
  <si>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</si>
  <si>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</si>
  <si>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</si>
  <si>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</si>
  <si>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</si>
  <si>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</si>
  <si>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</si>
  <si>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</si>
  <si>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</si>
  <si>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</si>
  <si>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</si>
  <si>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</si>
  <si>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</si>
  <si>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</si>
  <si>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</si>
  <si>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</si>
  <si>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</si>
  <si>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</si>
  <si>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</si>
  <si>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</si>
  <si>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</si>
  <si>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</si>
  <si>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</si>
  <si>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</si>
  <si>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</si>
  <si>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</si>
  <si>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</si>
  <si>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</si>
  <si>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</si>
  <si>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</si>
  <si>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</si>
  <si>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</si>
  <si>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</si>
  <si>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</si>
  <si>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</si>
  <si>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</si>
  <si>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</si>
  <si>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</si>
  <si>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</si>
  <si>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</si>
  <si>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</si>
  <si>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</si>
  <si>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</si>
  <si>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</si>
  <si>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</si>
  <si>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</si>
  <si>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</si>
  <si>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</si>
  <si>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</si>
  <si>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</si>
  <si>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</si>
  <si>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</si>
  <si>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</si>
  <si>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</si>
  <si>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</si>
  <si>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</si>
  <si>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</si>
  <si>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</si>
  <si>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</si>
  <si>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</si>
  <si>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</si>
  <si>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</si>
  <si>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</si>
  <si>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</si>
  <si>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</si>
  <si>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</si>
  <si>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</si>
  <si>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</si>
  <si>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</si>
  <si>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</si>
  <si>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</si>
  <si>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</si>
  <si>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</si>
  <si>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</si>
  <si>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</si>
  <si>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</si>
  <si>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</si>
  <si>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</si>
  <si>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</si>
  <si>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</si>
  <si>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</si>
  <si>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</si>
  <si>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</si>
  <si>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</si>
  <si>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</si>
  <si>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</si>
  <si>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</si>
  <si>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</si>
  <si>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</si>
  <si>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</si>
  <si>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</si>
  <si>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</si>
  <si>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</si>
  <si>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</si>
  <si>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</si>
  <si>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</si>
  <si>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</si>
  <si>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</si>
  <si>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</si>
  <si>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</si>
  <si>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</si>
  <si>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</si>
  <si>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</si>
  <si>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</si>
  <si>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</si>
  <si>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</si>
  <si>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</si>
  <si>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</si>
  <si>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</si>
  <si>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</si>
  <si>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</si>
  <si>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</si>
  <si>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</si>
  <si>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</si>
  <si>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</si>
  <si>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</si>
  <si>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</si>
  <si>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</si>
  <si>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</si>
  <si>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</si>
  <si>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</si>
  <si>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</si>
  <si>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</si>
  <si>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</si>
  <si>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</si>
  <si>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</si>
  <si>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</si>
  <si>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</si>
  <si>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</si>
  <si>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</si>
  <si>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</si>
  <si>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</si>
  <si>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</si>
  <si>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</si>
  <si>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</si>
  <si>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</si>
  <si>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</si>
  <si>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</si>
  <si>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</si>
  <si>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</si>
  <si>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</si>
  <si>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</si>
  <si>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</si>
  <si>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</si>
  <si>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</si>
  <si>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</si>
  <si>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</si>
  <si>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</si>
  <si>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</si>
  <si>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</si>
  <si>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</si>
  <si>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</si>
  <si>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</si>
  <si>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</si>
  <si>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</si>
  <si>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</si>
  <si>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</si>
  <si>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</si>
  <si>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</si>
  <si>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</si>
  <si>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</si>
  <si>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</si>
  <si>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</si>
  <si>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</si>
  <si>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</si>
  <si>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</si>
  <si>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</si>
  <si>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</si>
  <si>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</si>
  <si>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</si>
  <si>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</si>
  <si>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</si>
  <si>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</si>
  <si>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</si>
  <si>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</si>
  <si>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</si>
  <si>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</si>
  <si>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</si>
  <si>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</si>
  <si>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</si>
  <si>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</si>
  <si>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</si>
  <si>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</si>
  <si>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</si>
  <si>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</si>
  <si>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</si>
  <si>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</si>
  <si>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</si>
  <si>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</si>
  <si>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</si>
  <si>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</si>
  <si>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</si>
  <si>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</si>
  <si>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</si>
  <si>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</si>
  <si>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</si>
  <si>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</si>
  <si>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</si>
  <si>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</si>
  <si>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</si>
  <si>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</si>
  <si>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</si>
  <si>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</si>
  <si>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</si>
  <si>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</si>
  <si>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</si>
  <si>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</si>
  <si>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</si>
  <si>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</si>
  <si>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</si>
  <si>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</si>
  <si>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</si>
  <si>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</si>
  <si>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</si>
  <si>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</si>
  <si>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</si>
  <si>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</si>
  <si>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</si>
  <si>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</si>
  <si>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</si>
  <si>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</si>
  <si>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</si>
  <si>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</si>
  <si>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</si>
  <si>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</si>
  <si>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</si>
  <si>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</si>
  <si>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</si>
  <si>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</si>
  <si>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</si>
  <si>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</si>
  <si>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</si>
  <si>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</si>
  <si>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</si>
  <si>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</si>
  <si>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</si>
  <si>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</si>
  <si>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</si>
  <si>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</si>
  <si>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</si>
  <si>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W. H. Gross</t>
  </si>
  <si>
    <t>1209 E King Avenue</t>
  </si>
  <si>
    <t>whgross@whgross.com</t>
  </si>
  <si>
    <t>The Village at Winding Road</t>
  </si>
  <si>
    <t>Yes</t>
  </si>
  <si>
    <t>Yes- w/Master Plan</t>
  </si>
  <si>
    <t>No</t>
  </si>
  <si>
    <t>City of St Marys</t>
  </si>
  <si>
    <t>William DeLoughy</t>
  </si>
  <si>
    <t>418 Osborne Street</t>
  </si>
  <si>
    <t>Mayor</t>
  </si>
  <si>
    <t>Senior (HFOP)</t>
  </si>
  <si>
    <t>Affordable Equity Partners, Inc.</t>
  </si>
  <si>
    <t>206 Peach Way</t>
  </si>
  <si>
    <t>Jeffrey E. Smith</t>
  </si>
  <si>
    <t>President</t>
  </si>
  <si>
    <t>jesmith@jesmith.com</t>
  </si>
  <si>
    <t>W. H. Gross Construction Company</t>
  </si>
  <si>
    <t>CEO</t>
  </si>
  <si>
    <t>Fairway Management, Inc.</t>
  </si>
  <si>
    <t>Monica Swoboda</t>
  </si>
  <si>
    <t>mswoboda@jesholdings.com</t>
  </si>
  <si>
    <t>Vice President</t>
  </si>
  <si>
    <t>Van Matre, Harrison, Hollis, Pitzer and Taylor, PC</t>
  </si>
  <si>
    <t>1103 E. Broadway</t>
  </si>
  <si>
    <t>Tom Harrison</t>
  </si>
  <si>
    <t>Partner</t>
  </si>
  <si>
    <t>tom@vanmatre.com</t>
  </si>
  <si>
    <t>Mike Riley</t>
  </si>
  <si>
    <t>Martin Riley Associates Architects</t>
  </si>
  <si>
    <t>215 Church Street, Suite 200</t>
  </si>
  <si>
    <t>mriley@martinriley.com</t>
  </si>
  <si>
    <t>Peach Way Financial Services, LLC</t>
  </si>
  <si>
    <t>Robert A. Ring</t>
  </si>
  <si>
    <t>Manager</t>
  </si>
  <si>
    <t>bring@jesholdings.com</t>
  </si>
  <si>
    <t>3290 Northside Parkway, Suite 330</t>
  </si>
  <si>
    <t>Sterling Bank</t>
  </si>
  <si>
    <t>Partner Equity</t>
  </si>
  <si>
    <t>3rd Party Plan &amp; Spec Review</t>
  </si>
  <si>
    <t>MF</t>
  </si>
  <si>
    <t>Electric Heat Pump</t>
  </si>
  <si>
    <t>1-Story</t>
  </si>
  <si>
    <t>Training</t>
  </si>
  <si>
    <t>Cable/Internet</t>
  </si>
  <si>
    <t>For Profit</t>
  </si>
  <si>
    <t>The Village at Winding Road, LP</t>
  </si>
  <si>
    <t>William H Gross</t>
  </si>
  <si>
    <t>Managing Partner</t>
  </si>
  <si>
    <t>1st</t>
  </si>
  <si>
    <t>WHG-St. Marys Tax Credit, LLC</t>
  </si>
  <si>
    <t>1209 E. King Avenue</t>
  </si>
  <si>
    <t>William H. Gross</t>
  </si>
  <si>
    <t>Habif, Arogeti &amp;Wynne, LLP</t>
  </si>
  <si>
    <t>Five Concourse Parkway, Suite 1000</t>
  </si>
  <si>
    <t>Agree</t>
  </si>
  <si>
    <t>Covered Porch</t>
  </si>
  <si>
    <t>Furnished Exercise / Fitness Center</t>
  </si>
  <si>
    <t>Contract/Option</t>
  </si>
  <si>
    <t>The Village at Winding Road, L.P.</t>
  </si>
  <si>
    <t>Washer and dryer in each unit</t>
  </si>
  <si>
    <t>Qualified with Conditions</t>
  </si>
  <si>
    <t>Earth Craft Communities</t>
  </si>
  <si>
    <t>Stable Communities &lt; 10%</t>
  </si>
  <si>
    <t>Georgia Institute for Community Housing Community</t>
  </si>
  <si>
    <t>Pass</t>
  </si>
  <si>
    <t>Competitive Round</t>
  </si>
  <si>
    <t>State Boost</t>
  </si>
  <si>
    <t>Lewis Appraisal Company</t>
  </si>
  <si>
    <t>Winding Road and Krayons Court</t>
  </si>
  <si>
    <t>An identity of interest exists between the GP, Developer and General Contractor.  An identity of interest also exists between the Federal Limited Partner, State Limited Partner and Management Company.  Please see Tab 39 of the application binder for a detail of identity of interests.</t>
  </si>
  <si>
    <t>Please see Tab 8 of the application binder for a SOV prepared by the General Contractor.</t>
  </si>
  <si>
    <t>Please see Tab 8 of the Application Binder for a real estate tax assumption backup documentation.</t>
  </si>
  <si>
    <t>Please see Tab 8 of the Application Binder for a property insurance estimate.</t>
  </si>
  <si>
    <t>Novogradac &amp; Company LLP</t>
  </si>
  <si>
    <t>Caney Heights</t>
  </si>
  <si>
    <t>6 months</t>
  </si>
  <si>
    <t>2010-30</t>
  </si>
  <si>
    <t>The project is not competing for HOME or HUD funding.  Tab 20 of the Application Binder is N/A.</t>
  </si>
  <si>
    <t>Georgia Power</t>
  </si>
  <si>
    <t>City of St. Marys</t>
  </si>
  <si>
    <t xml:space="preserve">The Village at Winding Road is a 50 unit, New Construction, Housing for Older Persons development located in St Marys, GA. The concept for this development is to meet the demand for the target population, senior households, age 55 and older, with income limits up to $28,260.  The Market Study prepared by Novogradac and Company, LLC verifies the lack of affordable housing for those age 55 and older in Camden County.  The property will be developed utilizing Low Income Housing Tax Credits and conventional construction financing.  
</t>
  </si>
  <si>
    <t xml:space="preserve">The Village at Winding Road is located at Winding Road and Krayons Court.  The proposed development is located in an established residential and commercially developed area and is an infill opportunity that will take advantage of existing utilities, and will be in close proximity to healthcare, doctor’s offices, retail, parks, restaurants, and many other desirable amenities. Through the New Construction, there will be a number of amenities that will specifically target our HFOP population.  These amenities include:  a community room, washer/dryer in each unit, fitness center, a covered pavilion, an equipped computer room, and a walking trail providing access to the Camden Medical center and various nearby amenities. The new construction development will have 5% of the units equipped for the mobility disabled, as well as an additional 2% of the units will be equipped for the hearing and sight impaired.  The plans and specifications will be reviewed by a professional accessibility consultant. </t>
  </si>
  <si>
    <t>The development of The Village at Winding Road will achieve a number of valuable goals and benefits for the surrounding community and for the proposed tenants. This is evident by the enthusiastic support of our development by the Mayor and City Council of St. Marys. This development team is bringing new affordable HFOP housing to an area of St. Marys that is ideally suited for seniors.</t>
  </si>
  <si>
    <t>The Village at Winding Road has a conventional construction loan commitment for $4,955,496 at 6.50% interest. Please reference the loan commitment in Tab 5 of the Application Binder.</t>
  </si>
  <si>
    <t>Per page 16 of 58 in the 2011 QAP the developer will defer $123,896 (15%) of the developer fee, which is more than the required .5% of the total developer fee for every 1% in state designated basis boost requested.</t>
  </si>
  <si>
    <t xml:space="preserve">A. The applicant agrees that all selected services will meet QAP policies. </t>
  </si>
  <si>
    <t>B. The Village at Winding Road will provide social and recreational programs planned &amp; overseen by the project manager, such as semi-monthly birthday/holiday parties or parties/potluck dinners, and will also conduct semi-monthly classes on-site.</t>
  </si>
  <si>
    <t>Please see the appraisal performed by Lewis Appraisal Company located in Tab 10 of the Core Application</t>
  </si>
  <si>
    <t>Geotechnical &amp; Environmental Consultants, Inc. (GEC)</t>
  </si>
  <si>
    <t>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t>
  </si>
  <si>
    <t>This project will not be a rehabilitation and therefore does not need a physical needs assessment</t>
  </si>
  <si>
    <t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t>
  </si>
  <si>
    <t>This project will achieve a minimum standard for energy efficiency and sustainable building practices upon construction completion as set forth in the QAP and Manual</t>
  </si>
  <si>
    <t>The construction documents will clearly indicate all components of the building envelope and all materials and equipment that meet the requirements set forth in the QAP and Architectural Manual</t>
  </si>
  <si>
    <t xml:space="preserve">This project will comply with all applicable Federal &amp; State accessibility laws &amp; will comply with applicable DCA requirements. 3 units (6%) will be equipped for the mobility disabled </t>
  </si>
  <si>
    <t>(one of which will have a roll in shower) and 1 unit (2%) will be equipped for hearing and sight imparied residents. Applicant agrres to arrange for 3 accessibility inspections</t>
  </si>
  <si>
    <t>This application meets Architectural Standards for quality &amp; longevity. All construction will meet requirements set forth in the manual.</t>
  </si>
  <si>
    <t xml:space="preserve">DCA's Pre-Application Qualification of the Project's participants can be found in Tab 19 of the Application Binder. </t>
  </si>
  <si>
    <t>A. 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t>
  </si>
  <si>
    <t xml:space="preserve">The Village at Winding Road will not apply for LIHTC under the nonprofit set-aside. </t>
  </si>
  <si>
    <t xml:space="preserve">The Village at Winding Road will not apply for LIHTC under the CHDO set-aside. </t>
  </si>
  <si>
    <t xml:space="preserve">The applicant agrees to list this project if funded &amp; all available affordable units funded by DCA are registered. </t>
  </si>
  <si>
    <t xml:space="preserve">This project will be new construction, and therefore there will be no displacement nor relocation of existing tenants. </t>
  </si>
  <si>
    <t>The Village at Winding Road will demonstrate a willingness and will then initiate maketing to these populations once it has been selected for funding.</t>
  </si>
  <si>
    <t xml:space="preserve">This application is complete and organized. All backup documentation can be found in the Application Binder. </t>
  </si>
  <si>
    <t>A. The Village at Winding Road will educate tenats and provide them with a projected manual upon move-in and will conduct at least 1 clas on green building features of the units prior to the submission of LIHTC final allocation application.</t>
  </si>
  <si>
    <t>B. The Village at Winding Road will educate management and maintenance staff with an orientation and produce a green operations and maintenance manual detailing sustainable features, the staff's role in maintaining those features, and a replacement parts source guide.</t>
  </si>
  <si>
    <t xml:space="preserve">The Applicant agrees to forego the cancellation option for at least 5 years after the close of the compliance period. Please See Tab 39 for evidence of the agreement. </t>
  </si>
  <si>
    <t>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t>
  </si>
  <si>
    <t>A. A complete performance workbook with compliance history scoring for the owner and developer can be found in Tab 3 of the Application Binder.</t>
  </si>
  <si>
    <t>B. A Compliance History Pre-Determination letter from DCA for the management company, along with the completed performance workbook, showing that they have passed DCA threshold requirements is included in Tab 3 of the Application Binder.</t>
  </si>
  <si>
    <t>Oak Hammock</t>
  </si>
  <si>
    <t>2  W. H. Gross</t>
  </si>
  <si>
    <t>1  W. H. Gross</t>
  </si>
  <si>
    <t xml:space="preserve">Site access is available from Krayons Court. Please refer to Tab 13 of the Application Binder for photos, drawings and surveys documenting site access. </t>
  </si>
  <si>
    <t xml:space="preserve">There has not been a LIHTC nor HOME award within the boundaries of the local government within the last 4 DCA Funding Cycles. </t>
  </si>
  <si>
    <t>Caney Heights 2010-030, Kings Grant 2007-032, Ware Hotel 2009-017</t>
  </si>
  <si>
    <t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t>
  </si>
  <si>
    <t>2. This project is designtaed as Senior Housing for Older Persons with a target market of tenants age 55 and over</t>
  </si>
  <si>
    <t>Please refer to Tab 12 of the Application Binder for a copy of the sales option contracts</t>
  </si>
  <si>
    <t xml:space="preserve">Please find the operating utility letters, confirming availability and capacity of the utilities, in Tab 15 of The Application Binder. </t>
  </si>
  <si>
    <t xml:space="preserve">Please find the oOperating utility letters, confirming availability and capacity of the utilities, in Tab 15 of The Application Binder. </t>
  </si>
  <si>
    <t>The Village at Winding Road will have a community building. An equipped computer center and a furnished exercise/fitness center will be available to the tenants as well.</t>
  </si>
  <si>
    <t xml:space="preserve">Eight (8) units,16% of the total units, at The Village at Winding Road will be limited to 50% Gross Rent / 50% Income Restrictions. The Villge at Winding Road will claim 3 points for Deeper Targeting </t>
  </si>
  <si>
    <t xml:space="preserve">A. The Village at Winding Road will claim 12 points for Desirable Sites. Please see Tab 24 of the Application Binder for the Desirable / Undesirable Form &amp; pictures of the Desirable Characteristics.   </t>
  </si>
  <si>
    <t>No other applications claim rural points.</t>
  </si>
  <si>
    <t xml:space="preserve">This project will be claiming 6 points for superior project concept, and has included the required narrative in Tab IX-B of this core application as well as a printed copy in the Tab 39 of the </t>
  </si>
  <si>
    <t>Application Binder.</t>
  </si>
  <si>
    <t xml:space="preserve">The Village at Winding Road will be constructed in participation with the Southface Institute and their EarthCraft Communities guidelines.  The applicant has entered into a Memorandum of Participation with the Southface Institute.  The Village at Winding Road will be the first Earthcraft Community in Camden County, and one of the first in southeast Georgia.                    
The City of St. Marys has expressed its support of this project through its adopted Resolution of Support.  The development team has also received written support for The Village at Winding Road from a multitude community stakeholders, including:  Camden Medical Center, Congressman Jack Kingston, the City of St. Marys, Camden County,  State Senator William Ligon, and State Representative Jason Spencer.
</t>
  </si>
  <si>
    <t>less than 65 dnl; no mitigation of noise level is requred.</t>
  </si>
  <si>
    <t>Superior Project Concept</t>
  </si>
  <si>
    <t>Extension of Cancellation option</t>
  </si>
  <si>
    <t>Caney Heights will be a single family home LIHTC development in Kingsland, GA.  Caney Heights and the subject property are two different builidng types and will serve to two different tenancy types.</t>
  </si>
  <si>
    <t>2011-023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</si>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</sst>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00" workbookViewId="0">
      <selection activeCell="D144" sqref="D144"/>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2011-023, The Village at Winding Road, Camden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3828</v>
      </c>
      <c r="B3" s="768"/>
      <c r="C3" s="768"/>
      <c r="D3" s="768"/>
      <c r="E3" s="768"/>
      <c r="F3" s="768"/>
      <c r="G3" s="768"/>
    </row>
    <row r="4" spans="1:9" s="42" customFormat="1" ht="8.25" customHeight="1">
      <c r="A4" s="98"/>
      <c r="B4" s="757" t="s">
        <v>1339</v>
      </c>
      <c r="C4" s="758"/>
      <c r="D4" s="758"/>
      <c r="E4" s="758" t="s">
        <v>3894</v>
      </c>
      <c r="F4" s="763"/>
      <c r="G4" s="99" t="s">
        <v>782</v>
      </c>
    </row>
    <row r="5" spans="1:9" s="42" customFormat="1" ht="8.25" customHeight="1">
      <c r="A5" s="100" t="s">
        <v>784</v>
      </c>
      <c r="B5" s="759"/>
      <c r="C5" s="760"/>
      <c r="D5" s="760"/>
      <c r="E5" s="760"/>
      <c r="F5" s="764"/>
      <c r="G5" s="101" t="s">
        <v>785</v>
      </c>
    </row>
    <row r="6" spans="1:9" s="42" customFormat="1" ht="8.25" customHeight="1">
      <c r="A6" s="102" t="s">
        <v>786</v>
      </c>
      <c r="B6" s="761"/>
      <c r="C6" s="762"/>
      <c r="D6" s="762"/>
      <c r="E6" s="762"/>
      <c r="F6" s="765"/>
      <c r="G6" s="103" t="s">
        <v>787</v>
      </c>
    </row>
    <row r="7" spans="1:9" s="42" customFormat="1" ht="3" customHeight="1">
      <c r="A7" s="100"/>
      <c r="B7" s="394"/>
      <c r="C7" s="394"/>
      <c r="D7" s="394"/>
      <c r="E7" s="306"/>
      <c r="F7" s="712"/>
      <c r="G7" s="311"/>
    </row>
    <row r="8" spans="1:9" s="42" customFormat="1" ht="12.6" customHeight="1" thickBot="1">
      <c r="A8" s="104"/>
      <c r="B8" s="709"/>
      <c r="C8" s="391"/>
      <c r="D8" s="391"/>
      <c r="E8" s="709" t="s">
        <v>1076</v>
      </c>
      <c r="F8" s="391"/>
      <c r="G8" s="1084" t="s">
        <v>3924</v>
      </c>
      <c r="I8" s="1085"/>
    </row>
    <row r="9" spans="1:9" s="42" customFormat="1" ht="12.6" customHeight="1" thickBot="1">
      <c r="A9" s="100"/>
      <c r="B9" s="404" t="s">
        <v>1423</v>
      </c>
      <c r="C9" s="404"/>
      <c r="D9" s="405"/>
      <c r="E9" s="306"/>
      <c r="F9" s="712"/>
      <c r="G9" s="712"/>
    </row>
    <row r="10" spans="1:9" s="42" customFormat="1" ht="12" customHeight="1">
      <c r="A10" s="387">
        <v>1</v>
      </c>
      <c r="B10" s="406" t="s">
        <v>2138</v>
      </c>
      <c r="C10" s="241"/>
      <c r="D10" s="392"/>
      <c r="E10" s="392" t="s">
        <v>2309</v>
      </c>
      <c r="F10" s="392"/>
      <c r="G10" s="1084" t="s">
        <v>3924</v>
      </c>
    </row>
    <row r="11" spans="1:9" s="42" customFormat="1" ht="12" customHeight="1">
      <c r="A11" s="104"/>
      <c r="B11" s="392"/>
      <c r="C11" s="392"/>
      <c r="D11" s="392"/>
      <c r="E11" s="392" t="s">
        <v>2139</v>
      </c>
      <c r="F11" s="392"/>
      <c r="G11" s="1084" t="s">
        <v>3924</v>
      </c>
    </row>
    <row r="12" spans="1:9" s="42" customFormat="1" ht="12" customHeight="1">
      <c r="A12" s="104"/>
      <c r="B12" s="392"/>
      <c r="C12" s="418"/>
      <c r="D12" s="1086"/>
      <c r="E12" s="392" t="s">
        <v>805</v>
      </c>
      <c r="F12" s="391"/>
      <c r="G12" s="1084" t="s">
        <v>3924</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3924</v>
      </c>
    </row>
    <row r="15" spans="1:9" s="42" customFormat="1" ht="12" customHeight="1">
      <c r="A15" s="104"/>
      <c r="B15" s="392"/>
      <c r="C15" s="392"/>
      <c r="D15" s="392"/>
      <c r="E15" s="393" t="s">
        <v>806</v>
      </c>
      <c r="F15" s="392"/>
      <c r="G15" s="1084" t="s">
        <v>3924</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2254</v>
      </c>
    </row>
    <row r="22" spans="1:7" s="42" customFormat="1" ht="12" customHeight="1">
      <c r="A22" s="100"/>
      <c r="B22" s="394"/>
      <c r="C22" s="394"/>
      <c r="D22" s="394"/>
      <c r="E22" s="769" t="s">
        <v>150</v>
      </c>
      <c r="F22" s="770"/>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09"/>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2855</v>
      </c>
      <c r="F30" s="392"/>
      <c r="G30" s="1084" t="s">
        <v>2254</v>
      </c>
    </row>
    <row r="31" spans="1:7" s="42" customFormat="1" ht="12" customHeight="1">
      <c r="A31" s="104"/>
      <c r="B31" s="392"/>
      <c r="C31" s="392"/>
      <c r="D31" s="392"/>
      <c r="E31" s="1086" t="s">
        <v>2856</v>
      </c>
      <c r="F31" s="392"/>
      <c r="G31" s="1084" t="s">
        <v>2254</v>
      </c>
    </row>
    <row r="32" spans="1:7" s="42" customFormat="1" ht="12" customHeight="1">
      <c r="A32" s="104"/>
      <c r="B32" s="392"/>
      <c r="C32" s="392"/>
      <c r="D32" s="392"/>
      <c r="E32" s="1086" t="s">
        <v>2857</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2254</v>
      </c>
    </row>
    <row r="35" spans="1:7" s="42" customFormat="1" ht="12" customHeight="1">
      <c r="A35" s="100"/>
      <c r="B35" s="394"/>
      <c r="C35" s="394"/>
      <c r="D35" s="394"/>
      <c r="E35" s="396" t="s">
        <v>3576</v>
      </c>
      <c r="F35" s="395"/>
      <c r="G35" s="1084" t="s">
        <v>2254</v>
      </c>
    </row>
    <row r="36" spans="1:7" s="42" customFormat="1" ht="12" customHeight="1">
      <c r="A36" s="100"/>
      <c r="B36" s="394"/>
      <c r="C36" s="394"/>
      <c r="D36" s="394"/>
      <c r="E36" s="396" t="s">
        <v>184</v>
      </c>
      <c r="F36" s="395"/>
      <c r="G36" s="1084" t="s">
        <v>2254</v>
      </c>
    </row>
    <row r="37" spans="1:7" s="42" customFormat="1" ht="12" customHeight="1">
      <c r="A37" s="100"/>
      <c r="B37" s="394"/>
      <c r="C37" s="394"/>
      <c r="D37" s="394"/>
      <c r="E37" s="396" t="s">
        <v>3577</v>
      </c>
      <c r="F37" s="395"/>
      <c r="G37" s="1084" t="s">
        <v>2254</v>
      </c>
    </row>
    <row r="38" spans="1:7" s="42" customFormat="1" ht="12" customHeight="1">
      <c r="A38" s="104"/>
      <c r="B38" s="241"/>
      <c r="C38" s="392"/>
      <c r="D38" s="392"/>
      <c r="E38" s="396" t="s">
        <v>3500</v>
      </c>
      <c r="F38" s="392"/>
      <c r="G38" s="1084" t="s">
        <v>2254</v>
      </c>
    </row>
    <row r="39" spans="1:7" s="42" customFormat="1" ht="12" customHeight="1">
      <c r="A39" s="104"/>
      <c r="B39" s="241"/>
      <c r="C39" s="392"/>
      <c r="D39" s="392"/>
      <c r="E39" s="396" t="s">
        <v>3910</v>
      </c>
      <c r="F39" s="392"/>
      <c r="G39" s="1084" t="s">
        <v>2254</v>
      </c>
    </row>
    <row r="40" spans="1:7" s="42" customFormat="1" ht="12" customHeight="1">
      <c r="A40" s="100"/>
      <c r="B40" s="394"/>
      <c r="C40" s="394"/>
      <c r="D40" s="394"/>
      <c r="E40" s="396" t="s">
        <v>1906</v>
      </c>
      <c r="F40" s="395"/>
      <c r="G40" s="1084" t="s">
        <v>2254</v>
      </c>
    </row>
    <row r="41" spans="1:7" s="42" customFormat="1" ht="12" customHeight="1">
      <c r="A41" s="100"/>
      <c r="B41" s="394"/>
      <c r="C41" s="394"/>
      <c r="D41" s="394"/>
      <c r="E41" s="396" t="s">
        <v>1905</v>
      </c>
      <c r="F41" s="395"/>
      <c r="G41" s="1084" t="s">
        <v>2254</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3924</v>
      </c>
    </row>
    <row r="44" spans="1:7" s="42" customFormat="1" ht="12" customHeight="1">
      <c r="A44" s="104"/>
      <c r="B44" s="241"/>
      <c r="C44" s="709"/>
      <c r="D44" s="392"/>
      <c r="E44" s="396" t="s">
        <v>3421</v>
      </c>
      <c r="F44" s="392"/>
      <c r="G44" s="1084" t="s">
        <v>3924</v>
      </c>
    </row>
    <row r="45" spans="1:7" s="42" customFormat="1" ht="12" customHeight="1">
      <c r="A45" s="104"/>
      <c r="B45" s="241"/>
      <c r="C45" s="709"/>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71" t="s">
        <v>3859</v>
      </c>
      <c r="F47" s="772"/>
      <c r="G47" s="1084" t="s">
        <v>3924</v>
      </c>
    </row>
    <row r="48" spans="1:7" s="42" customFormat="1" ht="12" customHeight="1">
      <c r="A48" s="104"/>
      <c r="B48" s="241"/>
      <c r="C48" s="392"/>
      <c r="D48" s="392"/>
      <c r="E48" s="392" t="s">
        <v>3484</v>
      </c>
      <c r="F48" s="396"/>
      <c r="G48" s="1084" t="s">
        <v>3924</v>
      </c>
    </row>
    <row r="49" spans="1:7" s="42" customFormat="1" ht="12" customHeight="1">
      <c r="A49" s="104"/>
      <c r="B49" s="241"/>
      <c r="C49" s="392"/>
      <c r="D49" s="392"/>
      <c r="E49" s="396" t="s">
        <v>3424</v>
      </c>
      <c r="F49" s="396"/>
      <c r="G49" s="1084" t="s">
        <v>3924</v>
      </c>
    </row>
    <row r="50" spans="1:7" s="42" customFormat="1" ht="12" customHeight="1">
      <c r="A50" s="107"/>
      <c r="B50" s="241"/>
      <c r="C50" s="392"/>
      <c r="D50" s="392"/>
      <c r="E50" s="752" t="s">
        <v>467</v>
      </c>
      <c r="F50" s="753"/>
      <c r="G50" s="1084" t="s">
        <v>2254</v>
      </c>
    </row>
    <row r="51" spans="1:7" s="42" customFormat="1" ht="12" customHeight="1">
      <c r="A51" s="387">
        <v>4</v>
      </c>
      <c r="B51" s="1087" t="s">
        <v>1023</v>
      </c>
      <c r="C51" s="392"/>
      <c r="D51" s="392"/>
      <c r="E51" s="1086" t="s">
        <v>1412</v>
      </c>
      <c r="F51" s="392"/>
      <c r="G51" s="1084" t="s">
        <v>3924</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3924</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3924</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66" t="s">
        <v>1847</v>
      </c>
      <c r="F66" s="767"/>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3924</v>
      </c>
    </row>
    <row r="82" spans="1:7" s="42" customFormat="1" ht="6" customHeight="1">
      <c r="A82" s="104"/>
      <c r="B82" s="241"/>
      <c r="C82" s="709"/>
      <c r="D82" s="392"/>
      <c r="E82" s="398"/>
      <c r="F82" s="398"/>
      <c r="G82" s="147"/>
    </row>
    <row r="83" spans="1:7" s="42" customFormat="1" ht="12" customHeight="1">
      <c r="A83" s="387">
        <v>8</v>
      </c>
      <c r="B83" s="408" t="s">
        <v>3426</v>
      </c>
      <c r="C83" s="241"/>
      <c r="D83" s="392"/>
      <c r="E83" s="398" t="s">
        <v>1903</v>
      </c>
      <c r="F83" s="398"/>
      <c r="G83" s="1084" t="s">
        <v>3924</v>
      </c>
    </row>
    <row r="84" spans="1:7" s="42" customFormat="1" ht="12" customHeight="1">
      <c r="A84" s="104"/>
      <c r="B84" s="241"/>
      <c r="C84" s="709"/>
      <c r="D84" s="392"/>
      <c r="E84" s="398" t="s">
        <v>3796</v>
      </c>
      <c r="F84" s="398"/>
      <c r="G84" s="1084" t="s">
        <v>2254</v>
      </c>
    </row>
    <row r="85" spans="1:7" s="42" customFormat="1" ht="6" customHeight="1">
      <c r="A85" s="104"/>
      <c r="B85" s="709"/>
      <c r="C85" s="392"/>
      <c r="D85" s="392"/>
      <c r="E85" s="1086"/>
      <c r="F85" s="398"/>
      <c r="G85" s="314"/>
    </row>
    <row r="86" spans="1:7" s="42" customFormat="1" ht="12" customHeight="1">
      <c r="A86" s="387">
        <v>9</v>
      </c>
      <c r="B86" s="406" t="s">
        <v>3703</v>
      </c>
      <c r="C86" s="241"/>
      <c r="D86" s="392"/>
      <c r="E86" s="1086" t="s">
        <v>3881</v>
      </c>
      <c r="F86" s="398"/>
      <c r="G86" s="1084" t="s">
        <v>3924</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3924</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3886</v>
      </c>
      <c r="F90" s="1088"/>
      <c r="G90" s="1084" t="s">
        <v>3924</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3924</v>
      </c>
    </row>
    <row r="93" spans="1:7" s="42" customFormat="1" ht="12" customHeight="1">
      <c r="A93" s="104"/>
      <c r="B93" s="396"/>
      <c r="C93" s="241"/>
      <c r="D93" s="396"/>
      <c r="E93" s="396" t="s">
        <v>725</v>
      </c>
      <c r="F93" s="402"/>
      <c r="G93" s="1084" t="s">
        <v>3924</v>
      </c>
    </row>
    <row r="94" spans="1:7" s="42" customFormat="1" ht="12" customHeight="1">
      <c r="A94" s="104"/>
      <c r="B94" s="392"/>
      <c r="C94" s="241"/>
      <c r="D94" s="392"/>
      <c r="E94" s="396" t="s">
        <v>3882</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3924</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3924</v>
      </c>
    </row>
    <row r="102" spans="1:7" s="42" customFormat="1" ht="12" customHeight="1">
      <c r="A102" s="104"/>
      <c r="B102" s="391"/>
      <c r="C102" s="241"/>
      <c r="D102" s="396"/>
      <c r="E102" s="752" t="s">
        <v>909</v>
      </c>
      <c r="F102" s="753"/>
      <c r="G102" s="1084" t="s">
        <v>3924</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3924</v>
      </c>
    </row>
    <row r="107" spans="1:7" s="42" customFormat="1" ht="12" customHeight="1">
      <c r="A107" s="104"/>
      <c r="B107" s="391"/>
      <c r="C107" s="241"/>
      <c r="D107" s="392"/>
      <c r="E107" s="392" t="s">
        <v>1652</v>
      </c>
      <c r="F107" s="392"/>
      <c r="G107" s="1084" t="s">
        <v>3924</v>
      </c>
    </row>
    <row r="108" spans="1:7" s="42" customFormat="1" ht="12" customHeight="1">
      <c r="A108" s="104"/>
      <c r="B108" s="392"/>
      <c r="C108" s="241"/>
      <c r="D108" s="392"/>
      <c r="E108" s="396" t="s">
        <v>1653</v>
      </c>
      <c r="F108" s="402"/>
      <c r="G108" s="1084" t="s">
        <v>3924</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1910</v>
      </c>
      <c r="F112" s="396"/>
      <c r="G112" s="1084" t="s">
        <v>3924</v>
      </c>
    </row>
    <row r="113" spans="1:7" s="42" customFormat="1" ht="12" customHeight="1">
      <c r="A113" s="104"/>
      <c r="B113" s="750"/>
      <c r="C113" s="751"/>
      <c r="D113" s="751"/>
      <c r="E113" s="396" t="s">
        <v>1911</v>
      </c>
      <c r="F113" s="396"/>
      <c r="G113" s="1084" t="s">
        <v>3924</v>
      </c>
    </row>
    <row r="114" spans="1:7" s="42" customFormat="1" ht="12" customHeight="1">
      <c r="A114" s="104"/>
      <c r="B114" s="750"/>
      <c r="C114" s="751"/>
      <c r="D114" s="751"/>
      <c r="E114" s="396" t="s">
        <v>1914</v>
      </c>
      <c r="F114" s="396"/>
      <c r="G114" s="1084" t="s">
        <v>3924</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3924</v>
      </c>
    </row>
    <row r="120" spans="1:7" s="42" customFormat="1" ht="12" customHeight="1">
      <c r="A120" s="387"/>
      <c r="B120" s="602" t="s">
        <v>3396</v>
      </c>
      <c r="C120" s="406"/>
      <c r="D120" s="392"/>
      <c r="E120" s="393" t="s">
        <v>2528</v>
      </c>
      <c r="F120" s="392"/>
      <c r="G120" s="1084" t="s">
        <v>3924</v>
      </c>
    </row>
    <row r="121" spans="1:7" s="42" customFormat="1" ht="12" customHeight="1">
      <c r="A121" s="104"/>
      <c r="B121" s="241"/>
      <c r="C121" s="392"/>
      <c r="D121" s="392"/>
      <c r="E121" s="392" t="s">
        <v>3305</v>
      </c>
      <c r="F121" s="392"/>
      <c r="G121" s="1084" t="s">
        <v>3924</v>
      </c>
    </row>
    <row r="122" spans="1:7" s="42" customFormat="1" ht="12" customHeight="1">
      <c r="A122" s="104"/>
      <c r="B122" s="392"/>
      <c r="C122" s="392"/>
      <c r="D122" s="392"/>
      <c r="E122" s="392" t="s">
        <v>3883</v>
      </c>
      <c r="F122" s="392"/>
      <c r="G122" s="1084" t="s">
        <v>3924</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3924</v>
      </c>
    </row>
    <row r="125" spans="1:7" s="42" customFormat="1" ht="12" customHeight="1">
      <c r="A125" s="104"/>
      <c r="B125" s="396"/>
      <c r="C125" s="391"/>
      <c r="D125" s="396"/>
      <c r="E125" s="396" t="s">
        <v>891</v>
      </c>
      <c r="F125" s="396"/>
      <c r="G125" s="1084" t="s">
        <v>3924</v>
      </c>
    </row>
    <row r="126" spans="1:7" s="42" customFormat="1" ht="12" customHeight="1">
      <c r="A126" s="104"/>
      <c r="B126" s="396"/>
      <c r="C126" s="391"/>
      <c r="D126" s="396"/>
      <c r="E126" s="396" t="s">
        <v>3521</v>
      </c>
      <c r="F126" s="396"/>
      <c r="G126" s="1084" t="s">
        <v>2254</v>
      </c>
    </row>
    <row r="127" spans="1:7" s="42" customFormat="1" ht="12" customHeight="1">
      <c r="A127" s="104"/>
      <c r="B127" s="396"/>
      <c r="C127" s="415"/>
      <c r="D127" s="396"/>
      <c r="E127" s="396" t="s">
        <v>3522</v>
      </c>
      <c r="F127" s="396"/>
      <c r="G127" s="1084" t="s">
        <v>3924</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3924</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2" t="s">
        <v>3545</v>
      </c>
      <c r="F131" s="753"/>
      <c r="G131" s="1084" t="s">
        <v>2254</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3664</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09" t="s">
        <v>3574</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2837</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09"/>
      <c r="C154" s="415"/>
      <c r="D154" s="396"/>
      <c r="E154" s="397" t="s">
        <v>2858</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2254</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3924</v>
      </c>
    </row>
    <row r="163" spans="1:7" s="42" customFormat="1" ht="12" customHeight="1">
      <c r="A163" s="104"/>
      <c r="B163" s="241"/>
      <c r="C163" s="709"/>
      <c r="D163" s="1086"/>
      <c r="E163" s="773" t="s">
        <v>867</v>
      </c>
      <c r="F163" s="753"/>
      <c r="G163" s="1084" t="s">
        <v>3924</v>
      </c>
    </row>
    <row r="164" spans="1:7" s="42" customFormat="1" ht="12" customHeight="1">
      <c r="A164" s="104"/>
      <c r="B164" s="401"/>
      <c r="C164" s="1086"/>
      <c r="D164" s="1086"/>
      <c r="E164" s="398" t="s">
        <v>37</v>
      </c>
      <c r="F164" s="392"/>
      <c r="G164" s="1084" t="s">
        <v>3924</v>
      </c>
    </row>
    <row r="165" spans="1:7" s="42" customFormat="1" ht="24.6" customHeight="1">
      <c r="A165" s="104"/>
      <c r="B165" s="401"/>
      <c r="C165" s="1086"/>
      <c r="D165" s="1086"/>
      <c r="E165" s="773" t="s">
        <v>688</v>
      </c>
      <c r="F165" s="753"/>
      <c r="G165" s="1084" t="s">
        <v>2254</v>
      </c>
    </row>
    <row r="166" spans="1:7" s="42" customFormat="1" ht="12" customHeight="1">
      <c r="A166" s="104"/>
      <c r="B166" s="401"/>
      <c r="C166" s="1086"/>
      <c r="D166" s="1086"/>
      <c r="E166" s="773" t="s">
        <v>689</v>
      </c>
      <c r="F166" s="753"/>
      <c r="G166" s="1084" t="s">
        <v>2254</v>
      </c>
    </row>
    <row r="167" spans="1:7" s="42" customFormat="1" ht="5.45" customHeight="1">
      <c r="A167" s="104"/>
      <c r="B167" s="401"/>
      <c r="C167" s="1086"/>
      <c r="D167" s="1086"/>
      <c r="E167" s="710"/>
      <c r="F167" s="710"/>
      <c r="G167" s="1099"/>
    </row>
    <row r="168" spans="1:7" s="42" customFormat="1" ht="13.9" customHeight="1">
      <c r="A168" s="387">
        <v>25</v>
      </c>
      <c r="B168" s="1100" t="s">
        <v>628</v>
      </c>
      <c r="C168" s="241"/>
      <c r="D168" s="1087"/>
      <c r="E168" s="773" t="s">
        <v>2655</v>
      </c>
      <c r="F168" s="753"/>
      <c r="G168" s="1084" t="s">
        <v>2254</v>
      </c>
    </row>
    <row r="169" spans="1:7" s="42" customFormat="1" ht="13.9" customHeight="1">
      <c r="A169" s="389"/>
      <c r="B169" s="1100"/>
      <c r="C169" s="241"/>
      <c r="D169" s="1087"/>
      <c r="E169" s="773" t="s">
        <v>629</v>
      </c>
      <c r="F169" s="753"/>
      <c r="G169" s="1084" t="s">
        <v>2254</v>
      </c>
    </row>
    <row r="170" spans="1:7" s="42" customFormat="1" ht="12" customHeight="1">
      <c r="A170" s="387">
        <v>26</v>
      </c>
      <c r="B170" s="1087" t="s">
        <v>690</v>
      </c>
      <c r="C170" s="241"/>
      <c r="D170" s="1087"/>
      <c r="E170" s="710" t="s">
        <v>691</v>
      </c>
      <c r="F170" s="708"/>
      <c r="G170" s="1084" t="s">
        <v>2254</v>
      </c>
    </row>
    <row r="171" spans="1:7" s="42" customFormat="1" ht="12" customHeight="1">
      <c r="A171" s="104"/>
      <c r="B171" s="1087"/>
      <c r="C171" s="241"/>
      <c r="E171" s="710" t="s">
        <v>630</v>
      </c>
      <c r="F171" s="708"/>
      <c r="G171" s="1084" t="s">
        <v>2254</v>
      </c>
    </row>
    <row r="172" spans="1:7" s="42" customFormat="1" ht="12" customHeight="1">
      <c r="A172" s="104"/>
      <c r="B172" s="408"/>
      <c r="C172" s="241"/>
      <c r="D172" s="1087"/>
      <c r="E172" s="773" t="s">
        <v>631</v>
      </c>
      <c r="F172" s="753"/>
      <c r="G172" s="1084" t="s">
        <v>2254</v>
      </c>
    </row>
    <row r="173" spans="1:7" s="42" customFormat="1" ht="12" customHeight="1">
      <c r="A173" s="104"/>
      <c r="B173" s="408"/>
      <c r="C173" s="241"/>
      <c r="D173" s="1087"/>
      <c r="E173" s="773" t="s">
        <v>632</v>
      </c>
      <c r="F173" s="753"/>
      <c r="G173" s="1084" t="s">
        <v>2254</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692</v>
      </c>
      <c r="F175" s="708"/>
      <c r="G175" s="1084" t="s">
        <v>2254</v>
      </c>
    </row>
    <row r="176" spans="1:7" s="42" customFormat="1" ht="12" customHeight="1">
      <c r="A176" s="104"/>
      <c r="B176" s="1087"/>
      <c r="C176" s="241"/>
      <c r="D176" s="1087"/>
      <c r="E176" s="773" t="s">
        <v>177</v>
      </c>
      <c r="F176" s="753"/>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73" t="s">
        <v>178</v>
      </c>
      <c r="F181" s="1005"/>
      <c r="G181" s="1084" t="s">
        <v>3924</v>
      </c>
    </row>
    <row r="182" spans="1:7" s="42" customFormat="1" ht="12" customHeight="1">
      <c r="A182" s="387"/>
      <c r="B182" s="1101"/>
      <c r="C182" s="1087"/>
      <c r="D182" s="1087"/>
      <c r="E182" s="773" t="s">
        <v>179</v>
      </c>
      <c r="F182" s="1005"/>
      <c r="G182" s="1084" t="s">
        <v>3924</v>
      </c>
    </row>
    <row r="183" spans="1:7" s="42" customFormat="1" ht="25.15" customHeight="1">
      <c r="A183" s="104"/>
      <c r="B183" s="1087"/>
      <c r="C183" s="241"/>
      <c r="D183" s="1087"/>
      <c r="E183" s="773" t="s">
        <v>1620</v>
      </c>
      <c r="F183" s="753"/>
      <c r="G183" s="1084" t="s">
        <v>3924</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73" t="s">
        <v>633</v>
      </c>
      <c r="F185" s="753"/>
      <c r="G185" s="1084" t="s">
        <v>3924</v>
      </c>
    </row>
    <row r="186" spans="1:7" s="42" customFormat="1" ht="12" customHeight="1">
      <c r="A186" s="387"/>
      <c r="B186" s="1101"/>
      <c r="C186" s="241"/>
      <c r="D186" s="1087"/>
      <c r="E186" s="393" t="s">
        <v>1637</v>
      </c>
      <c r="F186" s="708"/>
      <c r="G186" s="1084" t="s">
        <v>3924</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3924</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2254</v>
      </c>
    </row>
    <row r="197" spans="1:7" s="42" customFormat="1" ht="12" customHeight="1">
      <c r="A197" s="104"/>
      <c r="B197" s="241"/>
      <c r="C197" s="241"/>
      <c r="D197" s="1087"/>
      <c r="E197" s="1086" t="s">
        <v>3383</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3884</v>
      </c>
      <c r="F199" s="396"/>
      <c r="G199" s="1084" t="s">
        <v>2254</v>
      </c>
    </row>
    <row r="200" spans="1:7" s="42" customFormat="1" ht="12" customHeight="1">
      <c r="A200" s="104"/>
      <c r="B200" s="709"/>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09"/>
      <c r="C203" s="1087"/>
      <c r="D203" s="1087"/>
      <c r="E203" s="1086" t="s">
        <v>2734</v>
      </c>
      <c r="F203" s="396"/>
      <c r="G203" s="1084" t="s">
        <v>2254</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09"/>
      <c r="C209" s="1087"/>
      <c r="D209" s="1087"/>
      <c r="E209" s="1086" t="s">
        <v>174</v>
      </c>
      <c r="F209" s="396"/>
      <c r="G209" s="1084" t="s">
        <v>2254</v>
      </c>
    </row>
    <row r="210" spans="1:7" s="42" customFormat="1" ht="12" customHeight="1">
      <c r="A210" s="107"/>
      <c r="B210" s="709"/>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09"/>
      <c r="C212" s="1087"/>
      <c r="D212" s="1087"/>
      <c r="E212" s="1086"/>
      <c r="F212" s="396"/>
      <c r="G212" s="313"/>
    </row>
    <row r="213" spans="1:7" s="42" customFormat="1" ht="12" customHeight="1">
      <c r="A213" s="387">
        <v>33</v>
      </c>
      <c r="B213" s="1087" t="s">
        <v>2841</v>
      </c>
      <c r="C213" s="241"/>
      <c r="D213" s="1087"/>
      <c r="E213" s="773" t="s">
        <v>180</v>
      </c>
      <c r="F213" s="753"/>
      <c r="G213" s="1084" t="s">
        <v>2254</v>
      </c>
    </row>
    <row r="214" spans="1:7" s="42" customFormat="1" ht="12" customHeight="1">
      <c r="A214" s="387"/>
      <c r="B214" s="241"/>
      <c r="C214" s="241"/>
      <c r="D214" s="1087"/>
      <c r="E214" s="773" t="s">
        <v>181</v>
      </c>
      <c r="F214" s="753"/>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09"/>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09" t="s">
        <v>2671</v>
      </c>
      <c r="D220" s="1087"/>
      <c r="E220" s="1086" t="s">
        <v>183</v>
      </c>
      <c r="F220" s="396"/>
      <c r="G220" s="1084" t="s">
        <v>2254</v>
      </c>
    </row>
    <row r="221" spans="1:7" s="42" customFormat="1" ht="6" customHeight="1">
      <c r="A221" s="104"/>
      <c r="B221" s="709"/>
      <c r="C221" s="1087"/>
      <c r="D221" s="1087"/>
      <c r="E221" s="1086"/>
      <c r="F221" s="396"/>
      <c r="G221" s="313"/>
    </row>
    <row r="222" spans="1:7" s="42" customFormat="1" ht="12" customHeight="1">
      <c r="A222" s="387">
        <v>35</v>
      </c>
      <c r="B222" s="1087" t="s">
        <v>1907</v>
      </c>
      <c r="C222" s="241"/>
      <c r="D222" s="1087"/>
      <c r="E222" s="1086" t="s">
        <v>1908</v>
      </c>
      <c r="F222" s="396"/>
      <c r="G222" s="1084" t="s">
        <v>3924</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1909</v>
      </c>
      <c r="F224" s="396"/>
      <c r="G224" s="1084" t="s">
        <v>3924</v>
      </c>
    </row>
    <row r="225" spans="1:7" s="42" customFormat="1" ht="6" customHeight="1">
      <c r="A225" s="104"/>
      <c r="B225" s="709"/>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09"/>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09"/>
      <c r="E231" s="1111" t="s">
        <v>36</v>
      </c>
      <c r="F231" s="396"/>
      <c r="G231" s="1084" t="s">
        <v>2254</v>
      </c>
    </row>
    <row r="232" spans="1:7" s="42" customFormat="1" ht="6" customHeight="1">
      <c r="A232" s="104"/>
      <c r="B232" s="709"/>
      <c r="C232" s="1087"/>
      <c r="D232" s="1087"/>
      <c r="E232" s="1086"/>
      <c r="F232" s="396"/>
      <c r="G232" s="106"/>
    </row>
    <row r="233" spans="1:7" s="42" customFormat="1" ht="12" customHeight="1">
      <c r="A233" s="387">
        <v>38</v>
      </c>
      <c r="B233" s="1087" t="s">
        <v>3552</v>
      </c>
      <c r="C233" s="241"/>
      <c r="D233" s="1087"/>
      <c r="E233" s="1086" t="s">
        <v>3511</v>
      </c>
      <c r="F233" s="396"/>
      <c r="G233" s="1084" t="s">
        <v>2254</v>
      </c>
    </row>
    <row r="234" spans="1:7" s="42" customFormat="1" ht="12" customHeight="1">
      <c r="A234" s="104"/>
      <c r="B234" s="1086"/>
      <c r="C234" s="1087"/>
      <c r="D234" s="1087"/>
      <c r="E234" s="396" t="s">
        <v>3512</v>
      </c>
      <c r="F234" s="396"/>
      <c r="G234" s="1084" t="s">
        <v>2254</v>
      </c>
    </row>
    <row r="235" spans="1:7" s="42" customFormat="1" ht="6" customHeight="1">
      <c r="A235" s="104"/>
      <c r="B235" s="417"/>
      <c r="C235" s="1112"/>
      <c r="D235" s="1112"/>
      <c r="E235" s="1113"/>
      <c r="F235" s="106"/>
      <c r="G235" s="106"/>
    </row>
    <row r="236" spans="1:7" s="42" customFormat="1" ht="13.15" customHeight="1">
      <c r="A236" s="387">
        <v>39</v>
      </c>
      <c r="B236" s="1087" t="s">
        <v>2364</v>
      </c>
      <c r="E236" s="1114" t="s">
        <v>4051</v>
      </c>
      <c r="F236" s="1114"/>
      <c r="G236" s="1084" t="s">
        <v>3924</v>
      </c>
    </row>
    <row r="237" spans="1:7" s="42" customFormat="1" ht="12.6" customHeight="1">
      <c r="A237" s="104"/>
      <c r="C237" s="1115" t="s">
        <v>1027</v>
      </c>
      <c r="D237" s="1116"/>
      <c r="E237" s="1117" t="s">
        <v>4052</v>
      </c>
      <c r="F237" s="1117"/>
      <c r="G237" s="1118" t="s">
        <v>3924</v>
      </c>
    </row>
    <row r="238" spans="1:7" s="42" customFormat="1" ht="12.6" customHeight="1">
      <c r="A238" s="104"/>
      <c r="C238" s="1115"/>
      <c r="D238" s="1116"/>
      <c r="E238" s="1117" t="s">
        <v>2739</v>
      </c>
      <c r="F238" s="1117"/>
      <c r="G238" s="1118" t="s">
        <v>3924</v>
      </c>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75" zoomScaleNormal="75" workbookViewId="0">
      <selection activeCell="D144" sqref="D144"/>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2011-023 The Village at Winding Road, St. Marys, Camden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68" t="str">
        <f>'Part I-Project Information'!$J$26</f>
        <v>Camden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2848</v>
      </c>
      <c r="DT4" s="964" t="s">
        <v>2849</v>
      </c>
      <c r="DU4" s="964" t="s">
        <v>2850</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3926</v>
      </c>
      <c r="J6" s="738" t="s">
        <v>3646</v>
      </c>
      <c r="O6" s="2"/>
      <c r="P6" s="658">
        <f>VLOOKUP('Part I-Project Information'!$J$26,'DCA Underwriting Assumptions'!$C$77:$D$187,2)</f>
        <v>60800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38" t="s">
        <v>228</v>
      </c>
      <c r="D8" s="738" t="s">
        <v>840</v>
      </c>
      <c r="E8" s="738" t="s">
        <v>2211</v>
      </c>
      <c r="F8" s="738" t="s">
        <v>2211</v>
      </c>
      <c r="G8" s="738" t="s">
        <v>3618</v>
      </c>
      <c r="H8" s="738" t="s">
        <v>3616</v>
      </c>
      <c r="I8" s="738" t="s">
        <v>1381</v>
      </c>
      <c r="J8" s="738" t="s">
        <v>3648</v>
      </c>
      <c r="K8" s="966" t="s">
        <v>186</v>
      </c>
      <c r="L8" s="966"/>
      <c r="M8" s="738" t="s">
        <v>3573</v>
      </c>
      <c r="N8" s="738" t="s">
        <v>826</v>
      </c>
      <c r="O8" s="738" t="s">
        <v>488</v>
      </c>
      <c r="P8" s="969" t="s">
        <v>1666</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38" t="s">
        <v>227</v>
      </c>
      <c r="D9" s="738" t="s">
        <v>229</v>
      </c>
      <c r="E9" s="738" t="s">
        <v>2212</v>
      </c>
      <c r="F9" s="738" t="s">
        <v>1964</v>
      </c>
      <c r="G9" s="738" t="s">
        <v>1965</v>
      </c>
      <c r="H9" s="738" t="s">
        <v>3617</v>
      </c>
      <c r="I9" s="738" t="s">
        <v>1382</v>
      </c>
      <c r="J9" s="684" t="s">
        <v>451</v>
      </c>
      <c r="K9" s="738" t="s">
        <v>2282</v>
      </c>
      <c r="L9" s="738" t="s">
        <v>833</v>
      </c>
      <c r="M9" s="738" t="s">
        <v>2211</v>
      </c>
      <c r="N9" s="738" t="s">
        <v>1997</v>
      </c>
      <c r="O9" s="738" t="s">
        <v>489</v>
      </c>
      <c r="P9" s="739" t="s">
        <v>1664</v>
      </c>
      <c r="Q9" s="739" t="s">
        <v>1665</v>
      </c>
      <c r="R9" s="739"/>
      <c r="S9" s="739"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3</v>
      </c>
      <c r="F10" s="1307">
        <v>860</v>
      </c>
      <c r="G10" s="1307">
        <v>551</v>
      </c>
      <c r="H10" s="1307">
        <v>522</v>
      </c>
      <c r="I10" s="1307">
        <v>142</v>
      </c>
      <c r="J10" s="1308"/>
      <c r="K10" s="226">
        <f>MAX(0,H10-I10)</f>
        <v>380</v>
      </c>
      <c r="L10" s="226">
        <f t="shared" ref="L10:L47" si="0">MAX(0,E10*K10)</f>
        <v>1140</v>
      </c>
      <c r="M10" s="1309" t="s">
        <v>3926</v>
      </c>
      <c r="N10" s="1309" t="s">
        <v>3962</v>
      </c>
      <c r="O10" s="1309" t="s">
        <v>3436</v>
      </c>
      <c r="P10" s="581">
        <f>IF(H10="","",H10*12/0.3)</f>
        <v>20880</v>
      </c>
      <c r="Q10" s="582">
        <f>IF(H10="","",P10/($P$6*VLOOKUP(C10,'DCA Underwriting Assumptions'!$J$77:$K$82,2,FALSE)))</f>
        <v>0.45789473684210524</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2580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3</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1792</v>
      </c>
      <c r="C11" s="1311">
        <v>1</v>
      </c>
      <c r="D11" s="1312">
        <v>1</v>
      </c>
      <c r="E11" s="1313">
        <v>13</v>
      </c>
      <c r="F11" s="1313">
        <v>860</v>
      </c>
      <c r="G11" s="1313">
        <v>662</v>
      </c>
      <c r="H11" s="1313">
        <v>552</v>
      </c>
      <c r="I11" s="1313">
        <v>142</v>
      </c>
      <c r="J11" s="1314"/>
      <c r="K11" s="227">
        <f t="shared" ref="K11:K27" si="172">MAX(0,H11-I11)</f>
        <v>410</v>
      </c>
      <c r="L11" s="227">
        <f t="shared" si="0"/>
        <v>5330</v>
      </c>
      <c r="M11" s="1315" t="s">
        <v>3926</v>
      </c>
      <c r="N11" s="1315" t="s">
        <v>3962</v>
      </c>
      <c r="O11" s="1315" t="s">
        <v>3436</v>
      </c>
      <c r="P11" s="581">
        <f>IF(H11="","",H11*12/0.3)</f>
        <v>22080</v>
      </c>
      <c r="Q11" s="582">
        <f>IF(H11="","",P11/($P$6*VLOOKUP(C11,'DCA Underwriting Assumptions'!$J$77:$K$82,2,FALSE)))</f>
        <v>0.48421052631578948</v>
      </c>
      <c r="R11" s="739"/>
      <c r="S11" s="659"/>
      <c r="T11" s="113" t="str">
        <f t="shared" si="1"/>
        <v/>
      </c>
      <c r="U11" s="113">
        <f t="shared" si="2"/>
        <v>13</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11180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13</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13</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13</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1</v>
      </c>
      <c r="E12" s="1313">
        <v>5</v>
      </c>
      <c r="F12" s="1313">
        <v>1060</v>
      </c>
      <c r="G12" s="1313">
        <v>662</v>
      </c>
      <c r="H12" s="1313">
        <v>625</v>
      </c>
      <c r="I12" s="1313">
        <v>180</v>
      </c>
      <c r="J12" s="1314"/>
      <c r="K12" s="227">
        <f t="shared" si="172"/>
        <v>445</v>
      </c>
      <c r="L12" s="227">
        <f t="shared" si="0"/>
        <v>2225</v>
      </c>
      <c r="M12" s="1315" t="s">
        <v>3926</v>
      </c>
      <c r="N12" s="1315" t="s">
        <v>3962</v>
      </c>
      <c r="O12" s="1315" t="s">
        <v>3436</v>
      </c>
      <c r="P12" s="581">
        <f>IF(H12="","",H12*12/0.3)</f>
        <v>25000</v>
      </c>
      <c r="Q12" s="582">
        <f>IF(H12="","",P12/($P$6*VLOOKUP(C12,'DCA Underwriting Assumptions'!$J$77:$K$82,2,FALSE)))</f>
        <v>0.45687134502923976</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5300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5</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5</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5</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2</v>
      </c>
      <c r="D13" s="1312">
        <v>1</v>
      </c>
      <c r="E13" s="1313">
        <v>29</v>
      </c>
      <c r="F13" s="1313">
        <v>1060</v>
      </c>
      <c r="G13" s="1313">
        <v>795</v>
      </c>
      <c r="H13" s="1313">
        <v>665</v>
      </c>
      <c r="I13" s="1313">
        <v>180</v>
      </c>
      <c r="J13" s="1314"/>
      <c r="K13" s="227">
        <f t="shared" si="172"/>
        <v>485</v>
      </c>
      <c r="L13" s="227">
        <f t="shared" si="0"/>
        <v>14065</v>
      </c>
      <c r="M13" s="1315" t="s">
        <v>3926</v>
      </c>
      <c r="N13" s="1315" t="s">
        <v>3962</v>
      </c>
      <c r="O13" s="1315" t="s">
        <v>3436</v>
      </c>
      <c r="P13" s="581">
        <f>IF(H13="","",H13*12/0.3)</f>
        <v>26600</v>
      </c>
      <c r="Q13" s="582">
        <f>IF(H13="","",P13/($P$6*VLOOKUP(C13,'DCA Underwriting Assumptions'!$J$77:$K$82,2,FALSE)))</f>
        <v>0.4861111111111111</v>
      </c>
      <c r="R13" s="739"/>
      <c r="S13" s="659"/>
      <c r="T13" s="113" t="str">
        <f t="shared" si="1"/>
        <v/>
      </c>
      <c r="U13" s="113" t="str">
        <f t="shared" si="2"/>
        <v/>
      </c>
      <c r="V13" s="113">
        <f t="shared" si="3"/>
        <v>29</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30740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29</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29</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29</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50</v>
      </c>
      <c r="F48" s="171">
        <f>(E10*F10+E11*F11+E12*F12+E13*F13+E14*F14+E15*F15+E16*F16+E17*F17+E18*F18+E19*F19+E20*F20+E21*F21+E22*F22+E23*F23+E24*F24+E25*F25+E26*F26+E27*F27+E28*F28+E29*F29+E30*F30+E31*F31+E32*F32+E33*F33+E34*F34+E35*F35+E36*F36+E37*F37+E38*F38+E39*F39+E40*F40+E41*F41+E42*F42+E43*F43+E44*F44+E45*F45+E46*F46+E47*F47)</f>
        <v>49800</v>
      </c>
      <c r="G48" s="162"/>
      <c r="H48" s="163"/>
      <c r="I48" s="163"/>
      <c r="J48" s="163"/>
      <c r="K48" s="15" t="s">
        <v>2003</v>
      </c>
      <c r="L48" s="169">
        <f>SUM(L10:L47)</f>
        <v>22760</v>
      </c>
      <c r="M48" s="2"/>
      <c r="N48" s="42"/>
      <c r="O48" s="2"/>
      <c r="P48" s="122"/>
      <c r="Q48" s="122"/>
      <c r="R48" s="739"/>
      <c r="S48" s="446"/>
      <c r="T48" s="446">
        <f t="shared" ref="T48:CI48" si="206">SUM(T10:T47)</f>
        <v>0</v>
      </c>
      <c r="U48" s="446">
        <f t="shared" si="206"/>
        <v>13</v>
      </c>
      <c r="V48" s="446">
        <f t="shared" si="206"/>
        <v>29</v>
      </c>
      <c r="W48" s="446">
        <f t="shared" si="206"/>
        <v>0</v>
      </c>
      <c r="X48" s="446">
        <f t="shared" si="206"/>
        <v>0</v>
      </c>
      <c r="Y48" s="446">
        <f t="shared" si="206"/>
        <v>0</v>
      </c>
      <c r="Z48" s="446">
        <f t="shared" si="206"/>
        <v>3</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11180</v>
      </c>
      <c r="BY48" s="446">
        <f t="shared" si="206"/>
        <v>30740</v>
      </c>
      <c r="BZ48" s="446">
        <f t="shared" si="206"/>
        <v>0</v>
      </c>
      <c r="CA48" s="446">
        <f t="shared" si="206"/>
        <v>0</v>
      </c>
      <c r="CB48" s="446">
        <f t="shared" si="206"/>
        <v>0</v>
      </c>
      <c r="CC48" s="446">
        <f t="shared" si="206"/>
        <v>2580</v>
      </c>
      <c r="CD48" s="446">
        <f t="shared" si="206"/>
        <v>5300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16</v>
      </c>
      <c r="DC48" s="446">
        <f t="shared" si="208"/>
        <v>34</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34</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16</v>
      </c>
      <c r="FU48" s="446">
        <f t="shared" si="209"/>
        <v>34</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273120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13</v>
      </c>
      <c r="J57" s="381">
        <f>V48</f>
        <v>29</v>
      </c>
      <c r="K57" s="381">
        <f>W48</f>
        <v>0</v>
      </c>
      <c r="L57" s="381">
        <f>X48</f>
        <v>0</v>
      </c>
      <c r="M57" s="381">
        <f t="shared" ref="M57:M63" si="211">SUM(H57:L57)</f>
        <v>42</v>
      </c>
      <c r="N57" s="974" t="s">
        <v>1484</v>
      </c>
      <c r="O57" s="975"/>
      <c r="P57" s="737"/>
      <c r="Q57" s="680">
        <f t="shared" ref="Q57:Q63" si="212">ABS(M57-AD57)</f>
        <v>0</v>
      </c>
      <c r="S57" s="207"/>
      <c r="T57" s="447" t="s">
        <v>1779</v>
      </c>
      <c r="U57" s="447"/>
      <c r="V57" s="447"/>
      <c r="W57" s="447"/>
      <c r="X57" s="448" t="s">
        <v>1792</v>
      </c>
      <c r="Y57" s="449">
        <f>T48</f>
        <v>0</v>
      </c>
      <c r="Z57" s="449">
        <f>U48</f>
        <v>13</v>
      </c>
      <c r="AA57" s="449">
        <f>V48</f>
        <v>29</v>
      </c>
      <c r="AB57" s="449">
        <f>W48</f>
        <v>0</v>
      </c>
      <c r="AC57" s="449">
        <f>X48</f>
        <v>0</v>
      </c>
      <c r="AD57" s="449">
        <f t="shared" ref="AD57:AD63" si="213">SUM(Y57:AC57)</f>
        <v>42</v>
      </c>
      <c r="AE57" s="448" t="s">
        <v>1556</v>
      </c>
      <c r="AF57" s="122"/>
      <c r="GU57" s="172"/>
      <c r="HJ57" s="113"/>
    </row>
    <row r="58" spans="1:221" ht="15" customHeight="1">
      <c r="A58" s="985" t="s">
        <v>653</v>
      </c>
      <c r="B58" s="985"/>
      <c r="C58" s="5"/>
      <c r="D58" s="2"/>
      <c r="E58" s="2"/>
      <c r="F58" s="2"/>
      <c r="G58" s="46" t="s">
        <v>133</v>
      </c>
      <c r="H58" s="382">
        <f>Y48</f>
        <v>0</v>
      </c>
      <c r="I58" s="382">
        <f>Z48</f>
        <v>3</v>
      </c>
      <c r="J58" s="382">
        <f>AA48</f>
        <v>5</v>
      </c>
      <c r="K58" s="382">
        <f>AB48</f>
        <v>0</v>
      </c>
      <c r="L58" s="382">
        <f>AC48</f>
        <v>0</v>
      </c>
      <c r="M58" s="382">
        <f t="shared" si="211"/>
        <v>8</v>
      </c>
      <c r="N58" s="974"/>
      <c r="O58" s="975"/>
      <c r="P58" s="737"/>
      <c r="Q58" s="680">
        <f t="shared" si="212"/>
        <v>0</v>
      </c>
      <c r="S58" s="207"/>
      <c r="T58" s="231"/>
      <c r="U58" s="447"/>
      <c r="V58" s="447"/>
      <c r="W58" s="447"/>
      <c r="X58" s="448" t="s">
        <v>133</v>
      </c>
      <c r="Y58" s="449">
        <f>Y48</f>
        <v>0</v>
      </c>
      <c r="Z58" s="449">
        <f>Z48</f>
        <v>3</v>
      </c>
      <c r="AA58" s="449">
        <f>AA48</f>
        <v>5</v>
      </c>
      <c r="AB58" s="449">
        <f>AB48</f>
        <v>0</v>
      </c>
      <c r="AC58" s="449">
        <f>AC48</f>
        <v>0</v>
      </c>
      <c r="AD58" s="449">
        <f t="shared" si="213"/>
        <v>8</v>
      </c>
      <c r="AE58" s="448"/>
      <c r="AF58" s="122"/>
      <c r="GU58" s="172"/>
      <c r="HJ58" s="113"/>
    </row>
    <row r="59" spans="1:221" ht="15" customHeight="1">
      <c r="A59" s="985"/>
      <c r="B59" s="985"/>
      <c r="C59" s="5"/>
      <c r="D59" s="2"/>
      <c r="E59" s="2"/>
      <c r="F59" s="2"/>
      <c r="G59" s="46" t="s">
        <v>833</v>
      </c>
      <c r="H59" s="383">
        <f>SUM(H57:H58)</f>
        <v>0</v>
      </c>
      <c r="I59" s="383">
        <f>SUM(I57:I58)</f>
        <v>16</v>
      </c>
      <c r="J59" s="383">
        <f>SUM(J57:J58)</f>
        <v>34</v>
      </c>
      <c r="K59" s="383">
        <f>SUM(K57:K58)</f>
        <v>0</v>
      </c>
      <c r="L59" s="383">
        <f>SUM(L57:L58)</f>
        <v>0</v>
      </c>
      <c r="M59" s="383">
        <f t="shared" si="211"/>
        <v>50</v>
      </c>
      <c r="N59" s="386"/>
      <c r="O59" s="113"/>
      <c r="Q59" s="680">
        <f t="shared" si="212"/>
        <v>0</v>
      </c>
      <c r="S59" s="207"/>
      <c r="T59" s="231"/>
      <c r="U59" s="447"/>
      <c r="V59" s="447"/>
      <c r="W59" s="447"/>
      <c r="X59" s="448" t="s">
        <v>833</v>
      </c>
      <c r="Y59" s="449">
        <f>SUM(Y57:Y58)</f>
        <v>0</v>
      </c>
      <c r="Z59" s="449">
        <f>SUM(Z57:Z58)</f>
        <v>16</v>
      </c>
      <c r="AA59" s="449">
        <f>SUM(AA57:AA58)</f>
        <v>34</v>
      </c>
      <c r="AB59" s="449">
        <f>SUM(AB57:AB58)</f>
        <v>0</v>
      </c>
      <c r="AC59" s="449">
        <f>SUM(AC57:AC58)</f>
        <v>0</v>
      </c>
      <c r="AD59" s="449">
        <f t="shared" si="213"/>
        <v>50</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16</v>
      </c>
      <c r="J61" s="383">
        <f>SUM(J59:J60)</f>
        <v>34</v>
      </c>
      <c r="K61" s="383">
        <f>SUM(K59:K60)</f>
        <v>0</v>
      </c>
      <c r="L61" s="383">
        <f>SUM(L59:L60)</f>
        <v>0</v>
      </c>
      <c r="M61" s="383">
        <f t="shared" si="211"/>
        <v>50</v>
      </c>
      <c r="N61" s="68"/>
      <c r="O61" s="113"/>
      <c r="Q61" s="680">
        <f t="shared" si="212"/>
        <v>0</v>
      </c>
      <c r="S61" s="207"/>
      <c r="T61" s="447" t="s">
        <v>1780</v>
      </c>
      <c r="U61" s="447"/>
      <c r="V61" s="447"/>
      <c r="W61" s="447"/>
      <c r="X61" s="448"/>
      <c r="Y61" s="449">
        <f>SUM(Y59:Y60)</f>
        <v>0</v>
      </c>
      <c r="Z61" s="449">
        <f>SUM(Z59:Z60)</f>
        <v>16</v>
      </c>
      <c r="AA61" s="449">
        <f>SUM(AA59:AA60)</f>
        <v>34</v>
      </c>
      <c r="AB61" s="449">
        <f>SUM(AB59:AB60)</f>
        <v>0</v>
      </c>
      <c r="AC61" s="449">
        <f>SUM(AC59:AC60)</f>
        <v>0</v>
      </c>
      <c r="AD61" s="449">
        <f t="shared" si="213"/>
        <v>50</v>
      </c>
      <c r="AE61" s="450"/>
      <c r="AF61" s="122"/>
      <c r="GU61" s="172"/>
      <c r="HJ61" s="113"/>
    </row>
    <row r="62" spans="1:221" ht="15" customHeight="1">
      <c r="A62" s="985"/>
      <c r="B62" s="985"/>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85"/>
      <c r="B63" s="985"/>
      <c r="C63" s="2" t="s">
        <v>833</v>
      </c>
      <c r="D63" s="2"/>
      <c r="E63" s="2"/>
      <c r="F63" s="2"/>
      <c r="G63" s="46"/>
      <c r="H63" s="383">
        <f>SUM(H61:H62)</f>
        <v>0</v>
      </c>
      <c r="I63" s="383">
        <f>SUM(I61:I62)</f>
        <v>16</v>
      </c>
      <c r="J63" s="383">
        <f>SUM(J61:J62)</f>
        <v>34</v>
      </c>
      <c r="K63" s="383">
        <f>SUM(K61:K62)</f>
        <v>0</v>
      </c>
      <c r="L63" s="383">
        <f>SUM(L61:L62)</f>
        <v>0</v>
      </c>
      <c r="M63" s="383">
        <f t="shared" si="211"/>
        <v>50</v>
      </c>
      <c r="O63" s="113"/>
      <c r="Q63" s="680">
        <f t="shared" si="212"/>
        <v>0</v>
      </c>
      <c r="S63" s="207"/>
      <c r="T63" s="447" t="s">
        <v>833</v>
      </c>
      <c r="U63" s="447"/>
      <c r="V63" s="447"/>
      <c r="W63" s="447"/>
      <c r="X63" s="448"/>
      <c r="Y63" s="449">
        <f>SUM(Y61:Y62)</f>
        <v>0</v>
      </c>
      <c r="Z63" s="449">
        <f>SUM(Z61:Z62)</f>
        <v>16</v>
      </c>
      <c r="AA63" s="449">
        <f>SUM(AA61:AA62)</f>
        <v>34</v>
      </c>
      <c r="AB63" s="449">
        <f>SUM(AB61:AB62)</f>
        <v>0</v>
      </c>
      <c r="AC63" s="449">
        <f>SUM(AC61:AC62)</f>
        <v>0</v>
      </c>
      <c r="AD63" s="449">
        <f t="shared" si="213"/>
        <v>50</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3436</v>
      </c>
      <c r="F73" s="2"/>
      <c r="G73" s="46" t="s">
        <v>2155</v>
      </c>
      <c r="H73" s="381">
        <f>DA48</f>
        <v>0</v>
      </c>
      <c r="I73" s="381">
        <f>DB48</f>
        <v>16</v>
      </c>
      <c r="J73" s="381">
        <f>DC48</f>
        <v>34</v>
      </c>
      <c r="K73" s="381">
        <f>DD48</f>
        <v>0</v>
      </c>
      <c r="L73" s="381">
        <f>DE48</f>
        <v>0</v>
      </c>
      <c r="M73" s="381">
        <f t="shared" ref="M73:M83" si="214">SUM(H73:L73)</f>
        <v>50</v>
      </c>
      <c r="N73" s="31"/>
      <c r="O73" s="113"/>
      <c r="Q73" s="680">
        <f t="shared" ref="Q73:Q81" si="215">ABS(M73-AD73)</f>
        <v>0</v>
      </c>
      <c r="S73" s="207"/>
      <c r="T73" s="447"/>
      <c r="U73" s="447"/>
      <c r="V73" s="451" t="s">
        <v>3436</v>
      </c>
      <c r="W73" s="447"/>
      <c r="X73" s="448" t="s">
        <v>2155</v>
      </c>
      <c r="Y73" s="449">
        <f>DA48</f>
        <v>0</v>
      </c>
      <c r="Z73" s="449">
        <f>DB48</f>
        <v>16</v>
      </c>
      <c r="AA73" s="449">
        <f>DC48</f>
        <v>34</v>
      </c>
      <c r="AB73" s="449">
        <f>DD48</f>
        <v>0</v>
      </c>
      <c r="AC73" s="449">
        <f>DE48</f>
        <v>0</v>
      </c>
      <c r="AD73" s="449">
        <f t="shared" ref="AD73:AD81" si="216">SUM(Y73:AC73)</f>
        <v>50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16</v>
      </c>
      <c r="J75" s="383">
        <f>SUM(J73:J74)+DM48</f>
        <v>34</v>
      </c>
      <c r="K75" s="383">
        <f>SUM(K73:K74)+DN48</f>
        <v>0</v>
      </c>
      <c r="L75" s="383">
        <f>SUM(L73:L74)+DO48</f>
        <v>0</v>
      </c>
      <c r="M75" s="383">
        <f t="shared" si="214"/>
        <v>50</v>
      </c>
      <c r="N75" s="65"/>
      <c r="O75" s="113"/>
      <c r="Q75" s="680">
        <f t="shared" si="215"/>
        <v>0</v>
      </c>
      <c r="S75" s="207"/>
      <c r="T75" s="231"/>
      <c r="U75" s="447"/>
      <c r="V75" s="451"/>
      <c r="W75" s="447"/>
      <c r="X75" s="681" t="s">
        <v>34</v>
      </c>
      <c r="Y75" s="449">
        <f>SUM(Y73:Y74)+DK48</f>
        <v>0</v>
      </c>
      <c r="Z75" s="449">
        <f>SUM(Z73:Z74)+DL48</f>
        <v>16</v>
      </c>
      <c r="AA75" s="449">
        <f>SUM(AA73:AA74)+DM48</f>
        <v>34</v>
      </c>
      <c r="AB75" s="449">
        <f>SUM(AB73:AB74)+DN48</f>
        <v>0</v>
      </c>
      <c r="AC75" s="449">
        <f>SUM(AC73:AC74)+DO48</f>
        <v>0</v>
      </c>
      <c r="AD75" s="449">
        <f t="shared" si="216"/>
        <v>50</v>
      </c>
      <c r="AE75" s="448"/>
      <c r="AF75" s="122"/>
      <c r="GU75" s="172"/>
      <c r="HJ75" s="113"/>
    </row>
    <row r="76" spans="1:218" ht="15" customHeight="1">
      <c r="A76" s="985"/>
      <c r="B76" s="985"/>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16</v>
      </c>
      <c r="J85" s="381">
        <f>EV48</f>
        <v>34</v>
      </c>
      <c r="K85" s="381">
        <f>EW48</f>
        <v>0</v>
      </c>
      <c r="L85" s="381">
        <f>EX48</f>
        <v>0</v>
      </c>
      <c r="M85" s="381">
        <f>SUM(H85:L85)</f>
        <v>50</v>
      </c>
      <c r="N85" s="31"/>
      <c r="O85" s="113"/>
      <c r="Q85" s="680">
        <f>ABS(M85-AD85)</f>
        <v>0</v>
      </c>
      <c r="S85" s="207"/>
      <c r="T85" s="122"/>
      <c r="U85" s="122"/>
      <c r="V85" s="451" t="s">
        <v>46</v>
      </c>
      <c r="W85" s="122"/>
      <c r="X85" s="448"/>
      <c r="Y85" s="449">
        <f>ET48</f>
        <v>0</v>
      </c>
      <c r="Z85" s="449">
        <f>EU48</f>
        <v>16</v>
      </c>
      <c r="AA85" s="449">
        <f>EV48</f>
        <v>34</v>
      </c>
      <c r="AB85" s="449">
        <f>EW48</f>
        <v>0</v>
      </c>
      <c r="AC85" s="449">
        <f>EX48</f>
        <v>0</v>
      </c>
      <c r="AD85" s="449">
        <f>SUM(Y85:AC85)</f>
        <v>50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11180</v>
      </c>
      <c r="J92" s="223">
        <f>BY48</f>
        <v>30740</v>
      </c>
      <c r="K92" s="223">
        <f>BZ48</f>
        <v>0</v>
      </c>
      <c r="L92" s="223">
        <f>CA48</f>
        <v>0</v>
      </c>
      <c r="M92" s="223">
        <f t="shared" ref="M92:M98" si="217">SUM(H92:L92)</f>
        <v>41920</v>
      </c>
      <c r="O92" s="113"/>
      <c r="Q92" s="680">
        <f t="shared" ref="Q92:Q98" si="218">ABS(M92-AD92)</f>
        <v>0</v>
      </c>
      <c r="S92" s="207"/>
      <c r="T92" s="447" t="s">
        <v>3237</v>
      </c>
      <c r="U92" s="447"/>
      <c r="V92" s="447"/>
      <c r="W92" s="447"/>
      <c r="X92" s="448" t="s">
        <v>1792</v>
      </c>
      <c r="Y92" s="449">
        <f>BW48</f>
        <v>0</v>
      </c>
      <c r="Z92" s="449">
        <f>BX48</f>
        <v>11180</v>
      </c>
      <c r="AA92" s="449">
        <f>BY48</f>
        <v>30740</v>
      </c>
      <c r="AB92" s="449">
        <f>BZ48</f>
        <v>0</v>
      </c>
      <c r="AC92" s="449">
        <f>CA48</f>
        <v>0</v>
      </c>
      <c r="AD92" s="449">
        <f t="shared" ref="AD92:AD98" si="219">SUM(Y92:AC92)</f>
        <v>41920</v>
      </c>
      <c r="AE92" s="207"/>
      <c r="AF92" s="122"/>
      <c r="GU92" s="172"/>
      <c r="HJ92" s="113"/>
    </row>
    <row r="93" spans="1:218" ht="15" customHeight="1">
      <c r="C93" s="5"/>
      <c r="D93" s="2"/>
      <c r="E93" s="2"/>
      <c r="F93" s="2"/>
      <c r="G93" s="46" t="s">
        <v>133</v>
      </c>
      <c r="H93" s="225">
        <f>CB48</f>
        <v>0</v>
      </c>
      <c r="I93" s="225">
        <f>CC48</f>
        <v>2580</v>
      </c>
      <c r="J93" s="225">
        <f>CD48</f>
        <v>5300</v>
      </c>
      <c r="K93" s="225">
        <f>CE48</f>
        <v>0</v>
      </c>
      <c r="L93" s="225">
        <f>CF48</f>
        <v>0</v>
      </c>
      <c r="M93" s="225">
        <f t="shared" si="217"/>
        <v>7880</v>
      </c>
      <c r="N93" s="6"/>
      <c r="O93" s="113"/>
      <c r="Q93" s="680">
        <f t="shared" si="218"/>
        <v>0</v>
      </c>
      <c r="S93" s="207"/>
      <c r="T93" s="231"/>
      <c r="U93" s="447"/>
      <c r="V93" s="447"/>
      <c r="W93" s="447"/>
      <c r="X93" s="448" t="s">
        <v>133</v>
      </c>
      <c r="Y93" s="449">
        <f>CB48</f>
        <v>0</v>
      </c>
      <c r="Z93" s="449">
        <f>CC48</f>
        <v>2580</v>
      </c>
      <c r="AA93" s="449">
        <f>CD48</f>
        <v>5300</v>
      </c>
      <c r="AB93" s="449">
        <f>CE48</f>
        <v>0</v>
      </c>
      <c r="AC93" s="449">
        <f>CF48</f>
        <v>0</v>
      </c>
      <c r="AD93" s="449">
        <f t="shared" si="219"/>
        <v>7880</v>
      </c>
      <c r="AE93" s="447"/>
      <c r="AF93" s="122"/>
      <c r="GU93" s="172"/>
      <c r="HJ93" s="113"/>
    </row>
    <row r="94" spans="1:218" ht="15" customHeight="1">
      <c r="C94" s="5"/>
      <c r="D94" s="2"/>
      <c r="E94" s="2"/>
      <c r="F94" s="2"/>
      <c r="G94" s="46" t="s">
        <v>833</v>
      </c>
      <c r="H94" s="222">
        <f>SUM(H92:H93)</f>
        <v>0</v>
      </c>
      <c r="I94" s="222">
        <f>SUM(I92:I93)</f>
        <v>13760</v>
      </c>
      <c r="J94" s="222">
        <f>SUM(J92:J93)</f>
        <v>36040</v>
      </c>
      <c r="K94" s="222">
        <f>SUM(K92:K93)</f>
        <v>0</v>
      </c>
      <c r="L94" s="222">
        <f>SUM(L92:L93)</f>
        <v>0</v>
      </c>
      <c r="M94" s="222">
        <f t="shared" si="217"/>
        <v>49800</v>
      </c>
      <c r="N94" s="6"/>
      <c r="O94" s="113"/>
      <c r="Q94" s="680">
        <f t="shared" si="218"/>
        <v>0</v>
      </c>
      <c r="S94" s="207"/>
      <c r="T94" s="231"/>
      <c r="U94" s="447"/>
      <c r="V94" s="447"/>
      <c r="W94" s="447"/>
      <c r="X94" s="448" t="s">
        <v>833</v>
      </c>
      <c r="Y94" s="449">
        <f>SUM(Y92:Y93)</f>
        <v>0</v>
      </c>
      <c r="Z94" s="449">
        <f>SUM(Z92:Z93)</f>
        <v>13760</v>
      </c>
      <c r="AA94" s="449">
        <f>SUM(AA92:AA93)</f>
        <v>36040</v>
      </c>
      <c r="AB94" s="449">
        <f>SUM(AB92:AB93)</f>
        <v>0</v>
      </c>
      <c r="AC94" s="449">
        <f>SUM(AC92:AC93)</f>
        <v>0</v>
      </c>
      <c r="AD94" s="449">
        <f t="shared" si="219"/>
        <v>49800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13760</v>
      </c>
      <c r="J96" s="222">
        <f>SUM(J94:J95)</f>
        <v>36040</v>
      </c>
      <c r="K96" s="222">
        <f>SUM(K94:K95)</f>
        <v>0</v>
      </c>
      <c r="L96" s="222">
        <f>SUM(L94:L95)</f>
        <v>0</v>
      </c>
      <c r="M96" s="222">
        <f t="shared" si="217"/>
        <v>49800</v>
      </c>
      <c r="O96" s="113"/>
      <c r="Q96" s="680">
        <f t="shared" si="218"/>
        <v>0</v>
      </c>
      <c r="S96" s="207"/>
      <c r="T96" s="447" t="s">
        <v>1780</v>
      </c>
      <c r="U96" s="447"/>
      <c r="V96" s="447"/>
      <c r="W96" s="447"/>
      <c r="X96" s="447"/>
      <c r="Y96" s="449">
        <f>SUM(Y94:Y95)</f>
        <v>0</v>
      </c>
      <c r="Z96" s="449">
        <f>SUM(Z94:Z95)</f>
        <v>13760</v>
      </c>
      <c r="AA96" s="449">
        <f>SUM(AA94:AA95)</f>
        <v>36040</v>
      </c>
      <c r="AB96" s="449">
        <f>SUM(AB94:AB95)</f>
        <v>0</v>
      </c>
      <c r="AC96" s="449">
        <f>SUM(AC94:AC95)</f>
        <v>0</v>
      </c>
      <c r="AD96" s="449">
        <f t="shared" si="219"/>
        <v>49800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13760</v>
      </c>
      <c r="J98" s="222">
        <f>SUM(J96:J97)</f>
        <v>36040</v>
      </c>
      <c r="K98" s="222">
        <f>SUM(K96:K97)</f>
        <v>0</v>
      </c>
      <c r="L98" s="222">
        <f>SUM(L96:L97)</f>
        <v>0</v>
      </c>
      <c r="M98" s="222">
        <f t="shared" si="217"/>
        <v>49800</v>
      </c>
      <c r="O98" s="113"/>
      <c r="Q98" s="680">
        <f t="shared" si="218"/>
        <v>0</v>
      </c>
      <c r="S98" s="207"/>
      <c r="T98" s="447" t="s">
        <v>833</v>
      </c>
      <c r="U98" s="447"/>
      <c r="V98" s="447"/>
      <c r="W98" s="447"/>
      <c r="X98" s="447"/>
      <c r="Y98" s="449">
        <f>SUM(Y96:Y97)</f>
        <v>0</v>
      </c>
      <c r="Z98" s="449">
        <f>SUM(Z96:Z97)</f>
        <v>13760</v>
      </c>
      <c r="AA98" s="449">
        <f>SUM(AA96:AA97)</f>
        <v>36040</v>
      </c>
      <c r="AB98" s="449">
        <f>SUM(AB96:AB97)</f>
        <v>0</v>
      </c>
      <c r="AC98" s="449">
        <f>SUM(AC96:AC97)</f>
        <v>0</v>
      </c>
      <c r="AD98" s="449">
        <f t="shared" si="219"/>
        <v>49800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5462.4000000000005</v>
      </c>
      <c r="H102" s="973"/>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39000</v>
      </c>
      <c r="G142" s="1332"/>
      <c r="H142" s="2"/>
      <c r="I142" s="2" t="s">
        <v>2081</v>
      </c>
      <c r="J142" s="2"/>
      <c r="K142" s="1331"/>
      <c r="L142" s="1332"/>
      <c r="M142" s="2"/>
      <c r="N142" s="2" t="s">
        <v>1525</v>
      </c>
      <c r="O142" s="2"/>
      <c r="P142" s="1333">
        <v>25000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18000</v>
      </c>
      <c r="G143" s="1332"/>
      <c r="H143" s="2"/>
      <c r="I143" s="2" t="s">
        <v>2082</v>
      </c>
      <c r="J143" s="2"/>
      <c r="K143" s="1331">
        <v>1000</v>
      </c>
      <c r="L143" s="1332"/>
      <c r="M143" s="2"/>
      <c r="N143" s="2" t="s">
        <v>200</v>
      </c>
      <c r="O143" s="2"/>
      <c r="P143" s="1333">
        <v>8800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6">
        <f>SUM(K142:L143)</f>
        <v>1000</v>
      </c>
      <c r="L144" s="977"/>
      <c r="M144" s="2"/>
      <c r="N144" s="1334"/>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33800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57000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20400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3200</v>
      </c>
      <c r="G149" s="1332"/>
      <c r="H149" s="2"/>
      <c r="I149" s="2" t="s">
        <v>2365</v>
      </c>
      <c r="J149" s="2"/>
      <c r="K149" s="1342">
        <v>1000</v>
      </c>
      <c r="L149" s="1343"/>
      <c r="M149" s="2"/>
      <c r="N149" s="610">
        <f>+P148/(M63*0.93)</f>
        <v>438.70967741935482</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6000</v>
      </c>
      <c r="G150" s="1332"/>
      <c r="H150" s="2"/>
      <c r="I150" s="2" t="s">
        <v>3141</v>
      </c>
      <c r="J150" s="2"/>
      <c r="K150" s="1344">
        <v>9000</v>
      </c>
      <c r="L150" s="1345"/>
      <c r="M150" s="2"/>
      <c r="N150" s="610">
        <f>+P148/(M63*0.93)/12</f>
        <v>36.559139784946233</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v>500</v>
      </c>
      <c r="G151" s="1332"/>
      <c r="H151" s="2"/>
      <c r="I151" s="2" t="s">
        <v>2366</v>
      </c>
      <c r="J151" s="2"/>
      <c r="K151" s="1344">
        <v>2000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2000</v>
      </c>
      <c r="G153" s="1332"/>
      <c r="H153" s="2"/>
      <c r="I153" s="11"/>
      <c r="J153" s="13" t="s">
        <v>249</v>
      </c>
      <c r="K153" s="983">
        <f>SUM(K149:K152)</f>
        <v>12000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3963</v>
      </c>
      <c r="C154" s="1338"/>
      <c r="D154" s="1338"/>
      <c r="E154" s="1339"/>
      <c r="F154" s="1340">
        <v>1700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13400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5100</v>
      </c>
      <c r="G158" s="1347"/>
      <c r="H158" s="2"/>
      <c r="I158" s="2" t="s">
        <v>2071</v>
      </c>
      <c r="J158" s="662">
        <f>K158/12/$M$63</f>
        <v>11.666666666666668</v>
      </c>
      <c r="K158" s="1344">
        <v>7000</v>
      </c>
      <c r="L158" s="1345"/>
      <c r="M158" s="2"/>
      <c r="N158" s="368">
        <f>+$P$158/$M$63</f>
        <v>3799.7</v>
      </c>
      <c r="O158" s="30" t="s">
        <v>2111</v>
      </c>
      <c r="P158" s="663">
        <f>F146+F155+F166+K144+K153+K163+P145+P148</f>
        <v>189985</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6000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13000</v>
      </c>
      <c r="G160" s="1347"/>
      <c r="H160" s="2"/>
      <c r="I160" s="2" t="s">
        <v>3554</v>
      </c>
      <c r="J160" s="662">
        <f>K160/12/$M$63</f>
        <v>1.6666666666666665</v>
      </c>
      <c r="K160" s="1344">
        <v>1000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4125</v>
      </c>
      <c r="G161" s="1332"/>
      <c r="H161" s="2"/>
      <c r="I161" s="2" t="s">
        <v>2074</v>
      </c>
      <c r="J161" s="2"/>
      <c r="K161" s="1344">
        <v>6600</v>
      </c>
      <c r="L161" s="1345"/>
      <c r="M161" s="2"/>
      <c r="N161" s="11" t="s">
        <v>1923</v>
      </c>
      <c r="O161" s="11"/>
      <c r="P161" s="664">
        <f>P162*M63</f>
        <v>12500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6600</v>
      </c>
      <c r="G162" s="1332"/>
      <c r="H162" s="2"/>
      <c r="I162" s="1334" t="s">
        <v>3964</v>
      </c>
      <c r="J162" s="1335"/>
      <c r="K162" s="1342">
        <v>960</v>
      </c>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83">
        <f>SUM(K158:K162)</f>
        <v>15560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36825</v>
      </c>
      <c r="G166" s="982"/>
      <c r="H166" s="2"/>
      <c r="I166" s="2"/>
      <c r="J166" s="14"/>
      <c r="K166" s="2"/>
      <c r="L166" s="2"/>
      <c r="M166" s="2"/>
      <c r="N166" s="2"/>
      <c r="O166" s="2"/>
      <c r="P166" s="663">
        <f>P158+P161</f>
        <v>202485</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880</v>
      </c>
      <c r="K168" s="16" t="s">
        <v>823</v>
      </c>
      <c r="L168" s="16" t="s">
        <v>2898</v>
      </c>
    </row>
    <row r="169" spans="1:219" ht="51.6" customHeight="1">
      <c r="A169" s="1290" t="s">
        <v>3992</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3993</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144" sqref="D144"/>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2011-023 The Village at Winding Road, St. Marys, Camden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5000</v>
      </c>
      <c r="H5" s="132" t="s">
        <v>2972</v>
      </c>
      <c r="K5" s="138">
        <f>IF(($B$14+$B$15+$B$16+$B$17)=0,"",-B30/($B$14+$B$15+$B$16+$B$17))</f>
        <v>1.9298936637854744E-2</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7.8739661482447348E-2</v>
      </c>
    </row>
    <row r="8" spans="1:15" ht="13.15" customHeight="1">
      <c r="A8" s="19" t="s">
        <v>3298</v>
      </c>
      <c r="B8" s="1281">
        <v>7.0000000000000007E-2</v>
      </c>
      <c r="C8" s="19"/>
      <c r="D8" s="109" t="s">
        <v>3790</v>
      </c>
      <c r="G8" s="1282" t="s">
        <v>3924</v>
      </c>
      <c r="H8" s="232" t="s">
        <v>2169</v>
      </c>
      <c r="K8" s="1283">
        <v>20400</v>
      </c>
    </row>
    <row r="9" spans="1:15">
      <c r="A9" s="19" t="s">
        <v>2130</v>
      </c>
      <c r="B9" s="108">
        <v>0.02</v>
      </c>
      <c r="D9" s="109" t="s">
        <v>2744</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273120</v>
      </c>
      <c r="C14" s="22">
        <f t="shared" ref="C14:K14" si="1">$B$14*(1+$B$5)^(C13-1)</f>
        <v>278582.40000000002</v>
      </c>
      <c r="D14" s="22">
        <f t="shared" si="1"/>
        <v>284154.04800000001</v>
      </c>
      <c r="E14" s="22">
        <f t="shared" si="1"/>
        <v>289837.12896</v>
      </c>
      <c r="F14" s="22">
        <f t="shared" si="1"/>
        <v>295633.87153920002</v>
      </c>
      <c r="G14" s="22">
        <f t="shared" si="1"/>
        <v>301546.548969984</v>
      </c>
      <c r="H14" s="22">
        <f t="shared" si="1"/>
        <v>307577.47994938371</v>
      </c>
      <c r="I14" s="22">
        <f t="shared" si="1"/>
        <v>313729.02954837133</v>
      </c>
      <c r="J14" s="22">
        <f t="shared" si="1"/>
        <v>320003.61013933877</v>
      </c>
      <c r="K14" s="23">
        <f t="shared" si="1"/>
        <v>326403.68234212551</v>
      </c>
    </row>
    <row r="15" spans="1:15" ht="13.15" customHeight="1">
      <c r="A15" s="24" t="s">
        <v>1633</v>
      </c>
      <c r="B15" s="25">
        <f>MIN(B14*B9,'Part VI-Revenues &amp; Expenses'!G102)</f>
        <v>5462.4000000000005</v>
      </c>
      <c r="C15" s="25">
        <f t="shared" ref="C15:K15" si="2">$B$15*(1+$B$5)^(C13-1)</f>
        <v>5571.648000000001</v>
      </c>
      <c r="D15" s="25">
        <f t="shared" si="2"/>
        <v>5683.0809600000002</v>
      </c>
      <c r="E15" s="25">
        <f t="shared" si="2"/>
        <v>5796.7425792000004</v>
      </c>
      <c r="F15" s="25">
        <f t="shared" si="2"/>
        <v>5912.6774307840005</v>
      </c>
      <c r="G15" s="25">
        <f t="shared" si="2"/>
        <v>6030.9309793996808</v>
      </c>
      <c r="H15" s="25">
        <f t="shared" si="2"/>
        <v>6151.5495989876745</v>
      </c>
      <c r="I15" s="25">
        <f t="shared" si="2"/>
        <v>6274.5805909674264</v>
      </c>
      <c r="J15" s="25">
        <f t="shared" si="2"/>
        <v>6400.072202786776</v>
      </c>
      <c r="K15" s="26">
        <f t="shared" si="2"/>
        <v>6528.0736468425112</v>
      </c>
    </row>
    <row r="16" spans="1:15" ht="13.15" customHeight="1">
      <c r="A16" s="24" t="s">
        <v>3644</v>
      </c>
      <c r="B16" s="25">
        <f t="shared" ref="B16:K16" si="3">-(B14+B15)*$B$8</f>
        <v>-19500.768000000004</v>
      </c>
      <c r="C16" s="25">
        <f t="shared" si="3"/>
        <v>-19890.783360000001</v>
      </c>
      <c r="D16" s="25">
        <f t="shared" si="3"/>
        <v>-20288.599027200002</v>
      </c>
      <c r="E16" s="25">
        <f t="shared" si="3"/>
        <v>-20694.371007744005</v>
      </c>
      <c r="F16" s="25">
        <f t="shared" si="3"/>
        <v>-21108.258427898883</v>
      </c>
      <c r="G16" s="25">
        <f t="shared" si="3"/>
        <v>-21530.423596456862</v>
      </c>
      <c r="H16" s="25">
        <f t="shared" si="3"/>
        <v>-21961.032068385997</v>
      </c>
      <c r="I16" s="25">
        <f t="shared" si="3"/>
        <v>-22400.252709753717</v>
      </c>
      <c r="J16" s="25">
        <f t="shared" si="3"/>
        <v>-22848.257763948794</v>
      </c>
      <c r="K16" s="26">
        <f t="shared" si="3"/>
        <v>-23305.222919227763</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-169585</v>
      </c>
      <c r="C19" s="25">
        <f t="shared" ref="C19:K19" si="4">$B$19*(1+$B$6)^(C13-1)</f>
        <v>-174672.55000000002</v>
      </c>
      <c r="D19" s="25">
        <f t="shared" si="4"/>
        <v>-179912.72649999999</v>
      </c>
      <c r="E19" s="25">
        <f t="shared" si="4"/>
        <v>-185310.10829500001</v>
      </c>
      <c r="F19" s="25">
        <f t="shared" si="4"/>
        <v>-190869.41154384997</v>
      </c>
      <c r="G19" s="25">
        <f t="shared" si="4"/>
        <v>-196595.49389016547</v>
      </c>
      <c r="H19" s="25">
        <f t="shared" si="4"/>
        <v>-202493.35870687044</v>
      </c>
      <c r="I19" s="25">
        <f t="shared" si="4"/>
        <v>-208568.15946807657</v>
      </c>
      <c r="J19" s="25">
        <f t="shared" si="4"/>
        <v>-214825.20425211886</v>
      </c>
      <c r="K19" s="26">
        <f t="shared" si="4"/>
        <v>-221269.96037968242</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-20400</v>
      </c>
      <c r="C20" s="25">
        <f>IF(AND('Part VII-Pro Forma'!$G$8="Yes",'Part VII-Pro Forma'!$G$9="Yes"),"Choose One!",IF('Part VII-Pro Forma'!$G$8="Yes",ROUND((-$K$8*(1+'Part VII-Pro Forma'!$B$6)^('Part VII-Pro Forma'!C13-1)),),IF('Part VII-Pro Forma'!$G$9="Yes",ROUND((-(SUM(C14:C17)*'Part VII-Pro Forma'!$K$9)),),"Choose mgt fee")))</f>
        <v>-21012</v>
      </c>
      <c r="D20" s="25">
        <f>IF(AND('Part VII-Pro Forma'!$G$8="Yes",'Part VII-Pro Forma'!$G$9="Yes"),"Choose One!",IF('Part VII-Pro Forma'!$G$8="Yes",ROUND((-$K$8*(1+'Part VII-Pro Forma'!$B$6)^('Part VII-Pro Forma'!D13-1)),),IF('Part VII-Pro Forma'!$G$9="Yes",ROUND((-(SUM(D14:D17)*'Part VII-Pro Forma'!$K$9)),),"Choose mgt fee")))</f>
        <v>-21642</v>
      </c>
      <c r="E20" s="25">
        <f>IF(AND('Part VII-Pro Forma'!$G$8="Yes",'Part VII-Pro Forma'!$G$9="Yes"),"Choose One!",IF('Part VII-Pro Forma'!$G$8="Yes",ROUND((-$K$8*(1+'Part VII-Pro Forma'!$B$6)^('Part VII-Pro Forma'!E13-1)),),IF('Part VII-Pro Forma'!$G$9="Yes",ROUND((-(SUM(E14:E17)*'Part VII-Pro Forma'!$K$9)),),"Choose mgt fee")))</f>
        <v>-22292</v>
      </c>
      <c r="F20" s="25">
        <f>IF(AND('Part VII-Pro Forma'!$G$8="Yes",'Part VII-Pro Forma'!$G$9="Yes"),"Choose One!",IF('Part VII-Pro Forma'!$G$8="Yes",ROUND((-$K$8*(1+'Part VII-Pro Forma'!$B$6)^('Part VII-Pro Forma'!F13-1)),),IF('Part VII-Pro Forma'!$G$9="Yes",ROUND((-(SUM(F14:F17)*'Part VII-Pro Forma'!$K$9)),),"Choose mgt fee")))</f>
        <v>-22960</v>
      </c>
      <c r="G20" s="25">
        <f>IF(AND('Part VII-Pro Forma'!$G$8="Yes",'Part VII-Pro Forma'!$G$9="Yes"),"Choose One!",IF('Part VII-Pro Forma'!$G$8="Yes",ROUND((-$K$8*(1+'Part VII-Pro Forma'!$B$6)^('Part VII-Pro Forma'!G13-1)),),IF('Part VII-Pro Forma'!$G$9="Yes",ROUND((-(SUM(G14:G17)*'Part VII-Pro Forma'!$K$9)),),"Choose mgt fee")))</f>
        <v>-23649</v>
      </c>
      <c r="H20" s="25">
        <f>IF(AND('Part VII-Pro Forma'!$G$8="Yes",'Part VII-Pro Forma'!$G$9="Yes"),"Choose One!",IF('Part VII-Pro Forma'!$G$8="Yes",ROUND((-$K$8*(1+'Part VII-Pro Forma'!$B$6)^('Part VII-Pro Forma'!H13-1)),),IF('Part VII-Pro Forma'!$G$9="Yes",ROUND((-(SUM(H14:H17)*'Part VII-Pro Forma'!$K$9)),),"Choose mgt fee")))</f>
        <v>-24359</v>
      </c>
      <c r="I20" s="25">
        <f>IF(AND('Part VII-Pro Forma'!$G$8="Yes",'Part VII-Pro Forma'!$G$9="Yes"),"Choose One!",IF('Part VII-Pro Forma'!$G$8="Yes",ROUND((-$K$8*(1+'Part VII-Pro Forma'!$B$6)^('Part VII-Pro Forma'!I13-1)),),IF('Part VII-Pro Forma'!$G$9="Yes",ROUND((-(SUM(I14:I17)*'Part VII-Pro Forma'!$K$9)),),"Choose mgt fee")))</f>
        <v>-25089</v>
      </c>
      <c r="J20" s="25">
        <f>IF(AND('Part VII-Pro Forma'!$G$8="Yes",'Part VII-Pro Forma'!$G$9="Yes"),"Choose One!",IF('Part VII-Pro Forma'!$G$8="Yes",ROUND((-$K$8*(1+'Part VII-Pro Forma'!$B$6)^('Part VII-Pro Forma'!J13-1)),),IF('Part VII-Pro Forma'!$G$9="Yes",ROUND((-(SUM(J14:J17)*'Part VII-Pro Forma'!$K$9)),),"Choose mgt fee")))</f>
        <v>-25842</v>
      </c>
      <c r="K20" s="25">
        <f>IF(AND('Part VII-Pro Forma'!$G$8="Yes",'Part VII-Pro Forma'!$G$9="Yes"),"Choose One!",IF('Part VII-Pro Forma'!$G$8="Yes",ROUND((-$K$8*(1+'Part VII-Pro Forma'!$B$6)^('Part VII-Pro Forma'!K13-1)),),IF('Part VII-Pro Forma'!$G$9="Yes",ROUND((-(SUM(K14:K17)*'Part VII-Pro Forma'!$K$9)),),"Choose mgt fee")))</f>
        <v>-26617</v>
      </c>
    </row>
    <row r="21" spans="1:11" ht="13.15" customHeight="1">
      <c r="A21" s="24" t="s">
        <v>1863</v>
      </c>
      <c r="B21" s="25">
        <f>-('Part VI-Revenues &amp; Expenses'!P161)</f>
        <v>-12500</v>
      </c>
      <c r="C21" s="25">
        <f t="shared" ref="C21:K21" si="5">$B$21*(1+$B$7)^(C13-1)</f>
        <v>-12875</v>
      </c>
      <c r="D21" s="25">
        <f t="shared" si="5"/>
        <v>-13261.25</v>
      </c>
      <c r="E21" s="25">
        <f t="shared" si="5"/>
        <v>-13659.0875</v>
      </c>
      <c r="F21" s="25">
        <f t="shared" si="5"/>
        <v>-14068.860124999999</v>
      </c>
      <c r="G21" s="25">
        <f t="shared" si="5"/>
        <v>-14490.925928749997</v>
      </c>
      <c r="H21" s="25">
        <f t="shared" si="5"/>
        <v>-14925.653706612498</v>
      </c>
      <c r="I21" s="25">
        <f t="shared" si="5"/>
        <v>-15373.423317810875</v>
      </c>
      <c r="J21" s="25">
        <f t="shared" si="5"/>
        <v>-15834.626017345199</v>
      </c>
      <c r="K21" s="26">
        <f t="shared" si="5"/>
        <v>-16309.664797865556</v>
      </c>
    </row>
    <row r="22" spans="1:11" ht="13.15" customHeight="1">
      <c r="A22" s="24" t="s">
        <v>1864</v>
      </c>
      <c r="B22" s="25">
        <f t="shared" ref="B22:K22" si="6">SUM(B14:B21)</f>
        <v>56596.632000000012</v>
      </c>
      <c r="C22" s="25">
        <f t="shared" si="6"/>
        <v>55703.714639999991</v>
      </c>
      <c r="D22" s="25">
        <f t="shared" si="6"/>
        <v>54732.553432799992</v>
      </c>
      <c r="E22" s="25">
        <f t="shared" si="6"/>
        <v>53678.304736456012</v>
      </c>
      <c r="F22" s="25">
        <f t="shared" si="6"/>
        <v>52540.01887323516</v>
      </c>
      <c r="G22" s="25">
        <f t="shared" si="6"/>
        <v>51311.636534011363</v>
      </c>
      <c r="H22" s="25">
        <f t="shared" si="6"/>
        <v>49989.985066502471</v>
      </c>
      <c r="I22" s="25">
        <f t="shared" si="6"/>
        <v>48572.774643697623</v>
      </c>
      <c r="J22" s="25">
        <f t="shared" si="6"/>
        <v>47053.594308712694</v>
      </c>
      <c r="K22" s="26">
        <f t="shared" si="6"/>
        <v>45429.907892192248</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v>0</v>
      </c>
      <c r="C25" s="1285">
        <v>0</v>
      </c>
      <c r="D25" s="1285">
        <v>0</v>
      </c>
      <c r="E25" s="1285">
        <v>0</v>
      </c>
      <c r="F25" s="1285">
        <v>0</v>
      </c>
      <c r="G25" s="1285">
        <v>0</v>
      </c>
      <c r="H25" s="1285">
        <v>0</v>
      </c>
      <c r="I25" s="1285">
        <v>0</v>
      </c>
      <c r="J25" s="1285">
        <v>0</v>
      </c>
      <c r="K25" s="1285">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v>0</v>
      </c>
      <c r="C29" s="1286">
        <v>0</v>
      </c>
      <c r="D29" s="1286">
        <v>0</v>
      </c>
      <c r="E29" s="1286">
        <v>0</v>
      </c>
      <c r="F29" s="1286">
        <v>0</v>
      </c>
      <c r="G29" s="1286">
        <v>0</v>
      </c>
      <c r="H29" s="1286">
        <v>0</v>
      </c>
      <c r="I29" s="1286">
        <v>0</v>
      </c>
      <c r="J29" s="1286">
        <v>0</v>
      </c>
      <c r="K29" s="1286">
        <v>0</v>
      </c>
    </row>
    <row r="30" spans="1:11" ht="13.15" customHeight="1">
      <c r="A30" s="24" t="s">
        <v>1808</v>
      </c>
      <c r="B30" s="1285">
        <f>-$G$5</f>
        <v>-5000</v>
      </c>
      <c r="C30" s="1285">
        <f t="shared" ref="C30:K30" si="7">+B30</f>
        <v>-5000</v>
      </c>
      <c r="D30" s="1285">
        <f t="shared" si="7"/>
        <v>-5000</v>
      </c>
      <c r="E30" s="1285">
        <f t="shared" si="7"/>
        <v>-5000</v>
      </c>
      <c r="F30" s="1285">
        <f t="shared" si="7"/>
        <v>-5000</v>
      </c>
      <c r="G30" s="1285">
        <f t="shared" si="7"/>
        <v>-5000</v>
      </c>
      <c r="H30" s="1285">
        <f t="shared" si="7"/>
        <v>-5000</v>
      </c>
      <c r="I30" s="1285">
        <f t="shared" si="7"/>
        <v>-5000</v>
      </c>
      <c r="J30" s="1285">
        <f t="shared" si="7"/>
        <v>-5000</v>
      </c>
      <c r="K30" s="1285">
        <f t="shared" si="7"/>
        <v>-5000</v>
      </c>
    </row>
    <row r="31" spans="1:11" ht="13.15" customHeight="1">
      <c r="A31" s="24" t="s">
        <v>1865</v>
      </c>
      <c r="B31" s="1285">
        <v>-51597</v>
      </c>
      <c r="C31" s="1285">
        <v>-50704</v>
      </c>
      <c r="D31" s="1285">
        <v>-28083</v>
      </c>
      <c r="E31" s="1285">
        <v>0</v>
      </c>
      <c r="F31" s="1285">
        <v>0</v>
      </c>
      <c r="G31" s="1285">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-0.36799999998765998</v>
      </c>
      <c r="C33" s="25">
        <f t="shared" si="9"/>
        <v>-0.28536000000895001</v>
      </c>
      <c r="D33" s="25">
        <f t="shared" si="9"/>
        <v>21649.553432799992</v>
      </c>
      <c r="E33" s="25">
        <f t="shared" si="9"/>
        <v>48678.304736456012</v>
      </c>
      <c r="F33" s="25">
        <f t="shared" si="9"/>
        <v>47540.01887323516</v>
      </c>
      <c r="G33" s="25">
        <f t="shared" si="9"/>
        <v>46311.636534011363</v>
      </c>
      <c r="H33" s="25">
        <f t="shared" si="9"/>
        <v>44989.985066502471</v>
      </c>
      <c r="I33" s="25">
        <f t="shared" si="9"/>
        <v>43572.774643697623</v>
      </c>
      <c r="J33" s="25">
        <f t="shared" si="9"/>
        <v>42053.594308712694</v>
      </c>
      <c r="K33" s="23">
        <f t="shared" si="9"/>
        <v>40429.907892192248</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1.2795102452033484</v>
      </c>
      <c r="C40" s="379">
        <f t="shared" ref="C40:K40" si="16">IF(OR(C20="Choose mgt fee",C20="Choose One!"),"",(C14+C15+C16+C17+C18) / -(C19+C20+C21))</f>
        <v>1.2670878156382672</v>
      </c>
      <c r="D40" s="379">
        <f t="shared" si="16"/>
        <v>1.2547880950223458</v>
      </c>
      <c r="E40" s="379">
        <f t="shared" si="16"/>
        <v>1.2426015304834082</v>
      </c>
      <c r="F40" s="379">
        <f t="shared" si="16"/>
        <v>1.2305415415768444</v>
      </c>
      <c r="G40" s="379">
        <f t="shared" si="16"/>
        <v>1.2185934980481228</v>
      </c>
      <c r="H40" s="379">
        <f t="shared" si="16"/>
        <v>1.206759847876534</v>
      </c>
      <c r="I40" s="379">
        <f t="shared" si="16"/>
        <v>1.1950474279115337</v>
      </c>
      <c r="J40" s="379">
        <f t="shared" si="16"/>
        <v>1.1834435031488129</v>
      </c>
      <c r="K40" s="380">
        <f t="shared" si="16"/>
        <v>1.171954913737683</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v>0</v>
      </c>
      <c r="C42" s="1285">
        <v>0</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f>IF('Part III A-Sources of Funds'!$H$37="","",-FV('Part III A-Sources of Funds'!$J$37/12,12,B31/12,'Part III A-Sources of Funds'!H37))</f>
        <v>76171.304608934355</v>
      </c>
      <c r="C46" s="1287">
        <f>IF('Part III A-Sources of Funds'!$H$37="","",-FV('Part III A-Sources of Funds'!$J$37/12,12,C31/12,B46))</f>
        <v>27514.766976767009</v>
      </c>
      <c r="D46" s="1287">
        <f>IF('Part III A-Sources of Funds'!$H$37="","",-FV('Part III A-Sources of Funds'!$J$37/12,12,D31/12,C46))</f>
        <v>-0.11432230267018895</v>
      </c>
      <c r="E46" s="1287">
        <f>IF('Part III A-Sources of Funds'!$H$37="","",-FV('Part III A-Sources of Funds'!$J$37/12,12,E31/12,D46))</f>
        <v>-0.11873118058177058</v>
      </c>
      <c r="F46" s="1287">
        <f>IF('Part III A-Sources of Funds'!$H$37="","",-FV('Part III A-Sources of Funds'!$J$37/12,12,F31/12,E46))</f>
        <v>-0.12331008834741587</v>
      </c>
      <c r="G46" s="1287">
        <f>IF('Part III A-Sources of Funds'!$H$37="","",-FV('Part III A-Sources of Funds'!$J$37/12,12,G31/12,F46))</f>
        <v>-0.12806558322542333</v>
      </c>
      <c r="H46" s="1287">
        <f>IF('Part III A-Sources of Funds'!$H$37="","",-FV('Part III A-Sources of Funds'!$J$37/12,12,H31/12,G46))</f>
        <v>-0.13300447535695509</v>
      </c>
      <c r="I46" s="1287">
        <f>IF('Part III A-Sources of Funds'!$H$37="","",-FV('Part III A-Sources of Funds'!$J$37/12,12,I31/12,H46))</f>
        <v>-0.13813383751854927</v>
      </c>
      <c r="J46" s="1287">
        <f>IF('Part III A-Sources of Funds'!$H$37="","",-FV('Part III A-Sources of Funds'!$J$37/12,12,J31/12,I46))</f>
        <v>-0.14346101525074123</v>
      </c>
      <c r="K46" s="1287">
        <f>IF('Part III A-Sources of Funds'!$H$37="","",-FV('Part III A-Sources of Funds'!$J$37/12,12,K31/12,J46))</f>
        <v>-0.14899363737729854</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332931.75598896807</v>
      </c>
      <c r="C49" s="22">
        <f t="shared" si="18"/>
        <v>339590.39110874734</v>
      </c>
      <c r="D49" s="22">
        <f t="shared" si="18"/>
        <v>346382.19893092237</v>
      </c>
      <c r="E49" s="22">
        <f t="shared" si="18"/>
        <v>353309.84290954081</v>
      </c>
      <c r="F49" s="22">
        <f t="shared" si="18"/>
        <v>360376.03976773162</v>
      </c>
      <c r="G49" s="22">
        <f t="shared" si="18"/>
        <v>367583.56056308618</v>
      </c>
      <c r="H49" s="22">
        <f t="shared" si="18"/>
        <v>374935.23177434795</v>
      </c>
      <c r="I49" s="22">
        <f t="shared" si="18"/>
        <v>382433.93640983495</v>
      </c>
      <c r="J49" s="22">
        <f t="shared" si="18"/>
        <v>390082.6151380316</v>
      </c>
      <c r="K49" s="23">
        <f t="shared" si="18"/>
        <v>397884.26744079223</v>
      </c>
    </row>
    <row r="50" spans="1:11" ht="13.15" customHeight="1">
      <c r="A50" s="24" t="s">
        <v>1633</v>
      </c>
      <c r="B50" s="25">
        <f t="shared" ref="B50:K50" si="19">$B$15*(1+$B$5)^(B48-1)</f>
        <v>6658.635119779362</v>
      </c>
      <c r="C50" s="25">
        <f t="shared" si="19"/>
        <v>6791.8078221749474</v>
      </c>
      <c r="D50" s="25">
        <f t="shared" si="19"/>
        <v>6927.6439786184483</v>
      </c>
      <c r="E50" s="25">
        <f t="shared" si="19"/>
        <v>7066.1968581908168</v>
      </c>
      <c r="F50" s="25">
        <f t="shared" si="19"/>
        <v>7207.5207953546333</v>
      </c>
      <c r="G50" s="25">
        <f t="shared" si="19"/>
        <v>7351.6712112617242</v>
      </c>
      <c r="H50" s="25">
        <f t="shared" si="19"/>
        <v>7498.7046354869599</v>
      </c>
      <c r="I50" s="25">
        <f t="shared" si="19"/>
        <v>7648.6787281966999</v>
      </c>
      <c r="J50" s="25">
        <f t="shared" si="19"/>
        <v>7801.6523027606327</v>
      </c>
      <c r="K50" s="26">
        <f t="shared" si="19"/>
        <v>7957.6853488158449</v>
      </c>
    </row>
    <row r="51" spans="1:11" ht="13.15" customHeight="1">
      <c r="A51" s="24" t="s">
        <v>3644</v>
      </c>
      <c r="B51" s="25">
        <f t="shared" ref="B51:K51" si="20">-(B49+B50)*$B$8</f>
        <v>-23771.327377612324</v>
      </c>
      <c r="C51" s="25">
        <f t="shared" si="20"/>
        <v>-24246.753925164565</v>
      </c>
      <c r="D51" s="25">
        <f t="shared" si="20"/>
        <v>-24731.68900366786</v>
      </c>
      <c r="E51" s="25">
        <f t="shared" si="20"/>
        <v>-25226.322783741216</v>
      </c>
      <c r="F51" s="25">
        <f t="shared" si="20"/>
        <v>-25730.849239416038</v>
      </c>
      <c r="G51" s="25">
        <f t="shared" si="20"/>
        <v>-26245.466224204356</v>
      </c>
      <c r="H51" s="25">
        <f t="shared" si="20"/>
        <v>-26770.375548688444</v>
      </c>
      <c r="I51" s="25">
        <f t="shared" si="20"/>
        <v>-27305.783059662219</v>
      </c>
      <c r="J51" s="25">
        <f t="shared" si="20"/>
        <v>-27851.898720855457</v>
      </c>
      <c r="K51" s="26">
        <f t="shared" si="20"/>
        <v>-28408.936695272569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-227908.05919107288</v>
      </c>
      <c r="C54" s="25">
        <f t="shared" si="21"/>
        <v>-234745.30096680508</v>
      </c>
      <c r="D54" s="25">
        <f t="shared" si="21"/>
        <v>-241787.6599958092</v>
      </c>
      <c r="E54" s="25">
        <f t="shared" si="21"/>
        <v>-249041.28979568346</v>
      </c>
      <c r="F54" s="25">
        <f t="shared" si="21"/>
        <v>-256512.52848955401</v>
      </c>
      <c r="G54" s="25">
        <f t="shared" si="21"/>
        <v>-264207.90434424061</v>
      </c>
      <c r="H54" s="25">
        <f t="shared" si="21"/>
        <v>-272134.14147456782</v>
      </c>
      <c r="I54" s="25">
        <f t="shared" si="21"/>
        <v>-280298.16571880481</v>
      </c>
      <c r="J54" s="25">
        <f t="shared" si="21"/>
        <v>-288707.11069036898</v>
      </c>
      <c r="K54" s="26">
        <f t="shared" si="21"/>
        <v>-297368.32401108003</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-27416</v>
      </c>
      <c r="C55" s="25">
        <f>IF(AND('Part VII-Pro Forma'!$G$8="Yes",'Part VII-Pro Forma'!$G$9="Yes"),"Choose One!",IF('Part VII-Pro Forma'!$G$8="Yes",ROUND((-$K$8*(1+'Part VII-Pro Forma'!$B$6)^('Part VII-Pro Forma'!C48-1)),),IF('Part VII-Pro Forma'!$G$9="Yes",ROUND((-(SUM(C49:C52)*'Part VII-Pro Forma'!$K$9)),),"Choose mgt fee")))</f>
        <v>-28238</v>
      </c>
      <c r="D55" s="25">
        <f>IF(AND('Part VII-Pro Forma'!$G$8="Yes",'Part VII-Pro Forma'!$G$9="Yes"),"Choose One!",IF('Part VII-Pro Forma'!$G$8="Yes",ROUND((-$K$8*(1+'Part VII-Pro Forma'!$B$6)^('Part VII-Pro Forma'!D48-1)),),IF('Part VII-Pro Forma'!$G$9="Yes",ROUND((-(SUM(D49:D52)*'Part VII-Pro Forma'!$K$9)),),"Choose mgt fee")))</f>
        <v>-29086</v>
      </c>
      <c r="E55" s="25">
        <f>IF(AND('Part VII-Pro Forma'!$G$8="Yes",'Part VII-Pro Forma'!$G$9="Yes"),"Choose One!",IF('Part VII-Pro Forma'!$G$8="Yes",ROUND((-$K$8*(1+'Part VII-Pro Forma'!$B$6)^('Part VII-Pro Forma'!E48-1)),),IF('Part VII-Pro Forma'!$G$9="Yes",ROUND((-(SUM(E49:E52)*'Part VII-Pro Forma'!$K$9)),),"Choose mgt fee")))</f>
        <v>-29958</v>
      </c>
      <c r="F55" s="25">
        <f>IF(AND('Part VII-Pro Forma'!$G$8="Yes",'Part VII-Pro Forma'!$G$9="Yes"),"Choose One!",IF('Part VII-Pro Forma'!$G$8="Yes",ROUND((-$K$8*(1+'Part VII-Pro Forma'!$B$6)^('Part VII-Pro Forma'!F48-1)),),IF('Part VII-Pro Forma'!$G$9="Yes",ROUND((-(SUM(F49:F52)*'Part VII-Pro Forma'!$K$9)),),"Choose mgt fee")))</f>
        <v>-30857</v>
      </c>
      <c r="G55" s="25">
        <f>IF(AND('Part VII-Pro Forma'!$G$8="Yes",'Part VII-Pro Forma'!$G$9="Yes"),"Choose One!",IF('Part VII-Pro Forma'!$G$8="Yes",ROUND((-$K$8*(1+'Part VII-Pro Forma'!$B$6)^('Part VII-Pro Forma'!G48-1)),),IF('Part VII-Pro Forma'!$G$9="Yes",ROUND((-(SUM(G49:G52)*'Part VII-Pro Forma'!$K$9)),),"Choose mgt fee")))</f>
        <v>-31783</v>
      </c>
      <c r="H55" s="25">
        <f>IF(AND('Part VII-Pro Forma'!$G$8="Yes",'Part VII-Pro Forma'!$G$9="Yes"),"Choose One!",IF('Part VII-Pro Forma'!$G$8="Yes",ROUND((-$K$8*(1+'Part VII-Pro Forma'!$B$6)^('Part VII-Pro Forma'!H48-1)),),IF('Part VII-Pro Forma'!$G$9="Yes",ROUND((-(SUM(H49:H52)*'Part VII-Pro Forma'!$K$9)),),"Choose mgt fee")))</f>
        <v>-32736</v>
      </c>
      <c r="I55" s="25">
        <f>IF(AND('Part VII-Pro Forma'!$G$8="Yes",'Part VII-Pro Forma'!$G$9="Yes"),"Choose One!",IF('Part VII-Pro Forma'!$G$8="Yes",ROUND((-$K$8*(1+'Part VII-Pro Forma'!$B$6)^('Part VII-Pro Forma'!I48-1)),),IF('Part VII-Pro Forma'!$G$9="Yes",ROUND((-(SUM(I49:I52)*'Part VII-Pro Forma'!$K$9)),),"Choose mgt fee")))</f>
        <v>-33718</v>
      </c>
      <c r="J55" s="25">
        <f>IF(AND('Part VII-Pro Forma'!$G$8="Yes",'Part VII-Pro Forma'!$G$9="Yes"),"Choose One!",IF('Part VII-Pro Forma'!$G$8="Yes",ROUND((-$K$8*(1+'Part VII-Pro Forma'!$B$6)^('Part VII-Pro Forma'!J48-1)),),IF('Part VII-Pro Forma'!$G$9="Yes",ROUND((-(SUM(J49:J52)*'Part VII-Pro Forma'!$K$9)),),"Choose mgt fee")))</f>
        <v>-34730</v>
      </c>
      <c r="K55" s="25">
        <f>IF(AND('Part VII-Pro Forma'!$G$8="Yes",'Part VII-Pro Forma'!$G$9="Yes"),"Choose One!",IF('Part VII-Pro Forma'!$G$8="Yes",ROUND((-$K$8*(1+'Part VII-Pro Forma'!$B$6)^('Part VII-Pro Forma'!K48-1)),),IF('Part VII-Pro Forma'!$G$9="Yes",ROUND((-(SUM(K49:K52)*'Part VII-Pro Forma'!$K$9)),),"Choose mgt fee")))</f>
        <v>-35772</v>
      </c>
    </row>
    <row r="56" spans="1:11" ht="13.15" customHeight="1">
      <c r="A56" s="24" t="s">
        <v>1863</v>
      </c>
      <c r="B56" s="25">
        <f t="shared" ref="B56:K56" si="22">$B$21*(1+$B$7)^(B48-1)</f>
        <v>-16798.954741801521</v>
      </c>
      <c r="C56" s="25">
        <f t="shared" si="22"/>
        <v>-17302.923384055568</v>
      </c>
      <c r="D56" s="25">
        <f t="shared" si="22"/>
        <v>-17822.011085577233</v>
      </c>
      <c r="E56" s="25">
        <f t="shared" si="22"/>
        <v>-18356.67141814455</v>
      </c>
      <c r="F56" s="25">
        <f t="shared" si="22"/>
        <v>-18907.371560688887</v>
      </c>
      <c r="G56" s="25">
        <f t="shared" si="22"/>
        <v>-19474.592707509557</v>
      </c>
      <c r="H56" s="25">
        <f t="shared" si="22"/>
        <v>-20058.830488734839</v>
      </c>
      <c r="I56" s="25">
        <f t="shared" si="22"/>
        <v>-20660.595403396885</v>
      </c>
      <c r="J56" s="25">
        <f t="shared" si="22"/>
        <v>-21280.413265498792</v>
      </c>
      <c r="K56" s="26">
        <f t="shared" si="22"/>
        <v>-21918.825663463755</v>
      </c>
    </row>
    <row r="57" spans="1:11" ht="13.15" customHeight="1">
      <c r="A57" s="24" t="s">
        <v>1864</v>
      </c>
      <c r="B57" s="25">
        <f t="shared" ref="B57:K57" si="23">SUM(B49:B56)</f>
        <v>43696.049798260698</v>
      </c>
      <c r="C57" s="25">
        <f t="shared" si="23"/>
        <v>41849.220654897086</v>
      </c>
      <c r="D57" s="25">
        <f t="shared" si="23"/>
        <v>39882.48282448652</v>
      </c>
      <c r="E57" s="25">
        <f t="shared" si="23"/>
        <v>37793.755770162381</v>
      </c>
      <c r="F57" s="25">
        <f t="shared" si="23"/>
        <v>35575.811273427331</v>
      </c>
      <c r="G57" s="25">
        <f t="shared" si="23"/>
        <v>33224.268498393387</v>
      </c>
      <c r="H57" s="25">
        <f t="shared" si="23"/>
        <v>30734.588897843769</v>
      </c>
      <c r="I57" s="25">
        <f t="shared" si="23"/>
        <v>28100.070956167754</v>
      </c>
      <c r="J57" s="25">
        <f t="shared" si="23"/>
        <v>25314.844764068985</v>
      </c>
      <c r="K57" s="26">
        <f t="shared" si="23"/>
        <v>22373.86641979175</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v>0</v>
      </c>
      <c r="C60" s="1285">
        <v>0</v>
      </c>
      <c r="D60" s="1285">
        <v>0</v>
      </c>
      <c r="E60" s="1285">
        <v>0</v>
      </c>
      <c r="F60" s="1285">
        <v>0</v>
      </c>
      <c r="G60" s="1285">
        <v>0</v>
      </c>
      <c r="H60" s="1285">
        <v>0</v>
      </c>
      <c r="I60" s="1285">
        <v>0</v>
      </c>
      <c r="J60" s="1285">
        <v>0</v>
      </c>
      <c r="K60" s="1285">
        <v>0</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v>0</v>
      </c>
      <c r="C64" s="1286">
        <v>0</v>
      </c>
      <c r="D64" s="1286">
        <v>0</v>
      </c>
      <c r="E64" s="1286">
        <v>0</v>
      </c>
      <c r="F64" s="1286">
        <v>0</v>
      </c>
      <c r="G64" s="1286">
        <v>0</v>
      </c>
      <c r="H64" s="1286">
        <v>0</v>
      </c>
      <c r="I64" s="1286">
        <v>0</v>
      </c>
      <c r="J64" s="1286">
        <v>0</v>
      </c>
      <c r="K64" s="1286">
        <v>0</v>
      </c>
    </row>
    <row r="65" spans="1:11" ht="13.15" customHeight="1">
      <c r="A65" s="24" t="s">
        <v>1808</v>
      </c>
      <c r="B65" s="1285">
        <f>+K30</f>
        <v>-5000</v>
      </c>
      <c r="C65" s="1285">
        <f t="shared" ref="C65:H65" si="25">+B65</f>
        <v>-5000</v>
      </c>
      <c r="D65" s="1285">
        <f t="shared" si="25"/>
        <v>-5000</v>
      </c>
      <c r="E65" s="1285">
        <f t="shared" si="25"/>
        <v>-5000</v>
      </c>
      <c r="F65" s="1285">
        <f t="shared" si="25"/>
        <v>-5000</v>
      </c>
      <c r="G65" s="1285">
        <f t="shared" si="25"/>
        <v>-5000</v>
      </c>
      <c r="H65" s="1285">
        <f t="shared" si="25"/>
        <v>-5000</v>
      </c>
      <c r="I65" s="1285">
        <v>0</v>
      </c>
      <c r="J65" s="1285">
        <v>0</v>
      </c>
      <c r="K65" s="1285">
        <v>0</v>
      </c>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38696.049798260698</v>
      </c>
      <c r="C68" s="25">
        <f t="shared" si="27"/>
        <v>36849.220654897086</v>
      </c>
      <c r="D68" s="25">
        <f t="shared" si="27"/>
        <v>34882.48282448652</v>
      </c>
      <c r="E68" s="25">
        <f t="shared" si="27"/>
        <v>32793.755770162381</v>
      </c>
      <c r="F68" s="25">
        <f t="shared" si="27"/>
        <v>30575.811273427331</v>
      </c>
      <c r="G68" s="25">
        <f t="shared" si="27"/>
        <v>28224.268498393387</v>
      </c>
      <c r="H68" s="25">
        <f t="shared" si="27"/>
        <v>25734.588897843769</v>
      </c>
      <c r="I68" s="25">
        <f t="shared" si="27"/>
        <v>28100.070956167754</v>
      </c>
      <c r="J68" s="25">
        <f t="shared" si="27"/>
        <v>25314.844764068985</v>
      </c>
      <c r="K68" s="23">
        <f t="shared" si="27"/>
        <v>22373.86641979175</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1.1605746208920034</v>
      </c>
      <c r="C75" s="379">
        <f t="shared" ref="C75:K75" si="35">IF(OR(C55="Choose mgt fee",C55="Choose One!"),"",(C49+C50+C51+C52+C53) / -(C54+C55+C56))</f>
        <v>1.1493088743544901</v>
      </c>
      <c r="D75" s="379">
        <f t="shared" si="35"/>
        <v>1.1381471453142891</v>
      </c>
      <c r="E75" s="379">
        <f t="shared" si="35"/>
        <v>1.1270993714600024</v>
      </c>
      <c r="F75" s="379">
        <f t="shared" si="35"/>
        <v>1.116155711604732</v>
      </c>
      <c r="G75" s="379">
        <f t="shared" si="35"/>
        <v>1.1053182322913213</v>
      </c>
      <c r="H75" s="379">
        <f t="shared" si="35"/>
        <v>1.0945886379787486</v>
      </c>
      <c r="I75" s="379">
        <f t="shared" si="35"/>
        <v>1.0839618229301182</v>
      </c>
      <c r="J75" s="379">
        <f t="shared" si="35"/>
        <v>1.0734364893132324</v>
      </c>
      <c r="K75" s="380">
        <f t="shared" si="35"/>
        <v>1.0630144764338567</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f>IF('Part III A-Sources of Funds'!$H$37="","",-FV('Part III A-Sources of Funds'!$J$37/12,12,B66/12,K46))</f>
        <v>-0.15473962693013379</v>
      </c>
      <c r="C81" s="1287">
        <f>IF('Part III A-Sources of Funds'!$H$37="","",-FV('Part III A-Sources of Funds'!$J$37/12,12,C66/12,B81))</f>
        <v>-0.16070721249554026</v>
      </c>
      <c r="D81" s="1287">
        <f>IF('Part III A-Sources of Funds'!$H$37="","",-FV('Part III A-Sources of Funds'!$J$37/12,12,D66/12,C81))</f>
        <v>-0.16690493999799902</v>
      </c>
      <c r="E81" s="1287">
        <f>IF('Part III A-Sources of Funds'!$H$37="","",-FV('Part III A-Sources of Funds'!$J$37/12,12,E66/12,D81))</f>
        <v>-0.17334168493843244</v>
      </c>
      <c r="F81" s="1287">
        <f>IF('Part III A-Sources of Funds'!$H$37="","",-FV('Part III A-Sources of Funds'!$J$37/12,12,F66/12,E81))</f>
        <v>-0.18002666510443013</v>
      </c>
      <c r="G81" s="1287">
        <f>IF('Part III A-Sources of Funds'!$H$37="","",-FV('Part III A-Sources of Funds'!$J$37/12,12,G66/12,F81))</f>
        <v>-0.18696945377064897</v>
      </c>
      <c r="H81" s="1287">
        <f>IF('Part III A-Sources of Funds'!$H$37="","",-FV('Part III A-Sources of Funds'!$J$37/12,12,H66/12,G81))</f>
        <v>-0.19417999340829092</v>
      </c>
      <c r="I81" s="1287">
        <f>IF('Part III A-Sources of Funds'!$H$37="","",-FV('Part III A-Sources of Funds'!$J$37/12,12,I66/12,H81))</f>
        <v>-0.20166860992329161</v>
      </c>
      <c r="J81" s="1287">
        <f>IF('Part III A-Sources of Funds'!$H$37="","",-FV('Part III A-Sources of Funds'!$J$37/12,12,J66/12,I81))</f>
        <v>-0.20944602744360916</v>
      </c>
      <c r="K81" s="1287">
        <f>IF('Part III A-Sources of Funds'!$H$37="","",-FV('Part III A-Sources of Funds'!$J$37/12,12,K66/12,J81))</f>
        <v>-0.21752338367679011</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405841.9527896081</v>
      </c>
      <c r="C84" s="22">
        <f t="shared" si="37"/>
        <v>413958.79184540024</v>
      </c>
      <c r="D84" s="22">
        <f t="shared" si="37"/>
        <v>422237.96768230828</v>
      </c>
      <c r="E84" s="22">
        <f t="shared" si="37"/>
        <v>430682.72703595436</v>
      </c>
      <c r="F84" s="22">
        <f t="shared" si="37"/>
        <v>439296.38157667348</v>
      </c>
      <c r="G84" s="22">
        <f t="shared" si="37"/>
        <v>448082.30920820695</v>
      </c>
      <c r="H84" s="22">
        <f t="shared" si="37"/>
        <v>457043.95539237111</v>
      </c>
      <c r="I84" s="22">
        <f t="shared" si="37"/>
        <v>466184.83450021845</v>
      </c>
      <c r="J84" s="22">
        <f t="shared" si="37"/>
        <v>475508.53119022294</v>
      </c>
      <c r="K84" s="23">
        <f t="shared" si="37"/>
        <v>485018.70181402733</v>
      </c>
    </row>
    <row r="85" spans="1:11" ht="13.15" customHeight="1">
      <c r="A85" s="24" t="s">
        <v>1633</v>
      </c>
      <c r="B85" s="25">
        <f t="shared" ref="B85:K85" si="38">$B$15*(1+$B$5)^(B83-1)</f>
        <v>8116.839055792163</v>
      </c>
      <c r="C85" s="25">
        <f t="shared" si="38"/>
        <v>8279.1758369080053</v>
      </c>
      <c r="D85" s="25">
        <f t="shared" si="38"/>
        <v>8444.7593536461663</v>
      </c>
      <c r="E85" s="25">
        <f t="shared" si="38"/>
        <v>8613.6545407190879</v>
      </c>
      <c r="F85" s="25">
        <f t="shared" si="38"/>
        <v>8785.92763153347</v>
      </c>
      <c r="G85" s="25">
        <f t="shared" si="38"/>
        <v>8961.6461841641394</v>
      </c>
      <c r="H85" s="25">
        <f t="shared" si="38"/>
        <v>9140.8791078474242</v>
      </c>
      <c r="I85" s="25">
        <f t="shared" si="38"/>
        <v>9323.6966900043699</v>
      </c>
      <c r="J85" s="25">
        <f t="shared" si="38"/>
        <v>9510.170623804459</v>
      </c>
      <c r="K85" s="26">
        <f t="shared" si="38"/>
        <v>9700.3740362805474</v>
      </c>
    </row>
    <row r="86" spans="1:11" ht="13.15" customHeight="1">
      <c r="A86" s="24" t="s">
        <v>3644</v>
      </c>
      <c r="B86" s="25">
        <f t="shared" ref="B86:K86" si="39">-(B84+B85)*$B$8</f>
        <v>-28977.115429178019</v>
      </c>
      <c r="C86" s="25">
        <f t="shared" si="39"/>
        <v>-29556.657737761579</v>
      </c>
      <c r="D86" s="25">
        <f t="shared" si="39"/>
        <v>-30147.790892516816</v>
      </c>
      <c r="E86" s="25">
        <f t="shared" si="39"/>
        <v>-30750.746710367148</v>
      </c>
      <c r="F86" s="25">
        <f t="shared" si="39"/>
        <v>-31365.76164457449</v>
      </c>
      <c r="G86" s="25">
        <f t="shared" si="39"/>
        <v>-31993.076877465981</v>
      </c>
      <c r="H86" s="25">
        <f t="shared" si="39"/>
        <v>-32632.938415015298</v>
      </c>
      <c r="I86" s="25">
        <f t="shared" si="39"/>
        <v>-33285.5971833156</v>
      </c>
      <c r="J86" s="25">
        <f t="shared" si="39"/>
        <v>-33951.30912698192</v>
      </c>
      <c r="K86" s="26">
        <f t="shared" si="39"/>
        <v>-34630.335309521557</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-306289.37373141246</v>
      </c>
      <c r="C89" s="25">
        <f t="shared" si="40"/>
        <v>-315478.0549433548</v>
      </c>
      <c r="D89" s="25">
        <f t="shared" si="40"/>
        <v>-324942.39659165544</v>
      </c>
      <c r="E89" s="25">
        <f t="shared" si="40"/>
        <v>-334690.66848940513</v>
      </c>
      <c r="F89" s="25">
        <f t="shared" si="40"/>
        <v>-344731.38854408724</v>
      </c>
      <c r="G89" s="25">
        <f t="shared" si="40"/>
        <v>-355073.33020040987</v>
      </c>
      <c r="H89" s="25">
        <f t="shared" si="40"/>
        <v>-365725.5301064222</v>
      </c>
      <c r="I89" s="25">
        <f t="shared" si="40"/>
        <v>-376697.29600961483</v>
      </c>
      <c r="J89" s="25">
        <f t="shared" si="40"/>
        <v>-387998.21488990326</v>
      </c>
      <c r="K89" s="26">
        <f t="shared" si="40"/>
        <v>-399638.16133660031</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-36845</v>
      </c>
      <c r="C90" s="25">
        <f>IF(AND('Part VII-Pro Forma'!$G$8="Yes",'Part VII-Pro Forma'!$G$9="Yes"),"Choose One!",IF('Part VII-Pro Forma'!$G$8="Yes",ROUND((-$K$8*(1+'Part VII-Pro Forma'!$B$6)^('Part VII-Pro Forma'!C83-1)),),IF('Part VII-Pro Forma'!$G$9="Yes",ROUND((-(SUM(C84:C87)*'Part VII-Pro Forma'!$K$9)),),"Choose mgt fee")))</f>
        <v>-37950</v>
      </c>
      <c r="D90" s="25">
        <f>IF(AND('Part VII-Pro Forma'!$G$8="Yes",'Part VII-Pro Forma'!$G$9="Yes"),"Choose One!",IF('Part VII-Pro Forma'!$G$8="Yes",ROUND((-$K$8*(1+'Part VII-Pro Forma'!$B$6)^('Part VII-Pro Forma'!D83-1)),),IF('Part VII-Pro Forma'!$G$9="Yes",ROUND((-(SUM(D84:D87)*'Part VII-Pro Forma'!$K$9)),),"Choose mgt fee")))</f>
        <v>-39089</v>
      </c>
      <c r="E90" s="25">
        <f>IF(AND('Part VII-Pro Forma'!$G$8="Yes",'Part VII-Pro Forma'!$G$9="Yes"),"Choose One!",IF('Part VII-Pro Forma'!$G$8="Yes",ROUND((-$K$8*(1+'Part VII-Pro Forma'!$B$6)^('Part VII-Pro Forma'!E83-1)),),IF('Part VII-Pro Forma'!$G$9="Yes",ROUND((-(SUM(E84:E87)*'Part VII-Pro Forma'!$K$9)),),"Choose mgt fee")))</f>
        <v>-40261</v>
      </c>
      <c r="F90" s="25">
        <f>IF(AND('Part VII-Pro Forma'!$G$8="Yes",'Part VII-Pro Forma'!$G$9="Yes"),"Choose One!",IF('Part VII-Pro Forma'!$G$8="Yes",ROUND((-$K$8*(1+'Part VII-Pro Forma'!$B$6)^('Part VII-Pro Forma'!F83-1)),),IF('Part VII-Pro Forma'!$G$9="Yes",ROUND((-(SUM(F84:F87)*'Part VII-Pro Forma'!$K$9)),),"Choose mgt fee")))</f>
        <v>-41469</v>
      </c>
      <c r="G90" s="25">
        <f>IF(AND('Part VII-Pro Forma'!$G$8="Yes",'Part VII-Pro Forma'!$G$9="Yes"),"Choose One!",IF('Part VII-Pro Forma'!$G$8="Yes",ROUND((-$K$8*(1+'Part VII-Pro Forma'!$B$6)^('Part VII-Pro Forma'!G83-1)),),IF('Part VII-Pro Forma'!$G$9="Yes",ROUND((-(SUM(G84:G87)*'Part VII-Pro Forma'!$K$9)),),"Choose mgt fee")))</f>
        <v>-42713</v>
      </c>
      <c r="H90" s="25">
        <f>IF(AND('Part VII-Pro Forma'!$G$8="Yes",'Part VII-Pro Forma'!$G$9="Yes"),"Choose One!",IF('Part VII-Pro Forma'!$G$8="Yes",ROUND((-$K$8*(1+'Part VII-Pro Forma'!$B$6)^('Part VII-Pro Forma'!H83-1)),),IF('Part VII-Pro Forma'!$G$9="Yes",ROUND((-(SUM(H84:H87)*'Part VII-Pro Forma'!$K$9)),),"Choose mgt fee")))</f>
        <v>-43994</v>
      </c>
      <c r="I90" s="25">
        <f>IF(AND('Part VII-Pro Forma'!$G$8="Yes",'Part VII-Pro Forma'!$G$9="Yes"),"Choose One!",IF('Part VII-Pro Forma'!$G$8="Yes",ROUND((-$K$8*(1+'Part VII-Pro Forma'!$B$6)^('Part VII-Pro Forma'!I83-1)),),IF('Part VII-Pro Forma'!$G$9="Yes",ROUND((-(SUM(I84:I87)*'Part VII-Pro Forma'!$K$9)),),"Choose mgt fee")))</f>
        <v>-45314</v>
      </c>
      <c r="J90" s="25">
        <f>IF(AND('Part VII-Pro Forma'!$G$8="Yes",'Part VII-Pro Forma'!$G$9="Yes"),"Choose One!",IF('Part VII-Pro Forma'!$G$8="Yes",ROUND((-$K$8*(1+'Part VII-Pro Forma'!$B$6)^('Part VII-Pro Forma'!J83-1)),),IF('Part VII-Pro Forma'!$G$9="Yes",ROUND((-(SUM(J84:J87)*'Part VII-Pro Forma'!$K$9)),),"Choose mgt fee")))</f>
        <v>-46674</v>
      </c>
      <c r="K90" s="25">
        <f>IF(AND('Part VII-Pro Forma'!$G$8="Yes",'Part VII-Pro Forma'!$G$9="Yes"),"Choose One!",IF('Part VII-Pro Forma'!$G$8="Yes",ROUND((-$K$8*(1+'Part VII-Pro Forma'!$B$6)^('Part VII-Pro Forma'!K83-1)),),IF('Part VII-Pro Forma'!$G$9="Yes",ROUND((-(SUM(K84:K87)*'Part VII-Pro Forma'!$K$9)),),"Choose mgt fee")))</f>
        <v>-48074</v>
      </c>
    </row>
    <row r="91" spans="1:11" ht="13.15" customHeight="1">
      <c r="A91" s="24" t="s">
        <v>1863</v>
      </c>
      <c r="B91" s="25">
        <f t="shared" ref="B91:K91" si="41">$B$21*(1+$B$7)^(B83-1)</f>
        <v>-22576.390433367666</v>
      </c>
      <c r="C91" s="25">
        <f t="shared" si="41"/>
        <v>-23253.682146368694</v>
      </c>
      <c r="D91" s="25">
        <f t="shared" si="41"/>
        <v>-23951.292610759756</v>
      </c>
      <c r="E91" s="25">
        <f t="shared" si="41"/>
        <v>-24669.831389082548</v>
      </c>
      <c r="F91" s="25">
        <f t="shared" si="41"/>
        <v>-25409.926330755021</v>
      </c>
      <c r="G91" s="25">
        <f t="shared" si="41"/>
        <v>-26172.224120677674</v>
      </c>
      <c r="H91" s="25">
        <f t="shared" si="41"/>
        <v>-26957.390844298006</v>
      </c>
      <c r="I91" s="25">
        <f t="shared" si="41"/>
        <v>-27766.112569626945</v>
      </c>
      <c r="J91" s="25">
        <f t="shared" si="41"/>
        <v>-28599.095946715752</v>
      </c>
      <c r="K91" s="26">
        <f t="shared" si="41"/>
        <v>-29457.068825117221</v>
      </c>
    </row>
    <row r="92" spans="1:11" ht="13.15" customHeight="1">
      <c r="A92" s="24" t="s">
        <v>1864</v>
      </c>
      <c r="B92" s="25">
        <f t="shared" ref="B92:K92" si="42">SUM(B84:B91)</f>
        <v>19270.912251442114</v>
      </c>
      <c r="C92" s="25">
        <f t="shared" si="42"/>
        <v>15999.572854823171</v>
      </c>
      <c r="D92" s="25">
        <f t="shared" si="42"/>
        <v>12552.246941022433</v>
      </c>
      <c r="E92" s="25">
        <f t="shared" si="42"/>
        <v>8924.1349878186484</v>
      </c>
      <c r="F92" s="25">
        <f t="shared" si="42"/>
        <v>5106.2326887902236</v>
      </c>
      <c r="G92" s="25">
        <f t="shared" si="42"/>
        <v>1092.3241938175706</v>
      </c>
      <c r="H92" s="25">
        <f t="shared" si="42"/>
        <v>-3125.0248655169889</v>
      </c>
      <c r="I92" s="25">
        <f t="shared" si="42"/>
        <v>-7554.474572334555</v>
      </c>
      <c r="J92" s="25">
        <f t="shared" si="42"/>
        <v>-12203.918149573568</v>
      </c>
      <c r="K92" s="26">
        <f t="shared" si="42"/>
        <v>-17080.489620931239</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19270.912251442114</v>
      </c>
      <c r="C103" s="25">
        <f t="shared" si="46"/>
        <v>15999.572854823171</v>
      </c>
      <c r="D103" s="25">
        <f t="shared" si="46"/>
        <v>12552.246941022433</v>
      </c>
      <c r="E103" s="25">
        <f t="shared" si="46"/>
        <v>8924.1349878186484</v>
      </c>
      <c r="F103" s="25">
        <f t="shared" si="46"/>
        <v>5106.2326887902236</v>
      </c>
      <c r="G103" s="25">
        <f t="shared" si="46"/>
        <v>1092.3241938175706</v>
      </c>
      <c r="H103" s="25">
        <f t="shared" si="46"/>
        <v>-3125.0248655169889</v>
      </c>
      <c r="I103" s="25">
        <f t="shared" si="46"/>
        <v>-7554.474572334555</v>
      </c>
      <c r="J103" s="25">
        <f t="shared" si="46"/>
        <v>-12203.918149573568</v>
      </c>
      <c r="K103" s="23">
        <f t="shared" si="46"/>
        <v>-17080.489620931239</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1.0526944080944773</v>
      </c>
      <c r="C110" s="379">
        <f t="shared" ref="C110:K110" si="54">IF(OR(C90="Choose mgt fee",C90="Choose One!"),"",(C84+C85+C86+C87+C88) / -(C89+C90+C91))</f>
        <v>1.0424750426671527</v>
      </c>
      <c r="D110" s="379">
        <f t="shared" si="54"/>
        <v>1.0323525953357002</v>
      </c>
      <c r="E110" s="379">
        <f t="shared" si="54"/>
        <v>1.0223314686285203</v>
      </c>
      <c r="F110" s="379">
        <f t="shared" si="54"/>
        <v>1.0124055022536131</v>
      </c>
      <c r="G110" s="379">
        <f t="shared" si="54"/>
        <v>1.0025764881559396</v>
      </c>
      <c r="H110" s="379">
        <f t="shared" si="54"/>
        <v>0.99284362256032843</v>
      </c>
      <c r="I110" s="379">
        <f t="shared" si="54"/>
        <v>0.9832039706124911</v>
      </c>
      <c r="J110" s="379">
        <f t="shared" si="54"/>
        <v>0.97365708200765866</v>
      </c>
      <c r="K110" s="380">
        <f t="shared" si="54"/>
        <v>0.96420454517752019</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f>IF('Part III A-Sources of Funds'!$H$37="","",-FV('Part III A-Sources of Funds'!$J$37/12,12,B101/12,K81))</f>
        <v>-0.22591224585980471</v>
      </c>
      <c r="C116" s="1287">
        <f>IF('Part III A-Sources of Funds'!$H$37="","",-FV('Part III A-Sources of Funds'!$J$37/12,12,C101/12,B116))</f>
        <v>-0.23462462732399314</v>
      </c>
      <c r="D116" s="1287">
        <f>IF('Part III A-Sources of Funds'!$H$37="","",-FV('Part III A-Sources of Funds'!$J$37/12,12,D101/12,C116))</f>
        <v>-0.24367300469884434</v>
      </c>
      <c r="E116" s="1287">
        <f>IF('Part III A-Sources of Funds'!$H$37="","",-FV('Part III A-Sources of Funds'!$J$37/12,12,E101/12,D116))</f>
        <v>-0.25307033577924437</v>
      </c>
      <c r="F116" s="1287">
        <f>IF('Part III A-Sources of Funds'!$H$37="","",-FV('Part III A-Sources of Funds'!$J$37/12,12,F101/12,E116))</f>
        <v>-0.26283007808178116</v>
      </c>
      <c r="G116" s="1287">
        <f>IF('Part III A-Sources of Funds'!$H$37="","",-FV('Part III A-Sources of Funds'!$J$37/12,12,G101/12,F116))</f>
        <v>-0.27296620811667954</v>
      </c>
      <c r="H116" s="1287">
        <f>IF('Part III A-Sources of Funds'!$H$37="","",-FV('Part III A-Sources of Funds'!$J$37/12,12,H101/12,G116))</f>
        <v>-0.2834932414029645</v>
      </c>
      <c r="I116" s="1287">
        <f>IF('Part III A-Sources of Funds'!$H$37="","",-FV('Part III A-Sources of Funds'!$J$37/12,12,I101/12,H116))</f>
        <v>-0.29442625325551647</v>
      </c>
      <c r="J116" s="1287">
        <f>IF('Part III A-Sources of Funds'!$H$37="","",-FV('Part III A-Sources of Funds'!$J$37/12,12,J101/12,I116))</f>
        <v>-0.30578090037378591</v>
      </c>
      <c r="K116" s="1287">
        <f>IF('Part III A-Sources of Funds'!$H$37="","",-FV('Part III A-Sources of Funds'!$J$37/12,12,K101/12,J116))</f>
        <v>-0.31757344326308412</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494719.07585030788</v>
      </c>
      <c r="C119" s="22">
        <f>$B$14*(1+$B$5)^(C118-1)</f>
        <v>504613.45736731397</v>
      </c>
      <c r="D119" s="22">
        <f>$B$14*(1+$B$5)^(D118-1)</f>
        <v>514705.72651466035</v>
      </c>
      <c r="E119" s="22">
        <f>$B$14*(1+$B$5)^(E118-1)</f>
        <v>524999.84104495356</v>
      </c>
      <c r="F119" s="23">
        <f>$B$14*(1+$B$5)^(F118-1)</f>
        <v>535499.83786585263</v>
      </c>
      <c r="G119" s="31"/>
      <c r="H119" s="31"/>
      <c r="I119" s="31"/>
      <c r="J119" s="31"/>
      <c r="K119" s="31"/>
    </row>
    <row r="120" spans="1:11" ht="13.15" customHeight="1">
      <c r="A120" s="24" t="s">
        <v>1633</v>
      </c>
      <c r="B120" s="25">
        <f>$B$15*(1+$B$5)^(B118-1)</f>
        <v>9894.3815170061589</v>
      </c>
      <c r="C120" s="25">
        <f>$B$15*(1+$B$5)^(C118-1)</f>
        <v>10092.26914734628</v>
      </c>
      <c r="D120" s="25">
        <f>$B$15*(1+$B$5)^(D118-1)</f>
        <v>10294.114530293207</v>
      </c>
      <c r="E120" s="25">
        <f>$B$15*(1+$B$5)^(E118-1)</f>
        <v>10499.996820899072</v>
      </c>
      <c r="F120" s="26">
        <f>$B$15*(1+$B$5)^(F118-1)</f>
        <v>10709.996757317052</v>
      </c>
      <c r="G120" s="31"/>
      <c r="H120" s="31"/>
      <c r="I120" s="31"/>
      <c r="J120" s="31"/>
      <c r="K120" s="31"/>
    </row>
    <row r="121" spans="1:11" ht="13.15" customHeight="1">
      <c r="A121" s="24" t="s">
        <v>3644</v>
      </c>
      <c r="B121" s="25">
        <f>-(B119+B120)*$B$8</f>
        <v>-35322.942015711982</v>
      </c>
      <c r="C121" s="25">
        <f>-(C119+C120)*$B$8</f>
        <v>-36029.400856026223</v>
      </c>
      <c r="D121" s="25">
        <f>-(D119+D120)*$B$8</f>
        <v>-36749.988873146751</v>
      </c>
      <c r="E121" s="25">
        <f>-(E119+E120)*$B$8</f>
        <v>-37484.988650609688</v>
      </c>
      <c r="F121" s="26">
        <f>-(F119+F120)*$B$8</f>
        <v>-38234.688423621883</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-411627.30617669836</v>
      </c>
      <c r="C124" s="25">
        <f>$B$19*(1+$B$6)^(C118-1)</f>
        <v>-423976.12536199938</v>
      </c>
      <c r="D124" s="25">
        <f>$B$19*(1+$B$6)^(D118-1)</f>
        <v>-436695.40912285924</v>
      </c>
      <c r="E124" s="25">
        <f>$B$19*(1+$B$6)^(E118-1)</f>
        <v>-449796.27139654505</v>
      </c>
      <c r="F124" s="26">
        <f>$B$19*(1+$B$6)^(F118-1)</f>
        <v>-463290.15953844134</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-49516</v>
      </c>
      <c r="C125" s="25">
        <f>IF(AND('Part VII-Pro Forma'!$G$8="Yes",'Part VII-Pro Forma'!$G$9="Yes"),"Choose One!",IF('Part VII-Pro Forma'!$G$8="Yes",ROUND((-$K$8*(1+'Part VII-Pro Forma'!$B$6)^('Part VII-Pro Forma'!C118-1)),),IF('Part VII-Pro Forma'!$G$9="Yes",ROUND((-(SUM(C119:C122)*'Part VII-Pro Forma'!$K$9)),),"Choose mgt fee")))</f>
        <v>-51002</v>
      </c>
      <c r="D125" s="25">
        <f>IF(AND('Part VII-Pro Forma'!$G$8="Yes",'Part VII-Pro Forma'!$G$9="Yes"),"Choose One!",IF('Part VII-Pro Forma'!$G$8="Yes",ROUND((-$K$8*(1+'Part VII-Pro Forma'!$B$6)^('Part VII-Pro Forma'!D118-1)),),IF('Part VII-Pro Forma'!$G$9="Yes",ROUND((-(SUM(D119:D122)*'Part VII-Pro Forma'!$K$9)),),"Choose mgt fee")))</f>
        <v>-52532</v>
      </c>
      <c r="E125" s="25">
        <f>IF(AND('Part VII-Pro Forma'!$G$8="Yes",'Part VII-Pro Forma'!$G$9="Yes"),"Choose One!",IF('Part VII-Pro Forma'!$G$8="Yes",ROUND((-$K$8*(1+'Part VII-Pro Forma'!$B$6)^('Part VII-Pro Forma'!E118-1)),),IF('Part VII-Pro Forma'!$G$9="Yes",ROUND((-(SUM(E119:E122)*'Part VII-Pro Forma'!$K$9)),),"Choose mgt fee")))</f>
        <v>-54108</v>
      </c>
      <c r="F125" s="25">
        <f>IF(AND('Part VII-Pro Forma'!$G$8="Yes",'Part VII-Pro Forma'!$G$9="Yes"),"Choose One!",IF('Part VII-Pro Forma'!$G$8="Yes",ROUND((-$K$8*(1+'Part VII-Pro Forma'!$B$6)^('Part VII-Pro Forma'!F118-1)),),IF('Part VII-Pro Forma'!$G$9="Yes",ROUND((-(SUM(F119:F122)*'Part VII-Pro Forma'!$K$9)),),"Choose mgt fee")))</f>
        <v>-55731</v>
      </c>
      <c r="G125" s="31"/>
      <c r="H125" s="31"/>
      <c r="I125" s="31"/>
      <c r="J125" s="31"/>
      <c r="K125" s="31"/>
    </row>
    <row r="126" spans="1:11" ht="13.15" customHeight="1">
      <c r="A126" s="24" t="s">
        <v>1863</v>
      </c>
      <c r="B126" s="25">
        <f>$B$21*(1+$B$7)^(B118-1)</f>
        <v>-30340.780889870737</v>
      </c>
      <c r="C126" s="25">
        <f>$B$21*(1+$B$7)^(C118-1)</f>
        <v>-31251.004316566865</v>
      </c>
      <c r="D126" s="25">
        <f>$B$21*(1+$B$7)^(D118-1)</f>
        <v>-32188.534446063866</v>
      </c>
      <c r="E126" s="25">
        <f>$B$21*(1+$B$7)^(E118-1)</f>
        <v>-33154.190479445781</v>
      </c>
      <c r="F126" s="26">
        <f>$B$21*(1+$B$7)^(F118-1)</f>
        <v>-34148.816193829152</v>
      </c>
      <c r="G126" s="31"/>
      <c r="H126" s="31"/>
      <c r="I126" s="31"/>
      <c r="J126" s="31"/>
      <c r="K126" s="31"/>
    </row>
    <row r="127" spans="1:11" ht="13.15" customHeight="1">
      <c r="A127" s="24" t="s">
        <v>1864</v>
      </c>
      <c r="B127" s="25">
        <f>SUM(B119:B126)</f>
        <v>-22193.571714967045</v>
      </c>
      <c r="C127" s="25">
        <f>SUM(C119:C126)</f>
        <v>-27552.804019932231</v>
      </c>
      <c r="D127" s="25">
        <f>SUM(D119:D126)</f>
        <v>-33166.091397116317</v>
      </c>
      <c r="E127" s="25">
        <f>SUM(E119:E126)</f>
        <v>-39043.61266074788</v>
      </c>
      <c r="F127" s="26">
        <f>SUM(F119:F126)</f>
        <v>-45194.82953272263</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0</v>
      </c>
      <c r="C135" s="1285">
        <f>+B135</f>
        <v>0</v>
      </c>
      <c r="D135" s="1285">
        <f>+C135</f>
        <v>0</v>
      </c>
      <c r="E135" s="1285">
        <f>+D135</f>
        <v>0</v>
      </c>
      <c r="F135" s="1285">
        <f>+E135</f>
        <v>0</v>
      </c>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-22193.571714967045</v>
      </c>
      <c r="C138" s="25">
        <f>SUM(C127:C137)</f>
        <v>-27552.804019932231</v>
      </c>
      <c r="D138" s="25">
        <f>SUM(D127:D137)</f>
        <v>-33166.091397116317</v>
      </c>
      <c r="E138" s="25">
        <f>SUM(E127:E137)</f>
        <v>-39043.61266074788</v>
      </c>
      <c r="F138" s="26">
        <f>SUM(F127:F137)</f>
        <v>-45194.82953272263</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0.95484376341169108</v>
      </c>
      <c r="C145" s="379">
        <f>IF(OR(C125="Choose mgt fee",C125="Choose One!"),"",(C119+C120+C121+C122+C123) / -(C124+C125+C126))</f>
        <v>0.94557246431585817</v>
      </c>
      <c r="D145" s="379">
        <f>IF(OR(D125="Choose mgt fee",D125="Choose One!"),"",(D119+D120+D121+D122+D123) / -(D124+D125+D126))</f>
        <v>0.93639225688016914</v>
      </c>
      <c r="E145" s="379">
        <f>IF(OR(E125="Choose mgt fee",E125="Choose One!"),"",(E119+E120+E121+E122+E123) / -(E124+E125+E126))</f>
        <v>0.92730100085498102</v>
      </c>
      <c r="F145" s="380">
        <f>IF(OR(F125="Choose mgt fee",F125="Choose One!"),"",(F119+F120+F121+F122+F123) / -(F124+F125+F126))</f>
        <v>0.91829847693216715</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f>IF('Part III A-Sources of Funds'!$H$37="","",-FV('Part III A-Sources of Funds'!$J$37/12,12,B136/12,K116))</f>
        <v>-0.3298207695205585</v>
      </c>
      <c r="C151" s="1287">
        <f>IF('Part III A-Sources of Funds'!$H$37="","",-FV('Part III A-Sources of Funds'!$J$37/12,12,C136/12,B151))</f>
        <v>-0.34254041801919949</v>
      </c>
      <c r="D151" s="1287">
        <f>IF('Part III A-Sources of Funds'!$H$37="","",-FV('Part III A-Sources of Funds'!$J$37/12,12,D136/12,C151))</f>
        <v>-0.35575060402451164</v>
      </c>
      <c r="E151" s="1287">
        <f>IF('Part III A-Sources of Funds'!$H$37="","",-FV('Part III A-Sources of Funds'!$J$37/12,12,E136/12,D151))</f>
        <v>-0.36947024527981759</v>
      </c>
      <c r="F151" s="1287">
        <f>IF('Part III A-Sources of Funds'!$H$37="","",-FV('Part III A-Sources of Funds'!$J$37/12,12,F136/12,E151))</f>
        <v>-0.38371898909755042</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64" zoomScaleSheetLayoutView="40" workbookViewId="0">
      <selection activeCell="D144" sqref="D144"/>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2011-023 The Village at Winding Road, St. Marys, Camden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1531</v>
      </c>
      <c r="P3" s="1028"/>
      <c r="Q3" s="302" t="s">
        <v>2889</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865</v>
      </c>
      <c r="P6" s="1020"/>
      <c r="Q6" s="1021"/>
    </row>
    <row r="7" spans="1:20" ht="12.6" customHeight="1">
      <c r="A7" s="174" t="s">
        <v>367</v>
      </c>
      <c r="C7" s="175"/>
      <c r="D7" s="175"/>
    </row>
    <row r="8" spans="1:20" ht="24.6" customHeight="1">
      <c r="A8" s="1022" t="s">
        <v>2119</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2115</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2116</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2117</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2118</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2120</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2923</v>
      </c>
      <c r="P29" s="989"/>
      <c r="Q29" s="990"/>
    </row>
    <row r="30" spans="1:19" ht="3" customHeight="1"/>
    <row r="31" spans="1:19" ht="12" customHeight="1">
      <c r="B31" s="192" t="s">
        <v>3060</v>
      </c>
      <c r="C31" s="65" t="s">
        <v>1078</v>
      </c>
      <c r="E31" s="40"/>
      <c r="F31" s="40"/>
      <c r="G31" s="40"/>
      <c r="H31" s="40"/>
      <c r="I31" s="52"/>
      <c r="J31" s="42"/>
      <c r="K31" s="52"/>
      <c r="L31" s="42"/>
      <c r="M31" s="42"/>
      <c r="O31" s="83" t="s">
        <v>924</v>
      </c>
      <c r="P31" s="1166" t="s">
        <v>3926</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1933</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1933</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2085</v>
      </c>
      <c r="C45" s="5"/>
      <c r="D45" s="5"/>
      <c r="E45" s="740"/>
      <c r="F45" s="740"/>
      <c r="G45" s="740"/>
      <c r="H45" s="740"/>
      <c r="K45" s="740"/>
      <c r="L45" s="740"/>
      <c r="M45" s="740"/>
      <c r="O45" s="180" t="s">
        <v>2923</v>
      </c>
      <c r="P45" s="989"/>
      <c r="Q45" s="990"/>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t="s">
        <v>3924</v>
      </c>
      <c r="Q47" s="234"/>
    </row>
    <row r="48" spans="1:31" ht="11.25" customHeight="1">
      <c r="B48" s="131" t="s">
        <v>2921</v>
      </c>
      <c r="D48" s="131"/>
      <c r="E48" s="131"/>
      <c r="F48" s="131"/>
      <c r="G48" s="131"/>
      <c r="H48" s="50"/>
      <c r="I48" s="179"/>
      <c r="J48" s="179"/>
      <c r="K48" s="187" t="s">
        <v>2922</v>
      </c>
      <c r="L48" s="738"/>
      <c r="M48" s="738"/>
      <c r="N48" s="738"/>
      <c r="O48" s="738"/>
      <c r="P48" s="738"/>
      <c r="Q48" s="63"/>
    </row>
    <row r="49" spans="1:31" ht="11.45" customHeight="1">
      <c r="A49" s="1159" t="s">
        <v>4039</v>
      </c>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682</v>
      </c>
      <c r="C51" s="153"/>
      <c r="D51" s="740"/>
      <c r="E51" s="740"/>
      <c r="F51" s="740"/>
      <c r="G51" s="740"/>
      <c r="H51" s="740"/>
      <c r="I51" s="740"/>
      <c r="J51" s="740"/>
      <c r="K51" s="740"/>
      <c r="L51" s="740"/>
      <c r="M51" s="740"/>
      <c r="O51" s="180" t="s">
        <v>2923</v>
      </c>
      <c r="P51" s="989"/>
      <c r="Q51" s="990"/>
    </row>
    <row r="52" spans="1:31" ht="3" customHeight="1"/>
    <row r="53" spans="1:31" ht="12.6" customHeight="1">
      <c r="B53" s="192" t="s">
        <v>3060</v>
      </c>
      <c r="C53" s="1014" t="s">
        <v>400</v>
      </c>
      <c r="D53" s="1014"/>
      <c r="E53" s="1014"/>
      <c r="F53" s="1014"/>
      <c r="G53" s="1014"/>
      <c r="H53" s="1014"/>
      <c r="I53" s="1014"/>
      <c r="J53" s="1014"/>
      <c r="K53" s="1014"/>
      <c r="L53" s="1014"/>
      <c r="M53" s="1014"/>
      <c r="O53" s="193"/>
      <c r="P53" s="1166" t="s">
        <v>3975</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7"/>
      <c r="F55" s="737"/>
      <c r="G55" s="737"/>
      <c r="H55" s="42"/>
      <c r="I55" s="52"/>
      <c r="J55" s="52"/>
      <c r="K55" s="52"/>
      <c r="L55" s="42"/>
      <c r="M55" s="42"/>
      <c r="O55" s="83" t="s">
        <v>2765</v>
      </c>
      <c r="P55" s="1166" t="s">
        <v>3924</v>
      </c>
      <c r="Q55" s="234"/>
    </row>
    <row r="56" spans="1:31" ht="10.9" customHeight="1">
      <c r="A56" s="194"/>
      <c r="B56" s="52"/>
      <c r="C56" s="83" t="s">
        <v>2766</v>
      </c>
      <c r="D56" s="40" t="s">
        <v>2845</v>
      </c>
      <c r="E56" s="737"/>
      <c r="F56" s="737"/>
      <c r="G56" s="737"/>
      <c r="H56" s="42"/>
      <c r="I56" s="52"/>
      <c r="J56" s="52"/>
      <c r="O56" s="83" t="s">
        <v>2766</v>
      </c>
      <c r="P56" s="1166" t="s">
        <v>3924</v>
      </c>
      <c r="Q56" s="234"/>
    </row>
    <row r="57" spans="1:31" ht="10.9" customHeight="1">
      <c r="A57" s="194"/>
      <c r="B57" s="52"/>
      <c r="C57" s="83" t="s">
        <v>2767</v>
      </c>
      <c r="D57" s="40" t="s">
        <v>401</v>
      </c>
      <c r="E57" s="737"/>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8"/>
      <c r="M58" s="738"/>
      <c r="N58" s="738"/>
      <c r="O58" s="738"/>
      <c r="P58" s="738"/>
      <c r="Q58" s="63"/>
    </row>
    <row r="59" spans="1:31" ht="12" customHeight="1">
      <c r="A59" s="1152" t="s">
        <v>4006</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3.25" customHeight="1">
      <c r="A60" s="1155" t="s">
        <v>4007</v>
      </c>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3703</v>
      </c>
      <c r="C65" s="742"/>
      <c r="D65" s="740"/>
      <c r="E65" s="740"/>
      <c r="F65" s="740"/>
      <c r="G65" s="740"/>
      <c r="H65" s="740"/>
      <c r="I65" s="740"/>
      <c r="J65" s="740"/>
      <c r="K65" s="740"/>
      <c r="O65" s="180" t="s">
        <v>2923</v>
      </c>
      <c r="P65" s="989"/>
      <c r="Q65" s="990"/>
    </row>
    <row r="66" spans="1:31" ht="3" customHeight="1"/>
    <row r="67" spans="1:31" ht="12" customHeight="1">
      <c r="B67" s="57" t="s">
        <v>3060</v>
      </c>
      <c r="C67" s="195" t="s">
        <v>3730</v>
      </c>
      <c r="D67" s="182"/>
      <c r="E67" s="182"/>
      <c r="F67" s="182"/>
      <c r="G67" s="182"/>
      <c r="H67" s="182"/>
      <c r="I67" s="52"/>
      <c r="J67" s="52"/>
      <c r="K67" s="52"/>
      <c r="L67" s="62" t="s">
        <v>3060</v>
      </c>
      <c r="M67" s="1224" t="s">
        <v>3994</v>
      </c>
      <c r="N67" s="1225"/>
      <c r="O67" s="1225"/>
      <c r="P67" s="1227"/>
      <c r="Q67" s="234"/>
    </row>
    <row r="68" spans="1:31" ht="12" customHeight="1">
      <c r="B68" s="57" t="s">
        <v>3063</v>
      </c>
      <c r="C68" s="65" t="s">
        <v>3118</v>
      </c>
      <c r="D68" s="182"/>
      <c r="E68" s="182"/>
      <c r="F68" s="182"/>
      <c r="L68" s="62" t="s">
        <v>3063</v>
      </c>
      <c r="M68" s="1224" t="s">
        <v>3996</v>
      </c>
      <c r="N68" s="1225"/>
      <c r="O68" s="1225"/>
      <c r="P68" s="1227"/>
      <c r="Q68" s="234"/>
    </row>
    <row r="69" spans="1:31" ht="12" customHeight="1">
      <c r="B69" s="57" t="s">
        <v>1239</v>
      </c>
      <c r="C69" s="65" t="s">
        <v>3731</v>
      </c>
      <c r="D69" s="182"/>
      <c r="E69" s="182"/>
      <c r="F69" s="182"/>
      <c r="L69" s="62" t="s">
        <v>1239</v>
      </c>
      <c r="M69" s="1224" t="s">
        <v>3996</v>
      </c>
      <c r="N69" s="1225"/>
      <c r="O69" s="1225"/>
      <c r="P69" s="1227"/>
      <c r="Q69" s="351"/>
    </row>
    <row r="70" spans="1:31" ht="12" customHeight="1">
      <c r="B70" s="57" t="s">
        <v>3212</v>
      </c>
      <c r="C70" s="65" t="s">
        <v>3732</v>
      </c>
      <c r="D70" s="182"/>
      <c r="E70" s="182"/>
      <c r="F70" s="182"/>
      <c r="L70" s="62" t="s">
        <v>3212</v>
      </c>
      <c r="M70" s="1228">
        <v>0.182</v>
      </c>
      <c r="N70" s="1225"/>
      <c r="O70" s="1225"/>
      <c r="P70" s="1227"/>
      <c r="Q70" s="234"/>
    </row>
    <row r="71" spans="1:31" ht="22.15" customHeight="1">
      <c r="B71" s="192" t="s">
        <v>2763</v>
      </c>
      <c r="C71" s="1002" t="s">
        <v>3556</v>
      </c>
      <c r="D71" s="1004"/>
      <c r="E71" s="1004"/>
      <c r="F71" s="1004"/>
      <c r="G71" s="1004"/>
      <c r="H71" s="1004"/>
      <c r="I71" s="1004"/>
      <c r="J71" s="1004"/>
      <c r="K71" s="1004"/>
      <c r="L71" s="737"/>
      <c r="M71" s="737"/>
      <c r="O71" s="62" t="s">
        <v>2763</v>
      </c>
      <c r="P71" s="1166" t="s">
        <v>3924</v>
      </c>
      <c r="Q71" s="234"/>
    </row>
    <row r="72" spans="1:31" ht="12" customHeight="1">
      <c r="B72" s="57"/>
      <c r="C72" s="65"/>
      <c r="D72" s="711" t="s">
        <v>3593</v>
      </c>
      <c r="E72" s="40" t="s">
        <v>952</v>
      </c>
      <c r="F72" s="40"/>
      <c r="G72" s="65"/>
      <c r="H72" s="711" t="s">
        <v>3593</v>
      </c>
      <c r="I72" s="40" t="s">
        <v>952</v>
      </c>
      <c r="J72" s="40"/>
      <c r="K72" s="65"/>
      <c r="L72" s="711" t="s">
        <v>3593</v>
      </c>
      <c r="M72" s="40" t="s">
        <v>952</v>
      </c>
      <c r="N72" s="40"/>
      <c r="O72" s="65"/>
      <c r="P72" s="62"/>
      <c r="Q72" s="62"/>
    </row>
    <row r="73" spans="1:31" ht="12" customHeight="1">
      <c r="B73" s="57"/>
      <c r="C73" s="65">
        <v>1</v>
      </c>
      <c r="D73" s="1229" t="s">
        <v>3997</v>
      </c>
      <c r="E73" s="1230" t="s">
        <v>3995</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7"/>
      <c r="M76" s="737"/>
      <c r="O76" s="62" t="s">
        <v>2764</v>
      </c>
      <c r="P76" s="1166" t="s">
        <v>3924</v>
      </c>
      <c r="Q76" s="234"/>
    </row>
    <row r="77" spans="1:31" ht="11.25" customHeight="1">
      <c r="B77" s="191" t="s">
        <v>2921</v>
      </c>
      <c r="D77" s="191"/>
      <c r="E77" s="191"/>
      <c r="F77" s="191"/>
      <c r="G77" s="191"/>
      <c r="H77" s="50"/>
      <c r="I77" s="179"/>
      <c r="J77" s="179"/>
      <c r="K77" s="179"/>
      <c r="L77" s="738"/>
      <c r="M77" s="738"/>
      <c r="N77" s="738"/>
      <c r="O77" s="738"/>
      <c r="P77" s="738"/>
      <c r="Q77" s="63"/>
    </row>
    <row r="78" spans="1:31" ht="22.9" customHeight="1">
      <c r="A78" s="1152" t="s">
        <v>4053</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2923</v>
      </c>
      <c r="P83" s="989"/>
      <c r="Q83" s="990"/>
    </row>
    <row r="84" spans="1:17" ht="3" customHeight="1"/>
    <row r="85" spans="1:17" ht="12" customHeight="1">
      <c r="B85" s="57" t="s">
        <v>3060</v>
      </c>
      <c r="C85" s="65" t="s">
        <v>730</v>
      </c>
      <c r="D85" s="65"/>
      <c r="E85" s="65"/>
      <c r="F85" s="65"/>
      <c r="G85" s="65"/>
      <c r="H85" s="65"/>
      <c r="I85" s="65"/>
      <c r="J85" s="65"/>
      <c r="K85" s="65"/>
      <c r="L85" s="65"/>
      <c r="M85" s="65"/>
      <c r="O85" s="62" t="s">
        <v>3060</v>
      </c>
      <c r="P85" s="1166" t="s">
        <v>3924</v>
      </c>
      <c r="Q85" s="234"/>
    </row>
    <row r="86" spans="1:17" ht="12" customHeight="1">
      <c r="B86" s="57" t="s">
        <v>3063</v>
      </c>
      <c r="C86" s="65" t="s">
        <v>2006</v>
      </c>
      <c r="D86" s="65"/>
      <c r="E86" s="65"/>
      <c r="F86" s="65"/>
      <c r="G86" s="65"/>
      <c r="H86" s="65"/>
      <c r="I86" s="65"/>
      <c r="J86" s="65"/>
      <c r="K86" s="65"/>
      <c r="L86" s="40"/>
      <c r="M86" s="40"/>
      <c r="O86" s="62" t="s">
        <v>3063</v>
      </c>
      <c r="P86" s="1166" t="s">
        <v>3924</v>
      </c>
      <c r="Q86" s="234"/>
    </row>
    <row r="87" spans="1:17" ht="12" customHeight="1">
      <c r="A87" s="181"/>
      <c r="B87" s="46"/>
      <c r="D87" s="49" t="s">
        <v>850</v>
      </c>
      <c r="E87" s="52"/>
      <c r="F87" s="52"/>
      <c r="G87" s="52"/>
      <c r="H87" s="52"/>
      <c r="I87" s="52"/>
      <c r="K87" s="49" t="s">
        <v>851</v>
      </c>
      <c r="M87" s="1232" t="s">
        <v>3988</v>
      </c>
      <c r="N87" s="1233"/>
      <c r="O87" s="1233"/>
      <c r="P87" s="1234"/>
      <c r="Q87" s="234"/>
    </row>
    <row r="88" spans="1:17" ht="22.9" customHeight="1">
      <c r="A88" s="194"/>
      <c r="B88" s="179"/>
      <c r="C88" s="203" t="s">
        <v>2765</v>
      </c>
      <c r="D88" s="975" t="s">
        <v>679</v>
      </c>
      <c r="E88" s="1119"/>
      <c r="F88" s="1119"/>
      <c r="G88" s="1119"/>
      <c r="H88" s="1119"/>
      <c r="I88" s="1119"/>
      <c r="J88" s="1119"/>
      <c r="K88" s="1119"/>
      <c r="L88" s="1119"/>
      <c r="M88" s="1119"/>
      <c r="N88" s="1119"/>
      <c r="O88" s="203" t="s">
        <v>2765</v>
      </c>
      <c r="P88" s="1166" t="s">
        <v>3924</v>
      </c>
      <c r="Q88" s="234"/>
    </row>
    <row r="89" spans="1:17" ht="12" customHeight="1">
      <c r="A89" s="194"/>
      <c r="B89" s="179"/>
      <c r="C89" s="83" t="s">
        <v>2766</v>
      </c>
      <c r="D89" s="65" t="s">
        <v>187</v>
      </c>
      <c r="E89" s="65"/>
      <c r="F89" s="65"/>
      <c r="G89" s="65"/>
      <c r="H89" s="65"/>
      <c r="I89" s="65"/>
      <c r="J89" s="65"/>
      <c r="K89" s="65"/>
      <c r="L89" s="65"/>
      <c r="M89" s="65"/>
      <c r="O89" s="83" t="s">
        <v>2766</v>
      </c>
      <c r="P89" s="1166" t="s">
        <v>3924</v>
      </c>
      <c r="Q89" s="234"/>
    </row>
    <row r="90" spans="1:17" ht="12" customHeight="1">
      <c r="A90" s="194"/>
      <c r="B90" s="179"/>
      <c r="C90" s="83" t="s">
        <v>2767</v>
      </c>
      <c r="D90" s="65" t="s">
        <v>188</v>
      </c>
      <c r="E90" s="65"/>
      <c r="F90" s="65"/>
      <c r="G90" s="65"/>
      <c r="H90" s="65"/>
      <c r="I90" s="65"/>
      <c r="J90" s="65"/>
      <c r="K90" s="65"/>
      <c r="L90" s="65"/>
      <c r="M90" s="65"/>
      <c r="O90" s="83" t="s">
        <v>2767</v>
      </c>
      <c r="P90" s="1166" t="s">
        <v>3926</v>
      </c>
      <c r="Q90" s="234"/>
    </row>
    <row r="91" spans="1:17" ht="12" customHeight="1">
      <c r="B91" s="57" t="s">
        <v>1239</v>
      </c>
      <c r="C91" s="65" t="s">
        <v>191</v>
      </c>
      <c r="D91" s="65"/>
      <c r="E91" s="65"/>
      <c r="F91" s="65"/>
      <c r="G91" s="65"/>
      <c r="H91" s="65"/>
      <c r="I91" s="65"/>
      <c r="J91" s="65"/>
      <c r="K91" s="65"/>
      <c r="L91" s="65"/>
      <c r="M91" s="65"/>
      <c r="O91" s="62" t="s">
        <v>1239</v>
      </c>
      <c r="P91" s="1166" t="s">
        <v>3926</v>
      </c>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t="s">
        <v>3926</v>
      </c>
      <c r="Q93" s="234"/>
    </row>
    <row r="94" spans="1:17" ht="12" customHeight="1">
      <c r="B94" s="57"/>
      <c r="C94" s="83" t="s">
        <v>2766</v>
      </c>
      <c r="D94" s="65" t="s">
        <v>2151</v>
      </c>
      <c r="E94" s="65"/>
      <c r="F94" s="65"/>
      <c r="G94" s="65"/>
      <c r="H94" s="65"/>
      <c r="I94" s="65"/>
      <c r="J94" s="65"/>
      <c r="K94" s="65"/>
      <c r="L94" s="40"/>
      <c r="M94" s="40"/>
      <c r="O94" s="83" t="s">
        <v>2766</v>
      </c>
      <c r="P94" s="1166" t="s">
        <v>3926</v>
      </c>
      <c r="Q94" s="234"/>
    </row>
    <row r="95" spans="1:17" ht="12" customHeight="1">
      <c r="B95" s="57"/>
      <c r="C95" s="83" t="s">
        <v>2767</v>
      </c>
      <c r="D95" s="65" t="s">
        <v>2152</v>
      </c>
      <c r="E95" s="65"/>
      <c r="F95" s="65"/>
      <c r="G95" s="65"/>
      <c r="H95" s="65"/>
      <c r="I95" s="65"/>
      <c r="J95" s="65"/>
      <c r="K95" s="65"/>
      <c r="L95" s="40"/>
      <c r="M95" s="40"/>
      <c r="O95" s="83" t="s">
        <v>2767</v>
      </c>
      <c r="P95" s="1166" t="s">
        <v>3926</v>
      </c>
      <c r="Q95" s="234"/>
    </row>
    <row r="96" spans="1:17" ht="11.25" customHeight="1">
      <c r="B96" s="191" t="s">
        <v>2921</v>
      </c>
      <c r="D96" s="191"/>
      <c r="E96" s="191"/>
      <c r="F96" s="191"/>
      <c r="G96" s="191"/>
      <c r="H96" s="50"/>
      <c r="I96" s="179"/>
      <c r="J96" s="179"/>
      <c r="K96" s="179"/>
      <c r="L96" s="738"/>
      <c r="M96" s="738"/>
      <c r="N96" s="738"/>
      <c r="O96" s="738"/>
      <c r="P96" s="738"/>
      <c r="Q96" s="63"/>
    </row>
    <row r="97" spans="1:31" ht="13.15" customHeight="1">
      <c r="A97" s="1152" t="s">
        <v>4008</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2923</v>
      </c>
      <c r="P103" s="989"/>
      <c r="Q103" s="990"/>
    </row>
    <row r="104" spans="1:31" ht="6.6" customHeight="1"/>
    <row r="105" spans="1:31" ht="12" customHeight="1">
      <c r="B105" s="57" t="s">
        <v>3060</v>
      </c>
      <c r="C105" s="65" t="s">
        <v>202</v>
      </c>
      <c r="D105" s="182"/>
      <c r="E105" s="182"/>
      <c r="F105" s="182"/>
      <c r="G105" s="182"/>
      <c r="H105" s="182"/>
      <c r="I105" s="52"/>
      <c r="J105" s="52"/>
      <c r="K105" s="52"/>
      <c r="L105" s="62" t="s">
        <v>3060</v>
      </c>
      <c r="M105" s="1224" t="s">
        <v>4009</v>
      </c>
      <c r="N105" s="1225"/>
      <c r="O105" s="1225"/>
      <c r="P105" s="1226"/>
      <c r="Q105" s="234"/>
    </row>
    <row r="106" spans="1:31" ht="12" customHeight="1">
      <c r="B106" s="57" t="s">
        <v>3063</v>
      </c>
      <c r="C106" s="65" t="s">
        <v>2292</v>
      </c>
      <c r="D106" s="182"/>
      <c r="E106" s="182"/>
      <c r="F106" s="182"/>
      <c r="G106" s="182"/>
      <c r="H106" s="182"/>
      <c r="I106" s="52"/>
      <c r="J106" s="52"/>
      <c r="K106" s="182"/>
      <c r="L106" s="182"/>
      <c r="M106" s="737"/>
      <c r="O106" s="62" t="s">
        <v>3063</v>
      </c>
      <c r="P106" s="1166" t="s">
        <v>3926</v>
      </c>
      <c r="Q106" s="351"/>
    </row>
    <row r="107" spans="1:31" ht="12" customHeight="1">
      <c r="B107" s="57" t="s">
        <v>1239</v>
      </c>
      <c r="C107" s="65" t="s">
        <v>205</v>
      </c>
      <c r="D107" s="182"/>
      <c r="E107" s="182"/>
      <c r="F107" s="182"/>
      <c r="G107" s="182"/>
      <c r="H107" s="182"/>
      <c r="I107" s="52"/>
      <c r="J107" s="52"/>
      <c r="K107" s="182"/>
      <c r="L107" s="737"/>
      <c r="M107" s="737"/>
      <c r="O107" s="62" t="s">
        <v>1239</v>
      </c>
      <c r="P107" s="1166" t="s">
        <v>3924</v>
      </c>
      <c r="Q107" s="234"/>
    </row>
    <row r="108" spans="1:31" ht="12" customHeight="1">
      <c r="B108" s="189"/>
      <c r="C108" s="65" t="s">
        <v>2842</v>
      </c>
      <c r="D108" s="52"/>
      <c r="E108" s="52"/>
      <c r="F108" s="52"/>
      <c r="G108" s="52"/>
      <c r="H108" s="65"/>
      <c r="I108" s="52"/>
      <c r="J108" s="52"/>
      <c r="K108" s="182"/>
      <c r="L108" s="737"/>
      <c r="M108" s="737"/>
      <c r="P108" s="1235"/>
      <c r="Q108" s="351"/>
    </row>
    <row r="109" spans="1:31" ht="12" customHeight="1">
      <c r="B109" s="189"/>
      <c r="C109" s="65" t="s">
        <v>2090</v>
      </c>
      <c r="D109" s="52"/>
      <c r="E109" s="52"/>
      <c r="F109" s="52"/>
      <c r="G109" s="52"/>
      <c r="H109" s="65"/>
      <c r="I109" s="52"/>
      <c r="J109" s="52"/>
      <c r="K109" s="182"/>
      <c r="L109" s="737"/>
      <c r="M109" s="737"/>
      <c r="N109" s="737"/>
      <c r="O109" s="737"/>
    </row>
    <row r="110" spans="1:31" ht="11.45" customHeight="1">
      <c r="B110" s="738"/>
      <c r="C110" s="1236" t="s">
        <v>4050</v>
      </c>
      <c r="D110" s="1237"/>
      <c r="E110" s="1237"/>
      <c r="F110" s="1237"/>
      <c r="G110" s="1237"/>
      <c r="H110" s="1237"/>
      <c r="I110" s="1237"/>
      <c r="J110" s="1237"/>
      <c r="K110" s="1237"/>
      <c r="L110" s="1237"/>
      <c r="M110" s="1237"/>
      <c r="N110" s="1237"/>
      <c r="O110" s="1238"/>
      <c r="P110" s="740"/>
      <c r="Q110" s="738"/>
    </row>
    <row r="111" spans="1:31" ht="12" customHeight="1">
      <c r="B111" s="57" t="s">
        <v>3212</v>
      </c>
      <c r="C111" s="65" t="s">
        <v>1945</v>
      </c>
      <c r="D111" s="182"/>
      <c r="E111" s="182"/>
      <c r="F111" s="182"/>
      <c r="G111" s="182"/>
      <c r="H111" s="182"/>
      <c r="I111" s="52"/>
      <c r="J111" s="52"/>
      <c r="K111" s="182"/>
      <c r="L111" s="737"/>
      <c r="M111" s="737"/>
      <c r="N111" s="737"/>
      <c r="O111" s="62" t="s">
        <v>3212</v>
      </c>
    </row>
    <row r="112" spans="1:31" ht="12" customHeight="1">
      <c r="B112" s="57"/>
      <c r="C112" s="83" t="s">
        <v>2765</v>
      </c>
      <c r="D112" s="65" t="s">
        <v>203</v>
      </c>
      <c r="E112" s="182"/>
      <c r="F112" s="182"/>
      <c r="G112" s="182"/>
      <c r="H112" s="182"/>
      <c r="I112" s="52"/>
      <c r="J112" s="52"/>
      <c r="K112" s="182"/>
      <c r="L112" s="737"/>
      <c r="M112" s="737"/>
      <c r="O112" s="83" t="s">
        <v>2765</v>
      </c>
      <c r="P112" s="1166" t="s">
        <v>3926</v>
      </c>
      <c r="Q112" s="234"/>
    </row>
    <row r="113" spans="1:17" ht="12" customHeight="1">
      <c r="B113" s="57"/>
      <c r="C113" s="83" t="s">
        <v>2766</v>
      </c>
      <c r="D113" s="65" t="s">
        <v>1946</v>
      </c>
      <c r="E113" s="182"/>
      <c r="F113" s="182"/>
      <c r="G113" s="182"/>
      <c r="H113" s="52"/>
      <c r="I113" s="52"/>
      <c r="J113" s="52"/>
      <c r="K113" s="182"/>
      <c r="L113" s="737"/>
      <c r="M113" s="737"/>
      <c r="O113" s="83" t="s">
        <v>2766</v>
      </c>
      <c r="P113" s="1235" t="s">
        <v>3926</v>
      </c>
      <c r="Q113" s="351"/>
    </row>
    <row r="114" spans="1:17" ht="12" customHeight="1">
      <c r="B114" s="57"/>
      <c r="C114" s="83"/>
      <c r="D114" s="65" t="s">
        <v>2970</v>
      </c>
      <c r="E114" s="52"/>
      <c r="F114" s="52"/>
      <c r="G114" s="52"/>
      <c r="H114" s="65"/>
      <c r="I114" s="52"/>
      <c r="J114" s="52"/>
      <c r="K114" s="182"/>
      <c r="L114" s="737"/>
      <c r="M114" s="737"/>
      <c r="O114" s="737"/>
      <c r="P114" s="1239"/>
      <c r="Q114" s="457"/>
    </row>
    <row r="115" spans="1:17" ht="12" customHeight="1">
      <c r="B115" s="57"/>
      <c r="C115" s="83"/>
      <c r="D115" s="65" t="s">
        <v>3663</v>
      </c>
      <c r="E115" s="52"/>
      <c r="F115" s="52"/>
      <c r="G115" s="52"/>
      <c r="H115" s="65"/>
      <c r="I115" s="52"/>
      <c r="J115" s="52"/>
      <c r="K115" s="182"/>
      <c r="L115" s="737"/>
      <c r="M115" s="737"/>
      <c r="O115" s="737"/>
      <c r="P115" s="1235"/>
      <c r="Q115" s="351"/>
    </row>
    <row r="116" spans="1:17" ht="12" customHeight="1">
      <c r="B116" s="57"/>
      <c r="C116" s="83"/>
      <c r="D116" s="65" t="s">
        <v>3244</v>
      </c>
      <c r="E116" s="52"/>
      <c r="F116" s="52"/>
      <c r="G116" s="52"/>
      <c r="H116" s="65"/>
      <c r="I116" s="52"/>
      <c r="J116" s="52"/>
      <c r="K116" s="182"/>
      <c r="L116" s="737"/>
      <c r="M116" s="737"/>
      <c r="O116" s="737"/>
      <c r="P116" s="1235"/>
      <c r="Q116" s="351"/>
    </row>
    <row r="117" spans="1:17" ht="12" customHeight="1">
      <c r="B117" s="57"/>
      <c r="C117" s="83" t="s">
        <v>2767</v>
      </c>
      <c r="D117" s="65" t="s">
        <v>1947</v>
      </c>
      <c r="E117" s="182"/>
      <c r="F117" s="182"/>
      <c r="G117" s="182"/>
      <c r="H117" s="65"/>
      <c r="I117" s="52"/>
      <c r="J117" s="52"/>
      <c r="K117" s="182"/>
      <c r="L117" s="737"/>
      <c r="M117" s="737"/>
      <c r="O117" s="83" t="s">
        <v>2767</v>
      </c>
      <c r="P117" s="1166" t="s">
        <v>3924</v>
      </c>
      <c r="Q117" s="234"/>
    </row>
    <row r="118" spans="1:17" ht="12" customHeight="1">
      <c r="B118" s="57"/>
      <c r="C118" s="83"/>
      <c r="D118" s="65" t="s">
        <v>1408</v>
      </c>
      <c r="E118" s="52"/>
      <c r="F118" s="52"/>
      <c r="G118" s="52"/>
      <c r="H118" s="65"/>
      <c r="I118" s="52"/>
      <c r="J118" s="52"/>
      <c r="K118" s="182"/>
      <c r="L118" s="737"/>
      <c r="M118" s="737"/>
      <c r="O118" s="737"/>
      <c r="P118" s="1240">
        <v>0.124</v>
      </c>
      <c r="Q118" s="352"/>
    </row>
    <row r="119" spans="1:17" ht="12" customHeight="1">
      <c r="B119" s="57"/>
      <c r="C119" s="83"/>
      <c r="D119" s="65" t="s">
        <v>3245</v>
      </c>
      <c r="E119" s="52"/>
      <c r="F119" s="52"/>
      <c r="G119" s="52"/>
      <c r="H119" s="65"/>
      <c r="I119" s="52"/>
      <c r="J119" s="52"/>
      <c r="K119" s="182"/>
      <c r="L119" s="737"/>
      <c r="M119" s="737"/>
      <c r="O119" s="737"/>
      <c r="P119" s="1235" t="s">
        <v>3926</v>
      </c>
      <c r="Q119" s="351"/>
    </row>
    <row r="120" spans="1:17" ht="12" customHeight="1">
      <c r="B120" s="57"/>
      <c r="C120" s="83"/>
      <c r="D120" s="65" t="s">
        <v>3244</v>
      </c>
      <c r="E120" s="52"/>
      <c r="F120" s="52"/>
      <c r="G120" s="52"/>
      <c r="H120" s="65"/>
      <c r="I120" s="52"/>
      <c r="J120" s="52"/>
      <c r="K120" s="182"/>
      <c r="L120" s="737"/>
      <c r="M120" s="737"/>
      <c r="O120" s="737"/>
      <c r="P120" s="1235" t="s">
        <v>3926</v>
      </c>
      <c r="Q120" s="351"/>
    </row>
    <row r="121" spans="1:17" ht="12" customHeight="1">
      <c r="B121" s="46"/>
      <c r="C121" s="83" t="s">
        <v>3571</v>
      </c>
      <c r="D121" s="65" t="s">
        <v>727</v>
      </c>
      <c r="E121" s="182"/>
      <c r="F121" s="182"/>
      <c r="G121" s="182"/>
      <c r="H121" s="182"/>
      <c r="I121" s="52"/>
      <c r="J121" s="52"/>
      <c r="K121" s="182"/>
      <c r="L121" s="737"/>
      <c r="M121" s="737"/>
      <c r="O121" s="83" t="s">
        <v>3571</v>
      </c>
      <c r="P121" s="1166"/>
      <c r="Q121" s="234"/>
    </row>
    <row r="122" spans="1:17" ht="12" customHeight="1">
      <c r="B122" s="57" t="s">
        <v>2763</v>
      </c>
      <c r="C122" s="196" t="s">
        <v>3658</v>
      </c>
      <c r="D122" s="182"/>
      <c r="E122" s="182"/>
      <c r="F122" s="182"/>
      <c r="G122" s="182"/>
      <c r="H122" s="182"/>
      <c r="I122" s="52"/>
      <c r="J122" s="52"/>
      <c r="K122" s="182"/>
      <c r="L122" s="737"/>
      <c r="M122" s="737"/>
      <c r="N122" s="737"/>
      <c r="O122" s="62" t="s">
        <v>2763</v>
      </c>
      <c r="P122" s="1166"/>
      <c r="Q122" s="234"/>
    </row>
    <row r="123" spans="1:17" ht="12" customHeight="1">
      <c r="B123" s="57"/>
      <c r="C123" s="83" t="s">
        <v>2765</v>
      </c>
      <c r="D123" s="65" t="s">
        <v>3659</v>
      </c>
      <c r="E123" s="182"/>
      <c r="F123" s="1166" t="s">
        <v>3926</v>
      </c>
      <c r="G123" s="234"/>
      <c r="H123" s="83" t="s">
        <v>2767</v>
      </c>
      <c r="I123" s="65" t="s">
        <v>2306</v>
      </c>
      <c r="J123" s="1166" t="s">
        <v>3926</v>
      </c>
      <c r="K123" s="234"/>
      <c r="L123" s="83" t="s">
        <v>2304</v>
      </c>
      <c r="M123" s="65" t="s">
        <v>3621</v>
      </c>
      <c r="N123" s="1166" t="s">
        <v>3926</v>
      </c>
      <c r="O123" s="234"/>
    </row>
    <row r="124" spans="1:17" ht="12" customHeight="1">
      <c r="B124" s="46"/>
      <c r="C124" s="83" t="s">
        <v>2766</v>
      </c>
      <c r="D124" s="65" t="s">
        <v>3775</v>
      </c>
      <c r="E124" s="182"/>
      <c r="F124" s="1166" t="s">
        <v>3926</v>
      </c>
      <c r="G124" s="234"/>
      <c r="H124" s="83" t="s">
        <v>3571</v>
      </c>
      <c r="I124" s="65" t="s">
        <v>2307</v>
      </c>
      <c r="J124" s="1166" t="s">
        <v>3926</v>
      </c>
      <c r="K124" s="234"/>
      <c r="L124" s="83" t="s">
        <v>2305</v>
      </c>
      <c r="M124" s="65" t="s">
        <v>2308</v>
      </c>
      <c r="N124" s="1166" t="s">
        <v>3926</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7"/>
      <c r="O126" s="62" t="s">
        <v>2764</v>
      </c>
      <c r="P126" s="1166" t="s">
        <v>1581</v>
      </c>
      <c r="Q126" s="234"/>
    </row>
    <row r="127" spans="1:17" ht="12" customHeight="1">
      <c r="A127" s="194"/>
      <c r="B127" s="52"/>
      <c r="C127" s="83" t="s">
        <v>2765</v>
      </c>
      <c r="D127" s="65" t="s">
        <v>1080</v>
      </c>
      <c r="E127" s="182"/>
      <c r="F127" s="182"/>
      <c r="G127" s="182"/>
      <c r="H127" s="182"/>
      <c r="O127" s="83" t="s">
        <v>2765</v>
      </c>
      <c r="P127" s="1166"/>
      <c r="Q127" s="234"/>
    </row>
    <row r="128" spans="1:17" ht="12" customHeight="1">
      <c r="A128" s="194"/>
      <c r="B128" s="179"/>
      <c r="C128" s="83" t="s">
        <v>2766</v>
      </c>
      <c r="D128" s="65" t="s">
        <v>726</v>
      </c>
      <c r="E128" s="65"/>
      <c r="F128" s="65"/>
      <c r="G128" s="65"/>
      <c r="H128" s="65"/>
      <c r="I128" s="52"/>
      <c r="J128" s="52"/>
      <c r="K128" s="65"/>
      <c r="L128" s="65"/>
      <c r="M128" s="65"/>
      <c r="O128" s="83" t="s">
        <v>2766</v>
      </c>
      <c r="P128" s="1166"/>
      <c r="Q128" s="234"/>
    </row>
    <row r="129" spans="1:31" ht="12" customHeight="1">
      <c r="A129" s="194"/>
      <c r="B129" s="179"/>
      <c r="C129" s="83" t="s">
        <v>2767</v>
      </c>
      <c r="D129" s="65" t="s">
        <v>1032</v>
      </c>
      <c r="E129" s="65"/>
      <c r="F129" s="65"/>
      <c r="G129" s="65"/>
      <c r="H129" s="65"/>
      <c r="I129" s="52"/>
      <c r="J129" s="52"/>
      <c r="K129" s="65"/>
      <c r="L129" s="65"/>
      <c r="M129" s="65"/>
      <c r="O129" s="83" t="s">
        <v>2767</v>
      </c>
      <c r="P129" s="1166"/>
      <c r="Q129" s="234"/>
    </row>
    <row r="130" spans="1:31" ht="12" customHeight="1">
      <c r="B130" s="57" t="s">
        <v>3020</v>
      </c>
      <c r="C130" s="65" t="s">
        <v>2782</v>
      </c>
      <c r="D130" s="182"/>
      <c r="E130" s="182"/>
      <c r="F130" s="182"/>
      <c r="G130" s="182"/>
      <c r="H130" s="182"/>
      <c r="I130" s="52"/>
      <c r="J130" s="52"/>
      <c r="K130" s="182"/>
      <c r="L130" s="182"/>
      <c r="M130" s="737"/>
      <c r="O130" s="62" t="s">
        <v>3020</v>
      </c>
      <c r="P130" s="1166"/>
      <c r="Q130" s="234"/>
    </row>
    <row r="131" spans="1:31" ht="4.9000000000000004" customHeight="1"/>
    <row r="132" spans="1:31" ht="11.25" customHeight="1">
      <c r="B132" s="191" t="s">
        <v>2921</v>
      </c>
      <c r="D132" s="191"/>
      <c r="E132" s="191"/>
      <c r="F132" s="191"/>
      <c r="G132" s="191"/>
      <c r="H132" s="50"/>
      <c r="I132" s="179"/>
      <c r="J132" s="179"/>
      <c r="K132" s="179"/>
      <c r="L132" s="738"/>
      <c r="M132" s="738"/>
      <c r="N132" s="738"/>
      <c r="O132" s="738"/>
      <c r="P132" s="738"/>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29" t="s">
        <v>1933</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1933</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1601</v>
      </c>
      <c r="C141" s="742"/>
      <c r="D141" s="740"/>
      <c r="E141" s="740"/>
      <c r="F141" s="740"/>
      <c r="G141" s="740"/>
      <c r="H141" s="740"/>
      <c r="I141" s="740"/>
      <c r="J141" s="740"/>
      <c r="K141" s="740"/>
      <c r="O141" s="180" t="s">
        <v>2923</v>
      </c>
      <c r="P141" s="989"/>
      <c r="Q141" s="990"/>
    </row>
    <row r="142" spans="1:31" ht="10.9" customHeight="1">
      <c r="B142" s="57" t="s">
        <v>3060</v>
      </c>
      <c r="C142" s="65" t="s">
        <v>3120</v>
      </c>
      <c r="D142" s="65"/>
      <c r="E142" s="65"/>
      <c r="F142" s="65"/>
      <c r="G142" s="65"/>
      <c r="H142" s="65"/>
      <c r="N142" s="65"/>
      <c r="O142" s="62" t="s">
        <v>3060</v>
      </c>
      <c r="P142" s="1166" t="s">
        <v>3924</v>
      </c>
      <c r="Q142" s="234"/>
    </row>
    <row r="143" spans="1:31" ht="12" customHeight="1">
      <c r="A143" s="189"/>
      <c r="B143" s="57" t="s">
        <v>3063</v>
      </c>
      <c r="C143" s="190" t="s">
        <v>204</v>
      </c>
      <c r="D143" s="190"/>
      <c r="E143" s="190"/>
      <c r="F143" s="190"/>
      <c r="G143" s="190"/>
      <c r="H143" s="190"/>
      <c r="M143" s="62" t="s">
        <v>3063</v>
      </c>
      <c r="N143" s="1241" t="s">
        <v>3978</v>
      </c>
      <c r="O143" s="1242"/>
      <c r="P143" s="1033"/>
      <c r="Q143" s="1034"/>
    </row>
    <row r="144" spans="1:31" ht="12" customHeight="1">
      <c r="A144" s="189"/>
      <c r="B144" s="57" t="s">
        <v>1239</v>
      </c>
      <c r="C144" s="190" t="s">
        <v>1033</v>
      </c>
      <c r="D144" s="190"/>
      <c r="E144" s="190"/>
      <c r="F144" s="190"/>
      <c r="G144" s="190"/>
      <c r="H144" s="190"/>
      <c r="J144" s="62" t="s">
        <v>1239</v>
      </c>
      <c r="K144" s="1243" t="s">
        <v>3979</v>
      </c>
      <c r="L144" s="1244"/>
      <c r="M144" s="1244"/>
      <c r="N144" s="1244"/>
      <c r="O144" s="1245"/>
      <c r="P144" s="1166" t="s">
        <v>3924</v>
      </c>
      <c r="Q144" s="234"/>
    </row>
    <row r="145" spans="1:31" ht="12" customHeight="1">
      <c r="B145" s="191" t="s">
        <v>2921</v>
      </c>
      <c r="D145" s="191"/>
      <c r="E145" s="191"/>
      <c r="F145" s="191"/>
      <c r="G145" s="191"/>
      <c r="H145" s="50"/>
      <c r="I145" s="179"/>
      <c r="J145" s="179"/>
      <c r="K145" s="179"/>
      <c r="L145" s="738"/>
      <c r="M145" s="738"/>
      <c r="N145" s="738"/>
      <c r="O145" s="738"/>
      <c r="P145" s="738"/>
      <c r="Q145" s="63"/>
    </row>
    <row r="146" spans="1:31" ht="11.45" customHeight="1">
      <c r="A146" s="1152" t="s">
        <v>4040</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683</v>
      </c>
      <c r="C152" s="742"/>
      <c r="D152" s="740"/>
      <c r="E152" s="740"/>
      <c r="F152" s="740"/>
      <c r="G152" s="740"/>
      <c r="H152" s="740"/>
      <c r="I152" s="740"/>
      <c r="J152" s="740"/>
      <c r="K152" s="740"/>
      <c r="L152" s="740"/>
      <c r="M152" s="740"/>
      <c r="O152" s="180" t="s">
        <v>2923</v>
      </c>
      <c r="P152" s="989"/>
      <c r="Q152" s="990"/>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3924</v>
      </c>
      <c r="Q153" s="234"/>
    </row>
    <row r="154" spans="1:31" ht="22.15" customHeight="1">
      <c r="B154" s="192" t="s">
        <v>3063</v>
      </c>
      <c r="C154" s="1002" t="s">
        <v>3791</v>
      </c>
      <c r="D154" s="1002"/>
      <c r="E154" s="1002"/>
      <c r="F154" s="1002"/>
      <c r="G154" s="1002"/>
      <c r="H154" s="1002"/>
      <c r="I154" s="1002"/>
      <c r="J154" s="1002"/>
      <c r="K154" s="1002"/>
      <c r="L154" s="1002"/>
      <c r="M154" s="1002"/>
      <c r="N154" s="1002"/>
      <c r="O154" s="221" t="s">
        <v>3063</v>
      </c>
      <c r="P154" s="1166"/>
      <c r="Q154" s="234"/>
    </row>
    <row r="155" spans="1:31" ht="12" customHeight="1">
      <c r="B155" s="191" t="s">
        <v>2921</v>
      </c>
      <c r="D155" s="191"/>
      <c r="E155" s="191"/>
      <c r="F155" s="191"/>
      <c r="G155" s="191"/>
      <c r="H155" s="50"/>
      <c r="I155" s="179"/>
      <c r="J155" s="179"/>
      <c r="K155" s="179"/>
      <c r="L155" s="738"/>
      <c r="M155" s="738"/>
      <c r="N155" s="738"/>
      <c r="O155" s="738"/>
      <c r="P155" s="738"/>
      <c r="Q155" s="63"/>
    </row>
    <row r="156" spans="1:31" ht="11.45" customHeight="1">
      <c r="A156" s="1152" t="s">
        <v>4035</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2923</v>
      </c>
      <c r="P162" s="989"/>
      <c r="Q162" s="990"/>
    </row>
    <row r="163" spans="1:31" ht="12" customHeight="1">
      <c r="B163" s="192" t="s">
        <v>3060</v>
      </c>
      <c r="C163" s="197" t="s">
        <v>697</v>
      </c>
      <c r="D163" s="197"/>
      <c r="E163" s="197"/>
      <c r="F163" s="197"/>
      <c r="G163" s="197"/>
      <c r="H163" s="197"/>
      <c r="I163" s="197"/>
      <c r="J163" s="197"/>
      <c r="K163" s="197"/>
      <c r="L163" s="197"/>
      <c r="M163" s="197"/>
      <c r="O163" s="221" t="s">
        <v>3060</v>
      </c>
      <c r="P163" s="1166" t="s">
        <v>3924</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3924</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3924</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3924</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3924</v>
      </c>
      <c r="Q167" s="234"/>
    </row>
    <row r="168" spans="1:31" ht="12" customHeight="1">
      <c r="B168" s="191" t="s">
        <v>2921</v>
      </c>
      <c r="D168" s="191"/>
      <c r="E168" s="191"/>
      <c r="F168" s="191"/>
      <c r="G168" s="191"/>
      <c r="H168" s="50"/>
      <c r="I168" s="179"/>
      <c r="J168" s="179"/>
      <c r="K168" s="179"/>
      <c r="L168" s="738"/>
      <c r="M168" s="738"/>
      <c r="N168" s="738"/>
      <c r="O168" s="738"/>
      <c r="P168" s="738"/>
      <c r="Q168" s="63"/>
    </row>
    <row r="169" spans="1:31" ht="36" customHeight="1">
      <c r="A169" s="1152" t="s">
        <v>4010</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2923</v>
      </c>
      <c r="P175" s="989"/>
      <c r="Q175" s="990"/>
    </row>
    <row r="176" spans="1:31" ht="12" customHeight="1">
      <c r="A176" s="189"/>
      <c r="B176" s="57" t="s">
        <v>3060</v>
      </c>
      <c r="C176" s="1002" t="s">
        <v>110</v>
      </c>
      <c r="D176" s="1002"/>
      <c r="E176" s="1002"/>
      <c r="F176" s="1002"/>
      <c r="G176" s="1002"/>
      <c r="H176" s="83" t="s">
        <v>2765</v>
      </c>
      <c r="I176" s="65" t="s">
        <v>206</v>
      </c>
      <c r="J176" s="1224" t="s">
        <v>2890</v>
      </c>
      <c r="K176" s="1225"/>
      <c r="L176" s="1225"/>
      <c r="M176" s="1225"/>
      <c r="N176" s="1226"/>
      <c r="O176" s="83" t="s">
        <v>2765</v>
      </c>
      <c r="P176" s="1166"/>
      <c r="Q176" s="234"/>
    </row>
    <row r="177" spans="1:31" ht="12" customHeight="1">
      <c r="A177" s="189"/>
      <c r="B177" s="179"/>
      <c r="C177" s="141"/>
      <c r="D177" s="141"/>
      <c r="E177" s="141"/>
      <c r="F177" s="141"/>
      <c r="H177" s="83" t="s">
        <v>2766</v>
      </c>
      <c r="I177" s="65" t="s">
        <v>2358</v>
      </c>
      <c r="J177" s="1224" t="s">
        <v>3999</v>
      </c>
      <c r="K177" s="1225"/>
      <c r="L177" s="1225"/>
      <c r="M177" s="1225"/>
      <c r="N177" s="1226"/>
      <c r="O177" s="83" t="s">
        <v>2766</v>
      </c>
      <c r="P177" s="1166" t="s">
        <v>3924</v>
      </c>
      <c r="Q177" s="234"/>
    </row>
    <row r="178" spans="1:31" ht="12" customHeight="1">
      <c r="B178" s="191" t="s">
        <v>2921</v>
      </c>
      <c r="D178" s="191"/>
      <c r="E178" s="191"/>
      <c r="F178" s="191"/>
      <c r="G178" s="191"/>
      <c r="J178" s="179"/>
      <c r="K178" s="179"/>
      <c r="L178" s="738"/>
      <c r="M178" s="738"/>
      <c r="N178" s="738"/>
      <c r="O178" s="738"/>
      <c r="P178" s="738"/>
      <c r="Q178" s="63"/>
    </row>
    <row r="179" spans="1:31" ht="11.45" customHeight="1">
      <c r="A179" s="1159" t="s">
        <v>4041</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3702</v>
      </c>
      <c r="C183" s="5"/>
      <c r="D183" s="118"/>
      <c r="E183" s="118"/>
      <c r="F183" s="118"/>
      <c r="G183" s="740"/>
      <c r="H183" s="740"/>
      <c r="I183" s="740"/>
      <c r="J183" s="740"/>
      <c r="K183" s="740"/>
      <c r="L183" s="740"/>
      <c r="M183" s="740"/>
      <c r="O183" s="180" t="s">
        <v>2923</v>
      </c>
      <c r="P183" s="989"/>
      <c r="Q183" s="990"/>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3926</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1002" t="s">
        <v>2903</v>
      </c>
      <c r="D187" s="1002"/>
      <c r="E187" s="1002"/>
      <c r="F187" s="1002"/>
      <c r="G187" s="1002"/>
      <c r="H187" s="83" t="s">
        <v>2765</v>
      </c>
      <c r="I187" s="65" t="s">
        <v>972</v>
      </c>
      <c r="J187" s="1224" t="s">
        <v>4000</v>
      </c>
      <c r="K187" s="1225"/>
      <c r="L187" s="1225"/>
      <c r="M187" s="1225"/>
      <c r="N187" s="1226"/>
      <c r="O187" s="83" t="s">
        <v>2171</v>
      </c>
      <c r="P187" s="1166" t="s">
        <v>3924</v>
      </c>
      <c r="Q187" s="234"/>
    </row>
    <row r="188" spans="1:31" ht="11.45" customHeight="1">
      <c r="A188" s="189"/>
      <c r="B188" s="746"/>
      <c r="C188" s="1002"/>
      <c r="D188" s="1002"/>
      <c r="E188" s="1002"/>
      <c r="F188" s="1002"/>
      <c r="G188" s="1002"/>
      <c r="H188" s="83" t="s">
        <v>2766</v>
      </c>
      <c r="I188" s="65" t="s">
        <v>131</v>
      </c>
      <c r="J188" s="1224" t="s">
        <v>4000</v>
      </c>
      <c r="K188" s="1225"/>
      <c r="L188" s="1225"/>
      <c r="M188" s="1225"/>
      <c r="N188" s="1226"/>
      <c r="O188" s="83" t="s">
        <v>2766</v>
      </c>
      <c r="P188" s="1166" t="s">
        <v>3924</v>
      </c>
      <c r="Q188" s="234"/>
    </row>
    <row r="189" spans="1:31" ht="11.25" customHeight="1">
      <c r="B189" s="191" t="s">
        <v>2921</v>
      </c>
      <c r="D189" s="191"/>
      <c r="E189" s="191"/>
      <c r="F189" s="191"/>
      <c r="G189" s="191"/>
      <c r="H189" s="50"/>
      <c r="I189" s="179"/>
      <c r="J189" s="179"/>
      <c r="K189" s="179"/>
      <c r="L189" s="738"/>
      <c r="M189" s="738"/>
      <c r="N189" s="738"/>
      <c r="O189" s="738"/>
      <c r="P189" s="738"/>
      <c r="Q189" s="63"/>
    </row>
    <row r="190" spans="1:31" ht="11.45" customHeight="1">
      <c r="A190" s="1159" t="s">
        <v>4042</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2923</v>
      </c>
      <c r="P194" s="989"/>
      <c r="Q194" s="990"/>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3924</v>
      </c>
      <c r="Q196" s="234"/>
    </row>
    <row r="197" spans="1:31" ht="11.45" customHeight="1">
      <c r="B197" s="57" t="s">
        <v>3063</v>
      </c>
      <c r="C197" s="65" t="s">
        <v>194</v>
      </c>
      <c r="D197" s="65"/>
      <c r="E197" s="65"/>
      <c r="F197" s="65"/>
      <c r="G197" s="65"/>
      <c r="H197" s="65"/>
      <c r="I197" s="52"/>
      <c r="J197" s="52"/>
      <c r="K197" s="52"/>
      <c r="L197" s="190"/>
      <c r="M197" s="190"/>
      <c r="O197" s="221" t="s">
        <v>3063</v>
      </c>
      <c r="P197" s="1166" t="s">
        <v>3924</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3924</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3924</v>
      </c>
      <c r="Q199" s="234"/>
    </row>
    <row r="200" spans="1:31" ht="11.25" customHeight="1">
      <c r="B200" s="191" t="s">
        <v>2921</v>
      </c>
      <c r="D200" s="191"/>
      <c r="E200" s="191"/>
      <c r="F200" s="191"/>
      <c r="G200" s="191"/>
      <c r="H200" s="50"/>
      <c r="I200" s="179"/>
      <c r="J200" s="179"/>
      <c r="K200" s="179"/>
      <c r="L200" s="738"/>
      <c r="M200" s="738"/>
      <c r="N200" s="738"/>
      <c r="O200" s="738"/>
      <c r="P200" s="738"/>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29" t="s">
        <v>1933</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681</v>
      </c>
      <c r="C208" s="153"/>
      <c r="D208" s="740"/>
      <c r="E208" s="740"/>
      <c r="F208" s="740"/>
      <c r="G208" s="740"/>
      <c r="H208" s="740"/>
      <c r="I208" s="740"/>
      <c r="J208" s="740"/>
      <c r="K208" s="740"/>
      <c r="L208" s="740"/>
      <c r="M208" s="740"/>
      <c r="O208" s="180" t="s">
        <v>2923</v>
      </c>
      <c r="P208" s="989"/>
      <c r="Q208" s="990"/>
    </row>
    <row r="209" spans="1:19" s="31" customFormat="1" ht="11.45" customHeight="1">
      <c r="B209" s="195" t="s">
        <v>1839</v>
      </c>
      <c r="N209" s="165"/>
      <c r="P209" s="1166" t="s">
        <v>3926</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826</v>
      </c>
      <c r="N211" s="1225"/>
      <c r="O211" s="1226"/>
      <c r="P211" s="1166" t="s">
        <v>3975</v>
      </c>
      <c r="Q211" s="234"/>
    </row>
    <row r="212" spans="1:19" ht="11.45" customHeight="1">
      <c r="B212" s="57"/>
      <c r="C212" s="83" t="s">
        <v>2766</v>
      </c>
      <c r="D212" s="40" t="s">
        <v>198</v>
      </c>
      <c r="E212" s="40"/>
      <c r="F212" s="40"/>
      <c r="G212" s="40"/>
      <c r="H212" s="40"/>
      <c r="I212" s="52"/>
      <c r="J212" s="52"/>
      <c r="K212" s="52"/>
      <c r="L212" s="83" t="s">
        <v>2232</v>
      </c>
      <c r="M212" s="1224" t="s">
        <v>3976</v>
      </c>
      <c r="N212" s="1225"/>
      <c r="O212" s="1226"/>
      <c r="P212" s="1166" t="s">
        <v>3975</v>
      </c>
      <c r="Q212" s="234"/>
    </row>
    <row r="213" spans="1:19" ht="11.45" customHeight="1">
      <c r="B213" s="57"/>
      <c r="C213" s="83" t="s">
        <v>2767</v>
      </c>
      <c r="D213" s="40" t="s">
        <v>856</v>
      </c>
      <c r="E213" s="40"/>
      <c r="F213" s="40"/>
      <c r="G213" s="40"/>
      <c r="H213" s="40"/>
      <c r="I213" s="52"/>
      <c r="J213" s="52"/>
      <c r="K213" s="52"/>
      <c r="L213" s="83" t="s">
        <v>2233</v>
      </c>
      <c r="M213" s="1246" t="s">
        <v>3980</v>
      </c>
      <c r="N213" s="1247"/>
      <c r="O213" s="1248"/>
      <c r="P213" s="1166" t="s">
        <v>3975</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3975</v>
      </c>
      <c r="Q215" s="234"/>
    </row>
    <row r="216" spans="1:19" ht="10.9" customHeight="1">
      <c r="B216" s="57"/>
      <c r="C216" s="65" t="s">
        <v>3792</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2644</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3977</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3975</v>
      </c>
      <c r="Q221" s="234"/>
    </row>
    <row r="222" spans="1:19" ht="11.45" customHeight="1">
      <c r="B222" s="57"/>
      <c r="C222" s="83" t="s">
        <v>2765</v>
      </c>
      <c r="D222" s="65" t="s">
        <v>207</v>
      </c>
      <c r="E222" s="65"/>
      <c r="F222" s="65"/>
      <c r="G222" s="65"/>
      <c r="H222" s="65"/>
      <c r="I222" s="52"/>
      <c r="J222" s="42"/>
      <c r="K222" s="52"/>
      <c r="L222" s="42"/>
      <c r="M222" s="42"/>
      <c r="O222" s="83" t="s">
        <v>2765</v>
      </c>
      <c r="P222" s="1166" t="s">
        <v>3924</v>
      </c>
      <c r="Q222" s="234"/>
    </row>
    <row r="223" spans="1:19" ht="11.45" customHeight="1">
      <c r="C223" s="83" t="s">
        <v>2766</v>
      </c>
      <c r="D223" s="40" t="s">
        <v>2648</v>
      </c>
      <c r="E223" s="40"/>
      <c r="F223" s="40"/>
      <c r="G223" s="40"/>
      <c r="H223" s="40"/>
      <c r="I223" s="52"/>
      <c r="J223" s="42"/>
      <c r="K223" s="52"/>
      <c r="L223" s="42"/>
      <c r="M223" s="42"/>
      <c r="O223" s="83" t="s">
        <v>2766</v>
      </c>
      <c r="P223" s="1166" t="s">
        <v>3924</v>
      </c>
      <c r="Q223" s="234"/>
    </row>
    <row r="224" spans="1:19" ht="11.45" customHeight="1">
      <c r="C224" s="83" t="s">
        <v>2767</v>
      </c>
      <c r="D224" s="40" t="s">
        <v>2257</v>
      </c>
      <c r="E224" s="40"/>
      <c r="F224" s="40"/>
      <c r="G224" s="40"/>
      <c r="H224" s="40"/>
      <c r="I224" s="52"/>
      <c r="J224" s="42"/>
      <c r="K224" s="52"/>
      <c r="L224" s="42"/>
      <c r="M224" s="42"/>
      <c r="O224" s="83" t="s">
        <v>2767</v>
      </c>
      <c r="P224" s="1166" t="s">
        <v>3924</v>
      </c>
      <c r="Q224" s="234"/>
    </row>
    <row r="225" spans="1:31" ht="11.45" customHeight="1">
      <c r="B225" s="57"/>
      <c r="C225" s="83" t="s">
        <v>3571</v>
      </c>
      <c r="D225" s="40" t="s">
        <v>208</v>
      </c>
      <c r="E225" s="40"/>
      <c r="F225" s="40"/>
      <c r="G225" s="40"/>
      <c r="H225" s="40"/>
      <c r="I225" s="52"/>
      <c r="J225" s="42"/>
      <c r="K225" s="52"/>
      <c r="L225" s="42"/>
      <c r="M225" s="42"/>
      <c r="O225" s="83" t="s">
        <v>3571</v>
      </c>
      <c r="P225" s="1166" t="s">
        <v>3924</v>
      </c>
      <c r="Q225" s="234"/>
    </row>
    <row r="226" spans="1:31" ht="11.45" customHeight="1">
      <c r="B226" s="57"/>
      <c r="C226" s="83" t="s">
        <v>2304</v>
      </c>
      <c r="D226" s="65" t="s">
        <v>1352</v>
      </c>
      <c r="E226" s="65"/>
      <c r="F226" s="65"/>
      <c r="G226" s="65"/>
      <c r="H226" s="65"/>
      <c r="I226" s="52"/>
      <c r="J226" s="42"/>
      <c r="K226" s="52"/>
      <c r="L226" s="42"/>
      <c r="M226" s="42"/>
      <c r="O226" s="83" t="s">
        <v>1353</v>
      </c>
      <c r="P226" s="1166" t="s">
        <v>3924</v>
      </c>
      <c r="Q226" s="234"/>
    </row>
    <row r="227" spans="1:31" ht="11.45" customHeight="1">
      <c r="B227" s="57"/>
      <c r="C227" s="83"/>
      <c r="D227" s="65" t="s">
        <v>2234</v>
      </c>
      <c r="E227" s="65"/>
      <c r="F227" s="65"/>
      <c r="G227" s="65"/>
      <c r="H227" s="65"/>
      <c r="I227" s="52"/>
      <c r="J227" s="42"/>
      <c r="K227" s="52"/>
      <c r="L227" s="42"/>
      <c r="M227" s="42"/>
      <c r="O227" s="83" t="s">
        <v>1354</v>
      </c>
      <c r="P227" s="1166"/>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t="s">
        <v>3975</v>
      </c>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t="s">
        <v>3924</v>
      </c>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8"/>
      <c r="M234" s="738"/>
      <c r="N234" s="738"/>
      <c r="O234" s="738"/>
      <c r="P234" s="738"/>
      <c r="Q234" s="63"/>
    </row>
    <row r="235" spans="1:31" ht="24.75" customHeight="1">
      <c r="A235" s="1152" t="s">
        <v>4043</v>
      </c>
      <c r="B235" s="1153"/>
      <c r="C235" s="1153"/>
      <c r="D235" s="1153"/>
      <c r="E235" s="1153"/>
      <c r="F235" s="1153"/>
      <c r="G235" s="1153"/>
      <c r="H235" s="1153"/>
      <c r="I235" s="1153"/>
      <c r="J235" s="1153"/>
      <c r="K235" s="1153"/>
      <c r="L235" s="1153"/>
      <c r="M235" s="1153"/>
      <c r="N235" s="1153"/>
      <c r="O235" s="1153"/>
      <c r="P235" s="1153"/>
      <c r="Q235" s="1154"/>
      <c r="R235" s="1029" t="s">
        <v>1933</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3121</v>
      </c>
      <c r="C241" s="5"/>
      <c r="D241" s="118"/>
      <c r="E241" s="118"/>
      <c r="F241" s="118"/>
      <c r="G241" s="118"/>
      <c r="H241" s="740"/>
      <c r="I241" s="740"/>
      <c r="J241" s="740"/>
      <c r="K241" s="740"/>
      <c r="L241" s="740"/>
      <c r="M241" s="740"/>
      <c r="O241" s="180" t="s">
        <v>2923</v>
      </c>
      <c r="P241" s="989"/>
      <c r="Q241" s="990"/>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35" t="s">
        <v>2801</v>
      </c>
      <c r="Q243" s="1036"/>
    </row>
    <row r="244" spans="1:31" ht="11.45" customHeight="1">
      <c r="B244" s="57" t="s">
        <v>3063</v>
      </c>
      <c r="C244" s="65" t="s">
        <v>1922</v>
      </c>
      <c r="D244" s="65"/>
      <c r="E244" s="65"/>
      <c r="F244" s="65"/>
      <c r="G244" s="65"/>
      <c r="H244" s="65"/>
      <c r="I244" s="52"/>
      <c r="J244" s="52"/>
      <c r="K244" s="52"/>
      <c r="L244" s="62" t="s">
        <v>3063</v>
      </c>
      <c r="M244" s="1249"/>
      <c r="N244" s="1250"/>
      <c r="O244" s="1251"/>
      <c r="P244" s="1037"/>
      <c r="Q244" s="1038"/>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35"/>
      <c r="Q245" s="1036"/>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31" t="s">
        <v>1970</v>
      </c>
      <c r="D247" s="1031"/>
      <c r="E247" s="1031"/>
      <c r="F247" s="1031"/>
      <c r="G247" s="1031"/>
      <c r="H247" s="1031"/>
      <c r="I247" s="1031"/>
      <c r="J247" s="1031"/>
      <c r="K247" s="1031"/>
      <c r="L247" s="1031"/>
      <c r="M247" s="1031"/>
      <c r="O247" s="221" t="s">
        <v>2763</v>
      </c>
      <c r="P247" s="1166"/>
      <c r="Q247" s="234"/>
    </row>
    <row r="248" spans="1:31" ht="11.25" customHeight="1">
      <c r="B248" s="191" t="s">
        <v>2921</v>
      </c>
      <c r="D248" s="191"/>
      <c r="E248" s="191"/>
      <c r="F248" s="191"/>
      <c r="G248" s="191"/>
      <c r="H248" s="50"/>
      <c r="I248" s="179"/>
      <c r="J248" s="179"/>
      <c r="K248" s="179"/>
      <c r="L248" s="738"/>
      <c r="M248" s="738"/>
      <c r="N248" s="738"/>
      <c r="O248" s="738"/>
      <c r="P248" s="738"/>
      <c r="Q248" s="63"/>
    </row>
    <row r="249" spans="1:31" ht="13.15" customHeight="1">
      <c r="A249" s="1152" t="s">
        <v>4011</v>
      </c>
      <c r="B249" s="1153"/>
      <c r="C249" s="1153"/>
      <c r="D249" s="1153"/>
      <c r="E249" s="1153"/>
      <c r="F249" s="1153"/>
      <c r="G249" s="1153"/>
      <c r="H249" s="1153"/>
      <c r="I249" s="1153"/>
      <c r="J249" s="1153"/>
      <c r="K249" s="1153"/>
      <c r="L249" s="1153"/>
      <c r="M249" s="1153"/>
      <c r="N249" s="1153"/>
      <c r="O249" s="1153"/>
      <c r="P249" s="1153"/>
      <c r="Q249" s="1154"/>
      <c r="R249" s="1029" t="s">
        <v>1933</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2819</v>
      </c>
      <c r="C255" s="5"/>
      <c r="D255" s="118"/>
      <c r="E255" s="118"/>
      <c r="F255" s="118"/>
      <c r="G255" s="118"/>
      <c r="H255" s="740"/>
      <c r="I255" s="740"/>
      <c r="J255" s="740"/>
      <c r="K255" s="740"/>
      <c r="L255" s="740"/>
      <c r="M255" s="740"/>
      <c r="O255" s="180" t="s">
        <v>2923</v>
      </c>
      <c r="P255" s="989"/>
      <c r="Q255" s="990"/>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3924</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3924</v>
      </c>
      <c r="Q258" s="234"/>
    </row>
    <row r="259" spans="1:31" ht="11.25" customHeight="1">
      <c r="B259" s="191" t="s">
        <v>2921</v>
      </c>
      <c r="D259" s="191"/>
      <c r="E259" s="191"/>
      <c r="F259" s="191"/>
      <c r="G259" s="191"/>
      <c r="H259" s="50"/>
      <c r="I259" s="179"/>
      <c r="J259" s="179"/>
      <c r="K259" s="179"/>
      <c r="L259" s="738"/>
      <c r="M259" s="738"/>
      <c r="N259" s="738"/>
      <c r="O259" s="738"/>
      <c r="P259" s="738"/>
      <c r="Q259" s="63"/>
    </row>
    <row r="260" spans="1:31" ht="26.25" customHeight="1">
      <c r="A260" s="1152" t="s">
        <v>4012</v>
      </c>
      <c r="B260" s="1153"/>
      <c r="C260" s="1153"/>
      <c r="D260" s="1153"/>
      <c r="E260" s="1153"/>
      <c r="F260" s="1153"/>
      <c r="G260" s="1153"/>
      <c r="H260" s="1153"/>
      <c r="I260" s="1153"/>
      <c r="J260" s="1153"/>
      <c r="K260" s="1153"/>
      <c r="L260" s="1153"/>
      <c r="M260" s="1153"/>
      <c r="N260" s="1153"/>
      <c r="O260" s="1153"/>
      <c r="P260" s="1153"/>
      <c r="Q260" s="1154"/>
      <c r="R260" s="1029" t="s">
        <v>1933</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1090</v>
      </c>
      <c r="C266" s="742"/>
      <c r="D266" s="740"/>
      <c r="E266" s="740"/>
      <c r="F266" s="740"/>
      <c r="G266" s="740"/>
      <c r="H266" s="740"/>
      <c r="I266" s="740"/>
      <c r="J266" s="740"/>
      <c r="K266" s="740"/>
      <c r="L266" s="740"/>
      <c r="M266" s="740"/>
      <c r="O266" s="180" t="s">
        <v>2923</v>
      </c>
      <c r="P266" s="989"/>
      <c r="Q266" s="990"/>
    </row>
    <row r="267" spans="1:31" ht="3" customHeight="1"/>
    <row r="268" spans="1:31" s="705" customFormat="1" ht="24" customHeight="1">
      <c r="B268" s="192" t="s">
        <v>3060</v>
      </c>
      <c r="C268" s="1002" t="s">
        <v>1208</v>
      </c>
      <c r="D268" s="1004"/>
      <c r="E268" s="1004"/>
      <c r="F268" s="1004"/>
      <c r="G268" s="1004"/>
      <c r="H268" s="1004"/>
      <c r="I268" s="1004"/>
      <c r="J268" s="1004"/>
      <c r="K268" s="1004"/>
      <c r="L268" s="1004"/>
      <c r="M268" s="1004"/>
      <c r="N268" s="1004"/>
      <c r="O268" s="221" t="s">
        <v>3060</v>
      </c>
      <c r="P268" s="1166" t="s">
        <v>3975</v>
      </c>
      <c r="Q268" s="234"/>
    </row>
    <row r="269" spans="1:31" s="705" customFormat="1" ht="24" customHeight="1">
      <c r="B269" s="192" t="s">
        <v>3063</v>
      </c>
      <c r="C269" s="1002" t="s">
        <v>1209</v>
      </c>
      <c r="D269" s="1004"/>
      <c r="E269" s="1004"/>
      <c r="F269" s="1004"/>
      <c r="G269" s="1004"/>
      <c r="H269" s="1004"/>
      <c r="I269" s="1004"/>
      <c r="J269" s="1004"/>
      <c r="K269" s="1004"/>
      <c r="L269" s="1004"/>
      <c r="M269" s="1004"/>
      <c r="N269" s="1004"/>
      <c r="O269" s="221" t="s">
        <v>3063</v>
      </c>
      <c r="P269" s="1166" t="s">
        <v>3975</v>
      </c>
      <c r="Q269" s="234"/>
    </row>
    <row r="270" spans="1:31" s="705" customFormat="1" ht="33" customHeight="1">
      <c r="B270" s="192" t="s">
        <v>1239</v>
      </c>
      <c r="C270" s="1002" t="s">
        <v>1210</v>
      </c>
      <c r="D270" s="1004"/>
      <c r="E270" s="1004"/>
      <c r="F270" s="1004"/>
      <c r="G270" s="1004"/>
      <c r="H270" s="1004"/>
      <c r="I270" s="1004"/>
      <c r="J270" s="1004"/>
      <c r="K270" s="1004"/>
      <c r="L270" s="1004"/>
      <c r="M270" s="1004"/>
      <c r="N270" s="1004"/>
      <c r="O270" s="221" t="s">
        <v>3063</v>
      </c>
      <c r="P270" s="1166"/>
      <c r="Q270" s="234"/>
    </row>
    <row r="271" spans="1:31" ht="11.25" customHeight="1">
      <c r="B271" s="191" t="s">
        <v>2921</v>
      </c>
      <c r="D271" s="191"/>
      <c r="E271" s="191"/>
      <c r="F271" s="191"/>
      <c r="G271" s="191"/>
      <c r="H271" s="50"/>
      <c r="I271" s="179"/>
      <c r="J271" s="179"/>
      <c r="K271" s="179"/>
      <c r="L271" s="738"/>
      <c r="M271" s="738"/>
      <c r="N271" s="738"/>
      <c r="O271" s="738"/>
      <c r="P271" s="738"/>
      <c r="Q271" s="63"/>
    </row>
    <row r="272" spans="1:31" ht="13.15" customHeight="1">
      <c r="A272" s="1152" t="s">
        <v>4013</v>
      </c>
      <c r="B272" s="1153"/>
      <c r="C272" s="1153"/>
      <c r="D272" s="1153"/>
      <c r="E272" s="1153"/>
      <c r="F272" s="1153"/>
      <c r="G272" s="1153"/>
      <c r="H272" s="1153"/>
      <c r="I272" s="1153"/>
      <c r="J272" s="1153"/>
      <c r="K272" s="1153"/>
      <c r="L272" s="1153"/>
      <c r="M272" s="1153"/>
      <c r="N272" s="1153"/>
      <c r="O272" s="1153"/>
      <c r="P272" s="1153"/>
      <c r="Q272" s="1154"/>
      <c r="R272" s="1029" t="s">
        <v>1933</v>
      </c>
      <c r="S272" s="1029"/>
      <c r="U272" s="185"/>
      <c r="V272" s="185"/>
      <c r="W272" s="185"/>
      <c r="X272" s="185"/>
      <c r="Y272" s="185"/>
      <c r="Z272" s="185"/>
      <c r="AA272" s="185"/>
      <c r="AB272" s="185"/>
      <c r="AC272" s="185"/>
      <c r="AD272" s="185"/>
      <c r="AE272" s="186"/>
    </row>
    <row r="273" spans="1:31" ht="25.5" customHeight="1">
      <c r="A273" s="1155" t="s">
        <v>4014</v>
      </c>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878</v>
      </c>
      <c r="C278" s="201"/>
      <c r="D278" s="202"/>
      <c r="E278" s="740"/>
      <c r="F278" s="740"/>
      <c r="G278" s="740"/>
      <c r="H278" s="740"/>
      <c r="I278" s="740"/>
      <c r="J278" s="740"/>
      <c r="K278" s="740"/>
      <c r="L278" s="740"/>
      <c r="M278" s="740"/>
      <c r="O278" s="180" t="s">
        <v>2923</v>
      </c>
      <c r="P278" s="989"/>
      <c r="Q278" s="990"/>
    </row>
    <row r="279" spans="1:31" s="200" customFormat="1" ht="22.9" customHeight="1">
      <c r="B279" s="192" t="s">
        <v>3060</v>
      </c>
      <c r="C279" s="1031" t="s">
        <v>2944</v>
      </c>
      <c r="D279" s="1031"/>
      <c r="E279" s="1031"/>
      <c r="F279" s="1031"/>
      <c r="G279" s="1031"/>
      <c r="H279" s="1031"/>
      <c r="I279" s="1031"/>
      <c r="J279" s="1031"/>
      <c r="K279" s="1031"/>
      <c r="L279" s="1031"/>
      <c r="M279" s="1031"/>
      <c r="O279" s="221" t="s">
        <v>3060</v>
      </c>
      <c r="P279" s="1252" t="s">
        <v>3924</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3924</v>
      </c>
      <c r="Q280" s="234"/>
    </row>
    <row r="281" spans="1:31" s="200" customFormat="1" ht="22.9" customHeight="1">
      <c r="B281" s="192" t="s">
        <v>1239</v>
      </c>
      <c r="C281" s="1002" t="s">
        <v>2887</v>
      </c>
      <c r="D281" s="1004"/>
      <c r="E281" s="1004"/>
      <c r="F281" s="1004"/>
      <c r="G281" s="1004"/>
      <c r="H281" s="1004"/>
      <c r="I281" s="1004"/>
      <c r="J281" s="1004"/>
      <c r="K281" s="1004"/>
      <c r="L281" s="1004"/>
      <c r="M281" s="1004"/>
      <c r="N281" s="1004"/>
      <c r="O281" s="62" t="s">
        <v>1239</v>
      </c>
      <c r="P281" s="1166" t="s">
        <v>3924</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3924</v>
      </c>
      <c r="Q282" s="234"/>
    </row>
    <row r="283" spans="1:31" s="200" customFormat="1" ht="22.9" customHeight="1">
      <c r="B283" s="192" t="s">
        <v>2763</v>
      </c>
      <c r="C283" s="1002" t="s">
        <v>1081</v>
      </c>
      <c r="D283" s="1004"/>
      <c r="E283" s="1004"/>
      <c r="F283" s="1004"/>
      <c r="G283" s="1004"/>
      <c r="H283" s="1004"/>
      <c r="I283" s="1004"/>
      <c r="J283" s="1004"/>
      <c r="K283" s="1004"/>
      <c r="L283" s="1004"/>
      <c r="M283" s="1004"/>
      <c r="N283" s="1004"/>
      <c r="O283" s="62" t="s">
        <v>2763</v>
      </c>
      <c r="P283" s="1166" t="s">
        <v>3924</v>
      </c>
      <c r="Q283" s="234"/>
    </row>
    <row r="284" spans="1:31" ht="11.25" customHeight="1">
      <c r="B284" s="191" t="s">
        <v>2921</v>
      </c>
      <c r="D284" s="191"/>
      <c r="E284" s="191"/>
      <c r="F284" s="191"/>
      <c r="G284" s="191"/>
      <c r="H284" s="50"/>
      <c r="I284" s="179"/>
      <c r="J284" s="179"/>
      <c r="K284" s="179"/>
      <c r="L284" s="738"/>
      <c r="M284" s="738"/>
      <c r="N284" s="738"/>
      <c r="O284" s="738"/>
      <c r="P284" s="738"/>
      <c r="Q284" s="63"/>
    </row>
    <row r="285" spans="1:31" ht="14.25" customHeight="1">
      <c r="A285" s="1152" t="s">
        <v>4015</v>
      </c>
      <c r="B285" s="1153"/>
      <c r="C285" s="1153"/>
      <c r="D285" s="1153"/>
      <c r="E285" s="1153"/>
      <c r="F285" s="1153"/>
      <c r="G285" s="1153"/>
      <c r="H285" s="1153"/>
      <c r="I285" s="1153"/>
      <c r="J285" s="1153"/>
      <c r="K285" s="1153"/>
      <c r="L285" s="1153"/>
      <c r="M285" s="1153"/>
      <c r="N285" s="1153"/>
      <c r="O285" s="1153"/>
      <c r="P285" s="1153"/>
      <c r="Q285" s="1154"/>
      <c r="R285" s="1029" t="s">
        <v>1933</v>
      </c>
      <c r="S285" s="1029"/>
      <c r="U285" s="185"/>
      <c r="V285" s="185"/>
      <c r="W285" s="185"/>
      <c r="X285" s="185"/>
      <c r="Y285" s="185"/>
      <c r="Z285" s="185"/>
      <c r="AA285" s="185"/>
      <c r="AB285" s="185"/>
      <c r="AC285" s="185"/>
      <c r="AD285" s="185"/>
      <c r="AE285" s="186"/>
    </row>
    <row r="286" spans="1:31" ht="11.45" customHeight="1">
      <c r="A286" s="1155" t="s">
        <v>4016</v>
      </c>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3325</v>
      </c>
      <c r="C290" s="1009"/>
      <c r="D290" s="1009"/>
      <c r="E290" s="1009"/>
      <c r="F290" s="1009"/>
      <c r="G290" s="1009"/>
      <c r="H290" s="740"/>
      <c r="I290" s="740"/>
      <c r="J290" s="740"/>
      <c r="K290" s="740"/>
      <c r="L290" s="740"/>
      <c r="M290" s="740"/>
      <c r="O290" s="180" t="s">
        <v>2923</v>
      </c>
      <c r="P290" s="989"/>
      <c r="Q290" s="990"/>
    </row>
    <row r="291" spans="1:256" ht="11.45" customHeight="1">
      <c r="B291" s="195" t="s">
        <v>3382</v>
      </c>
      <c r="P291" s="1166" t="s">
        <v>3926</v>
      </c>
      <c r="Q291" s="234"/>
    </row>
    <row r="292" spans="1:256" ht="12" customHeight="1">
      <c r="B292" s="197" t="s">
        <v>3326</v>
      </c>
      <c r="C292" s="197"/>
      <c r="D292" s="197"/>
      <c r="E292" s="197"/>
      <c r="F292" s="197"/>
      <c r="G292" s="197"/>
      <c r="H292" s="197"/>
      <c r="I292" s="197"/>
      <c r="J292" s="197"/>
      <c r="K292" s="197"/>
      <c r="L292" s="197"/>
      <c r="P292" s="1166" t="s">
        <v>3924</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01" t="s">
        <v>1082</v>
      </c>
      <c r="D294" s="1001"/>
      <c r="E294" s="1001"/>
      <c r="F294" s="1001"/>
      <c r="G294" s="1001"/>
      <c r="H294" s="1001"/>
      <c r="I294" s="1001"/>
      <c r="J294" s="1001"/>
      <c r="K294" s="1001"/>
      <c r="L294" s="1001"/>
      <c r="M294" s="1001"/>
      <c r="N294" s="1001"/>
      <c r="O294" s="221" t="s">
        <v>3060</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3063</v>
      </c>
      <c r="C296" s="1010" t="s">
        <v>675</v>
      </c>
      <c r="D296" s="1010"/>
      <c r="E296" s="1010"/>
      <c r="F296" s="1010"/>
      <c r="G296" s="1010"/>
      <c r="H296" s="1010"/>
      <c r="I296" s="1010"/>
      <c r="J296" s="1010"/>
      <c r="K296" s="1010"/>
      <c r="L296" s="1010"/>
      <c r="M296" s="1010"/>
      <c r="O296" s="221" t="s">
        <v>3063</v>
      </c>
      <c r="P296" s="1166" t="s">
        <v>3924</v>
      </c>
      <c r="Q296" s="234"/>
    </row>
    <row r="297" spans="1:256" ht="24" customHeight="1">
      <c r="A297" s="194"/>
      <c r="C297" s="296" t="s">
        <v>2765</v>
      </c>
      <c r="D297" s="297" t="s">
        <v>1767</v>
      </c>
      <c r="E297" s="181"/>
      <c r="F297" s="181"/>
      <c r="G297" s="1253" t="s">
        <v>1766</v>
      </c>
      <c r="H297" s="1254"/>
      <c r="I297" s="1254"/>
      <c r="J297" s="1254"/>
      <c r="K297" s="1254"/>
      <c r="L297" s="1254"/>
      <c r="M297" s="1254"/>
      <c r="N297" s="1255"/>
      <c r="O297" s="301" t="s">
        <v>2765</v>
      </c>
      <c r="P297" s="1252" t="s">
        <v>3924</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3924</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3924</v>
      </c>
      <c r="Q299" s="355"/>
    </row>
    <row r="300" spans="1:256" ht="24" customHeight="1">
      <c r="A300" s="194"/>
      <c r="C300" s="296" t="s">
        <v>2767</v>
      </c>
      <c r="D300" s="1003" t="s">
        <v>1768</v>
      </c>
      <c r="E300" s="1004"/>
      <c r="F300" s="1005"/>
      <c r="G300" s="1159" t="s">
        <v>3370</v>
      </c>
      <c r="H300" s="1261"/>
      <c r="I300" s="1261"/>
      <c r="J300" s="1261"/>
      <c r="K300" s="1261"/>
      <c r="L300" s="1261"/>
      <c r="M300" s="1261"/>
      <c r="N300" s="1262"/>
      <c r="O300" s="301" t="s">
        <v>2767</v>
      </c>
      <c r="P300" s="1252" t="s">
        <v>3924</v>
      </c>
      <c r="Q300" s="353"/>
    </row>
    <row r="301" spans="1:256" ht="12.6" customHeight="1">
      <c r="A301" s="194"/>
      <c r="C301" s="296" t="s">
        <v>3571</v>
      </c>
      <c r="D301" s="1003" t="s">
        <v>1770</v>
      </c>
      <c r="E301" s="1003"/>
      <c r="F301" s="1030"/>
      <c r="G301" s="1263" t="s">
        <v>3215</v>
      </c>
      <c r="H301" s="1264"/>
      <c r="I301" s="1264"/>
      <c r="J301" s="1264"/>
      <c r="K301" s="1264"/>
      <c r="L301" s="1264"/>
      <c r="M301" s="1264"/>
      <c r="N301" s="1265"/>
      <c r="O301" s="301" t="s">
        <v>3571</v>
      </c>
      <c r="P301" s="1266" t="s">
        <v>3924</v>
      </c>
      <c r="Q301" s="356"/>
    </row>
    <row r="302" spans="1:256" ht="12.6" customHeight="1">
      <c r="A302" s="194"/>
      <c r="C302" s="296"/>
      <c r="D302" s="1003"/>
      <c r="E302" s="1003"/>
      <c r="F302" s="1030"/>
      <c r="G302" s="1155" t="s">
        <v>2278</v>
      </c>
      <c r="H302" s="1267"/>
      <c r="I302" s="1267"/>
      <c r="J302" s="1267"/>
      <c r="K302" s="1267"/>
      <c r="L302" s="1267"/>
      <c r="M302" s="1267"/>
      <c r="N302" s="1268"/>
      <c r="P302" s="1269" t="s">
        <v>3924</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2921</v>
      </c>
      <c r="D304" s="191"/>
      <c r="E304" s="191"/>
      <c r="F304" s="191"/>
      <c r="G304" s="191"/>
      <c r="H304" s="50"/>
      <c r="I304" s="179"/>
      <c r="J304" s="179"/>
      <c r="K304" s="179"/>
      <c r="L304" s="738"/>
      <c r="M304" s="738"/>
      <c r="N304" s="738"/>
      <c r="O304" s="738"/>
      <c r="P304" s="738"/>
      <c r="Q304" s="63"/>
    </row>
    <row r="305" spans="1:31" ht="11.45" customHeight="1">
      <c r="A305" s="1152" t="s">
        <v>4017</v>
      </c>
      <c r="B305" s="1153"/>
      <c r="C305" s="1153"/>
      <c r="D305" s="1153"/>
      <c r="E305" s="1153"/>
      <c r="F305" s="1153"/>
      <c r="G305" s="1153"/>
      <c r="H305" s="1153"/>
      <c r="I305" s="1153"/>
      <c r="J305" s="1153"/>
      <c r="K305" s="1153"/>
      <c r="L305" s="1153"/>
      <c r="M305" s="1153"/>
      <c r="N305" s="1153"/>
      <c r="O305" s="1153"/>
      <c r="P305" s="1153"/>
      <c r="Q305" s="1154"/>
      <c r="R305" s="1032" t="s">
        <v>1933</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3122</v>
      </c>
      <c r="C311" s="742"/>
      <c r="D311" s="740"/>
      <c r="E311" s="740"/>
      <c r="F311" s="740"/>
      <c r="G311" s="740"/>
      <c r="H311" s="740"/>
      <c r="O311" s="180" t="s">
        <v>2923</v>
      </c>
      <c r="P311" s="989"/>
      <c r="Q311" s="990"/>
    </row>
    <row r="312" spans="1:31" ht="3" customHeight="1"/>
    <row r="313" spans="1:31" ht="11.45" customHeight="1">
      <c r="B313" s="195" t="s">
        <v>3514</v>
      </c>
      <c r="P313" s="1166" t="s">
        <v>3924</v>
      </c>
      <c r="Q313" s="234"/>
    </row>
    <row r="314" spans="1:31" ht="11.45" customHeight="1">
      <c r="B314" s="195" t="s">
        <v>3515</v>
      </c>
      <c r="P314" s="1166" t="s">
        <v>3924</v>
      </c>
      <c r="Q314" s="234"/>
    </row>
    <row r="315" spans="1:31" ht="11.45" customHeight="1">
      <c r="B315" s="195" t="s">
        <v>925</v>
      </c>
      <c r="L315" s="1270" t="s">
        <v>3981</v>
      </c>
      <c r="M315" s="1271"/>
      <c r="N315" s="1271"/>
      <c r="O315" s="1272"/>
      <c r="P315" s="1166" t="s">
        <v>3924</v>
      </c>
      <c r="Q315" s="234"/>
    </row>
    <row r="316" spans="1:31" ht="11.45" customHeight="1">
      <c r="B316" s="690" t="s">
        <v>3516</v>
      </c>
      <c r="L316" s="1006"/>
      <c r="M316" s="1007"/>
      <c r="N316" s="1007"/>
      <c r="O316" s="1008"/>
    </row>
    <row r="317" spans="1:31" ht="4.1500000000000004" customHeight="1">
      <c r="A317" s="189"/>
      <c r="C317" s="190"/>
    </row>
    <row r="318" spans="1:31" ht="11.25" customHeight="1">
      <c r="B318" s="191" t="s">
        <v>2921</v>
      </c>
      <c r="D318" s="191"/>
      <c r="E318" s="191"/>
      <c r="F318" s="191"/>
      <c r="G318" s="191"/>
      <c r="H318" s="50"/>
      <c r="I318" s="179"/>
      <c r="J318" s="179"/>
      <c r="K318" s="179"/>
      <c r="L318" s="738"/>
      <c r="M318" s="738"/>
      <c r="N318" s="738"/>
      <c r="O318" s="738"/>
      <c r="P318" s="738"/>
      <c r="Q318" s="63"/>
    </row>
    <row r="319" spans="1:31" ht="13.15" customHeight="1">
      <c r="A319" s="1152" t="s">
        <v>4018</v>
      </c>
      <c r="B319" s="1153"/>
      <c r="C319" s="1153"/>
      <c r="D319" s="1153"/>
      <c r="E319" s="1153"/>
      <c r="F319" s="1153"/>
      <c r="G319" s="1153"/>
      <c r="H319" s="1153"/>
      <c r="I319" s="1153"/>
      <c r="J319" s="1153"/>
      <c r="K319" s="1153"/>
      <c r="L319" s="1153"/>
      <c r="M319" s="1153"/>
      <c r="N319" s="1153"/>
      <c r="O319" s="1153"/>
      <c r="P319" s="1153"/>
      <c r="Q319" s="1154"/>
      <c r="R319" s="1029" t="s">
        <v>1933</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471</v>
      </c>
      <c r="C327" s="5"/>
      <c r="D327" s="118"/>
      <c r="E327" s="740"/>
      <c r="F327" s="740"/>
      <c r="G327" s="740"/>
      <c r="H327" s="740"/>
      <c r="I327" s="740"/>
      <c r="J327" s="740"/>
      <c r="K327" s="740"/>
      <c r="L327" s="740"/>
      <c r="M327" s="740"/>
      <c r="O327" s="180" t="s">
        <v>2923</v>
      </c>
      <c r="P327" s="989"/>
      <c r="Q327" s="990"/>
    </row>
    <row r="328" spans="1:31" ht="3" customHeight="1"/>
    <row r="329" spans="1:31" ht="22.15" customHeight="1">
      <c r="B329" s="192" t="s">
        <v>3060</v>
      </c>
      <c r="C329" s="1002" t="s">
        <v>2544</v>
      </c>
      <c r="D329" s="1002"/>
      <c r="E329" s="1002"/>
      <c r="F329" s="1002"/>
      <c r="G329" s="1002"/>
      <c r="H329" s="1002"/>
      <c r="I329" s="1002"/>
      <c r="J329" s="1002"/>
      <c r="K329" s="1002"/>
      <c r="L329" s="1002"/>
      <c r="M329" s="1002"/>
      <c r="N329" s="1002"/>
      <c r="O329" s="221" t="s">
        <v>3060</v>
      </c>
      <c r="P329" s="1166" t="s">
        <v>3924</v>
      </c>
      <c r="Q329" s="234"/>
    </row>
    <row r="330" spans="1:31" ht="11.45" customHeight="1">
      <c r="B330" s="192" t="s">
        <v>3063</v>
      </c>
      <c r="C330" s="1002" t="s">
        <v>356</v>
      </c>
      <c r="D330" s="1002"/>
      <c r="E330" s="1002"/>
      <c r="F330" s="1002"/>
      <c r="G330" s="1002"/>
      <c r="H330" s="1002"/>
      <c r="I330" s="1002"/>
      <c r="J330" s="1002"/>
      <c r="K330" s="1002"/>
      <c r="L330" s="1002"/>
      <c r="M330" s="740"/>
      <c r="O330" s="221" t="s">
        <v>3063</v>
      </c>
      <c r="P330" s="1166" t="s">
        <v>3926</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3924</v>
      </c>
      <c r="Q331" s="234"/>
    </row>
    <row r="332" spans="1:31" ht="22.15" customHeight="1">
      <c r="B332" s="192" t="s">
        <v>3212</v>
      </c>
      <c r="C332" s="1002" t="s">
        <v>1059</v>
      </c>
      <c r="D332" s="1002"/>
      <c r="E332" s="1002"/>
      <c r="F332" s="1002"/>
      <c r="G332" s="1002"/>
      <c r="H332" s="1002"/>
      <c r="I332" s="1002"/>
      <c r="J332" s="1002"/>
      <c r="K332" s="1002"/>
      <c r="L332" s="1002"/>
      <c r="M332" s="1002"/>
      <c r="N332" s="1002"/>
      <c r="O332" s="221" t="s">
        <v>3212</v>
      </c>
      <c r="P332" s="1166" t="s">
        <v>3926</v>
      </c>
      <c r="Q332" s="234"/>
    </row>
    <row r="333" spans="1:31" ht="11.25" customHeight="1">
      <c r="B333" s="191" t="s">
        <v>2921</v>
      </c>
      <c r="D333" s="191"/>
      <c r="E333" s="191"/>
      <c r="F333" s="191"/>
      <c r="G333" s="191"/>
      <c r="H333" s="50"/>
      <c r="I333" s="179"/>
      <c r="J333" s="179"/>
      <c r="K333" s="179"/>
      <c r="L333" s="738"/>
      <c r="M333" s="738"/>
      <c r="N333" s="738"/>
      <c r="O333" s="738"/>
      <c r="P333" s="738"/>
      <c r="Q333" s="63"/>
    </row>
    <row r="334" spans="1:31" ht="25.5" customHeight="1">
      <c r="A334" s="1152" t="s">
        <v>4019</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1554</v>
      </c>
      <c r="C341" s="5"/>
      <c r="D341" s="5"/>
      <c r="E341" s="5"/>
      <c r="F341" s="5"/>
      <c r="G341" s="5"/>
      <c r="H341" s="740"/>
      <c r="I341" s="740"/>
      <c r="J341" s="740"/>
      <c r="K341" s="740"/>
      <c r="L341" s="740"/>
      <c r="M341" s="740"/>
      <c r="O341" s="180" t="s">
        <v>2923</v>
      </c>
      <c r="P341" s="989"/>
      <c r="Q341" s="990"/>
    </row>
    <row r="342" spans="1:31" ht="12" customHeight="1">
      <c r="B342" s="57" t="s">
        <v>3060</v>
      </c>
      <c r="C342" s="160" t="s">
        <v>2084</v>
      </c>
      <c r="D342" s="746"/>
      <c r="E342" s="746"/>
      <c r="F342" s="746"/>
      <c r="G342" s="746"/>
      <c r="H342" s="746"/>
      <c r="I342" s="52"/>
      <c r="J342" s="62" t="s">
        <v>3060</v>
      </c>
      <c r="K342" s="1224"/>
      <c r="L342" s="1225"/>
      <c r="M342" s="1225"/>
      <c r="N342" s="1225"/>
      <c r="O342" s="1226"/>
      <c r="P342" s="1166"/>
      <c r="Q342" s="234"/>
    </row>
    <row r="343" spans="1:31" ht="24" customHeight="1">
      <c r="B343" s="192" t="s">
        <v>3063</v>
      </c>
      <c r="C343" s="975" t="s">
        <v>2907</v>
      </c>
      <c r="D343" s="975"/>
      <c r="E343" s="975"/>
      <c r="F343" s="975"/>
      <c r="G343" s="975"/>
      <c r="H343" s="975"/>
      <c r="I343" s="975"/>
      <c r="J343" s="975"/>
      <c r="K343" s="975"/>
      <c r="L343" s="975"/>
      <c r="M343" s="975"/>
      <c r="O343" s="221" t="s">
        <v>3063</v>
      </c>
      <c r="P343" s="1252"/>
      <c r="Q343" s="234"/>
    </row>
    <row r="344" spans="1:31" ht="12" customHeight="1">
      <c r="B344" s="57" t="s">
        <v>1239</v>
      </c>
      <c r="C344" s="65" t="s">
        <v>1555</v>
      </c>
      <c r="D344" s="65"/>
      <c r="E344" s="65"/>
      <c r="F344" s="65"/>
      <c r="G344" s="65"/>
      <c r="H344" s="65"/>
      <c r="I344" s="65"/>
      <c r="J344" s="65"/>
      <c r="K344" s="65"/>
      <c r="L344" s="40"/>
      <c r="M344" s="40"/>
      <c r="O344" s="62" t="s">
        <v>1239</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2763</v>
      </c>
      <c r="C346" s="1002" t="s">
        <v>430</v>
      </c>
      <c r="D346" s="1002"/>
      <c r="E346" s="1002"/>
      <c r="F346" s="1002"/>
      <c r="G346" s="1002"/>
      <c r="H346" s="1002"/>
      <c r="I346" s="1002"/>
      <c r="J346" s="1002"/>
      <c r="K346" s="1002"/>
      <c r="L346" s="1002"/>
      <c r="M346" s="1002"/>
      <c r="N346" s="1002"/>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38"/>
      <c r="M348" s="738"/>
      <c r="N348" s="738"/>
      <c r="O348" s="738"/>
      <c r="P348" s="738"/>
      <c r="Q348" s="63"/>
    </row>
    <row r="349" spans="1:31" ht="11.45" customHeight="1">
      <c r="A349" s="1159" t="s">
        <v>4020</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3755</v>
      </c>
      <c r="C353" s="5"/>
      <c r="D353" s="5"/>
      <c r="E353" s="5"/>
      <c r="F353" s="5"/>
      <c r="G353" s="5"/>
      <c r="H353" s="740"/>
      <c r="I353" s="740"/>
      <c r="J353" s="740"/>
      <c r="O353" s="180" t="s">
        <v>2923</v>
      </c>
      <c r="P353" s="989"/>
      <c r="Q353" s="990"/>
    </row>
    <row r="354" spans="1:31" ht="11.45" customHeight="1">
      <c r="B354" s="57" t="s">
        <v>3060</v>
      </c>
      <c r="C354" s="160" t="s">
        <v>1658</v>
      </c>
      <c r="D354" s="746"/>
      <c r="E354" s="746"/>
      <c r="F354" s="746"/>
      <c r="G354" s="746"/>
      <c r="H354" s="746"/>
      <c r="I354" s="52"/>
      <c r="J354" s="62" t="s">
        <v>3060</v>
      </c>
      <c r="K354" s="1224"/>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1002" t="s">
        <v>636</v>
      </c>
      <c r="D358" s="1002"/>
      <c r="E358" s="1002"/>
      <c r="F358" s="1002"/>
      <c r="G358" s="1002"/>
      <c r="H358" s="1002"/>
      <c r="I358" s="1002"/>
      <c r="J358" s="1002"/>
      <c r="K358" s="1002"/>
      <c r="L358" s="1002"/>
      <c r="M358" s="1002"/>
      <c r="N358" s="1002"/>
      <c r="O358" s="221" t="s">
        <v>2763</v>
      </c>
      <c r="P358" s="1166"/>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8"/>
      <c r="M361" s="738"/>
      <c r="N361" s="738"/>
      <c r="O361" s="738"/>
      <c r="P361" s="738"/>
      <c r="Q361" s="63"/>
    </row>
    <row r="362" spans="1:31" ht="11.45" customHeight="1">
      <c r="A362" s="1159" t="s">
        <v>4021</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1083</v>
      </c>
      <c r="C366" s="5"/>
      <c r="D366" s="118"/>
      <c r="E366" s="740"/>
      <c r="F366" s="740"/>
      <c r="G366" s="740"/>
      <c r="H366" s="740"/>
      <c r="I366" s="740"/>
      <c r="J366" s="740"/>
      <c r="K366" s="740"/>
      <c r="L366" s="740"/>
      <c r="M366" s="740"/>
      <c r="O366" s="180" t="s">
        <v>2923</v>
      </c>
      <c r="P366" s="989"/>
      <c r="Q366" s="990"/>
    </row>
    <row r="367" spans="1:31" s="2" customFormat="1" ht="23.45" customHeight="1">
      <c r="B367" s="192" t="s">
        <v>3060</v>
      </c>
      <c r="C367" s="1002" t="s">
        <v>201</v>
      </c>
      <c r="D367" s="1002"/>
      <c r="E367" s="1002"/>
      <c r="F367" s="1002"/>
      <c r="G367" s="1002"/>
      <c r="H367" s="1002"/>
      <c r="I367" s="1002"/>
      <c r="J367" s="1002"/>
      <c r="K367" s="1002"/>
      <c r="L367" s="1002"/>
      <c r="M367" s="221" t="s">
        <v>3060</v>
      </c>
      <c r="N367" s="1273" t="s">
        <v>2801</v>
      </c>
      <c r="O367" s="1274"/>
      <c r="P367" s="1040" t="s">
        <v>2801</v>
      </c>
      <c r="Q367" s="104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1239</v>
      </c>
      <c r="C369" s="40" t="s">
        <v>2126</v>
      </c>
      <c r="D369" s="12"/>
      <c r="E369" s="12"/>
      <c r="F369" s="12"/>
      <c r="G369" s="8"/>
      <c r="H369" s="8"/>
      <c r="I369" s="40"/>
      <c r="K369" s="8"/>
      <c r="L369" s="8"/>
      <c r="M369" s="8"/>
      <c r="O369" s="62" t="s">
        <v>1239</v>
      </c>
      <c r="P369" s="1166"/>
      <c r="Q369" s="234"/>
    </row>
    <row r="370" spans="1:31" ht="11.25" customHeight="1">
      <c r="B370" s="191" t="s">
        <v>2921</v>
      </c>
      <c r="D370" s="191"/>
      <c r="E370" s="191"/>
      <c r="F370" s="191"/>
      <c r="G370" s="191"/>
      <c r="H370" s="50"/>
      <c r="I370" s="179"/>
      <c r="J370" s="179"/>
      <c r="K370" s="179"/>
      <c r="L370" s="738"/>
      <c r="M370" s="738"/>
      <c r="N370" s="738"/>
      <c r="O370" s="738"/>
      <c r="P370" s="738"/>
      <c r="Q370" s="63"/>
    </row>
    <row r="371" spans="1:31" ht="11.45" customHeight="1">
      <c r="A371" s="1152" t="s">
        <v>3998</v>
      </c>
      <c r="B371" s="1153"/>
      <c r="C371" s="1153"/>
      <c r="D371" s="1153"/>
      <c r="E371" s="1153"/>
      <c r="F371" s="1153"/>
      <c r="G371" s="1153"/>
      <c r="H371" s="1153"/>
      <c r="I371" s="1153"/>
      <c r="J371" s="1153"/>
      <c r="K371" s="1153"/>
      <c r="L371" s="1153"/>
      <c r="M371" s="1153"/>
      <c r="N371" s="1153"/>
      <c r="O371" s="1153"/>
      <c r="P371" s="1153"/>
      <c r="Q371" s="1154"/>
      <c r="R371" s="1029" t="s">
        <v>1933</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2530</v>
      </c>
      <c r="C378" s="5"/>
      <c r="D378" s="5"/>
      <c r="E378" s="740"/>
      <c r="F378" s="190" t="s">
        <v>1058</v>
      </c>
      <c r="G378" s="740"/>
      <c r="H378" s="740"/>
      <c r="I378" s="740"/>
      <c r="J378" s="740"/>
      <c r="K378" s="740"/>
      <c r="L378" s="740"/>
      <c r="M378" s="740"/>
      <c r="O378" s="180" t="s">
        <v>2923</v>
      </c>
      <c r="P378" s="989"/>
      <c r="Q378" s="1039"/>
    </row>
    <row r="379" spans="1:31" ht="12" customHeight="1">
      <c r="A379" s="194"/>
      <c r="B379" s="57" t="s">
        <v>3060</v>
      </c>
      <c r="C379" s="65" t="s">
        <v>2127</v>
      </c>
      <c r="D379" s="743"/>
      <c r="E379" s="743"/>
      <c r="H379" s="190"/>
      <c r="O379" s="62" t="s">
        <v>3060</v>
      </c>
      <c r="P379" s="1166" t="s">
        <v>3926</v>
      </c>
      <c r="Q379" s="234"/>
    </row>
    <row r="380" spans="1:31" ht="12" customHeight="1">
      <c r="A380" s="194"/>
      <c r="B380" s="57" t="s">
        <v>3063</v>
      </c>
      <c r="C380" s="65" t="s">
        <v>1242</v>
      </c>
      <c r="D380" s="743"/>
      <c r="E380" s="743"/>
      <c r="O380" s="62" t="s">
        <v>3063</v>
      </c>
      <c r="P380" s="1166" t="s">
        <v>3926</v>
      </c>
      <c r="Q380" s="234"/>
    </row>
    <row r="381" spans="1:31" ht="12" customHeight="1">
      <c r="A381" s="194"/>
      <c r="B381" s="57" t="s">
        <v>1239</v>
      </c>
      <c r="C381" s="65" t="s">
        <v>1243</v>
      </c>
      <c r="D381" s="743"/>
      <c r="E381" s="743"/>
      <c r="O381" s="62" t="s">
        <v>1239</v>
      </c>
      <c r="P381" s="1166" t="s">
        <v>3926</v>
      </c>
      <c r="Q381" s="234"/>
    </row>
    <row r="382" spans="1:31" ht="12" customHeight="1">
      <c r="A382" s="194"/>
      <c r="B382" s="57" t="s">
        <v>3212</v>
      </c>
      <c r="C382" s="65" t="s">
        <v>878</v>
      </c>
      <c r="E382" s="190"/>
      <c r="O382" s="62" t="s">
        <v>3212</v>
      </c>
      <c r="P382" s="1166" t="s">
        <v>3926</v>
      </c>
      <c r="Q382" s="234"/>
    </row>
    <row r="383" spans="1:31" ht="12" customHeight="1">
      <c r="B383" s="57" t="s">
        <v>2763</v>
      </c>
      <c r="C383" s="65" t="s">
        <v>3175</v>
      </c>
      <c r="E383" s="190"/>
      <c r="G383" s="62" t="s">
        <v>2763</v>
      </c>
      <c r="H383" s="1236"/>
      <c r="I383" s="1237"/>
      <c r="J383" s="1237"/>
      <c r="K383" s="1237"/>
      <c r="L383" s="1237"/>
      <c r="M383" s="1237"/>
      <c r="N383" s="1237"/>
      <c r="O383" s="1238"/>
      <c r="P383" s="1166" t="s">
        <v>3926</v>
      </c>
      <c r="Q383" s="234"/>
    </row>
    <row r="384" spans="1:31" ht="11.25" customHeight="1">
      <c r="B384" s="191" t="s">
        <v>2921</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3756</v>
      </c>
      <c r="C389" s="1009"/>
      <c r="D389" s="1009"/>
      <c r="E389" s="1009"/>
      <c r="F389" s="1009"/>
      <c r="G389" s="1009"/>
      <c r="H389" s="740"/>
      <c r="I389" s="740"/>
      <c r="J389" s="740"/>
      <c r="K389" s="740"/>
      <c r="L389" s="740"/>
      <c r="M389" s="740"/>
      <c r="O389" s="180" t="s">
        <v>2923</v>
      </c>
      <c r="P389" s="989"/>
      <c r="Q389" s="1039"/>
    </row>
    <row r="390" spans="1:31" ht="23.45" customHeight="1">
      <c r="A390" s="189"/>
      <c r="B390" s="192" t="s">
        <v>3060</v>
      </c>
      <c r="C390" s="1002" t="s">
        <v>908</v>
      </c>
      <c r="D390" s="1002"/>
      <c r="E390" s="1002"/>
      <c r="F390" s="1002"/>
      <c r="G390" s="1002"/>
      <c r="H390" s="1002"/>
      <c r="I390" s="1002"/>
      <c r="J390" s="1002"/>
      <c r="K390" s="1002"/>
      <c r="L390" s="1002"/>
      <c r="M390" s="1002"/>
      <c r="N390" s="1002"/>
      <c r="O390" s="221" t="s">
        <v>3060</v>
      </c>
      <c r="P390" s="1166" t="s">
        <v>3975</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3924</v>
      </c>
      <c r="Q391" s="234"/>
    </row>
    <row r="392" spans="1:31" ht="11.25" customHeight="1">
      <c r="B392" s="131" t="s">
        <v>2921</v>
      </c>
      <c r="D392" s="131"/>
      <c r="E392" s="131"/>
      <c r="F392" s="131"/>
      <c r="G392" s="131"/>
      <c r="H392" s="50"/>
      <c r="I392" s="179"/>
      <c r="J392" s="179"/>
      <c r="K392" s="187" t="s">
        <v>2922</v>
      </c>
      <c r="L392" s="738"/>
      <c r="M392" s="738"/>
      <c r="N392" s="738"/>
      <c r="O392" s="237"/>
      <c r="P392" s="738"/>
      <c r="Q392" s="63"/>
    </row>
    <row r="393" spans="1:31" ht="11.45" customHeight="1">
      <c r="A393" s="1159" t="s">
        <v>4022</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2005</v>
      </c>
      <c r="C395" s="1009"/>
      <c r="D395" s="1009"/>
      <c r="E395" s="1009"/>
      <c r="F395" s="1009"/>
      <c r="G395" s="1009"/>
      <c r="H395" s="740"/>
      <c r="I395" s="740"/>
      <c r="J395" s="740"/>
      <c r="K395" s="740"/>
      <c r="L395" s="740"/>
      <c r="M395" s="740"/>
      <c r="O395" s="180" t="s">
        <v>2923</v>
      </c>
      <c r="P395" s="989"/>
      <c r="Q395" s="1039"/>
    </row>
    <row r="396" spans="1:31" ht="12" customHeight="1">
      <c r="A396" s="52"/>
      <c r="B396" s="57" t="s">
        <v>3060</v>
      </c>
      <c r="C396" s="49" t="s">
        <v>1244</v>
      </c>
      <c r="D396" s="52"/>
      <c r="E396" s="52"/>
      <c r="F396" s="52"/>
      <c r="G396" s="52"/>
      <c r="H396" s="52"/>
      <c r="I396" s="52"/>
      <c r="J396" s="52"/>
      <c r="K396" s="52"/>
      <c r="L396" s="52"/>
      <c r="M396" s="52"/>
      <c r="N396" s="52"/>
      <c r="O396" s="62" t="s">
        <v>3060</v>
      </c>
      <c r="P396" s="1166"/>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5" t="s">
        <v>3313</v>
      </c>
      <c r="D400" s="975"/>
      <c r="E400" s="975"/>
      <c r="F400" s="975"/>
      <c r="G400" s="975"/>
      <c r="H400" s="975"/>
      <c r="I400" s="975"/>
      <c r="J400" s="975"/>
      <c r="K400" s="975"/>
      <c r="L400" s="975"/>
      <c r="M400" s="975"/>
      <c r="N400" s="975"/>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8"/>
      <c r="M412" s="738"/>
      <c r="N412" s="738"/>
      <c r="O412" s="738"/>
      <c r="P412" s="738"/>
      <c r="Q412" s="63"/>
    </row>
    <row r="413" spans="1:31" ht="12" customHeight="1">
      <c r="A413" s="1152" t="s">
        <v>4023</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3123</v>
      </c>
      <c r="C420" s="5"/>
      <c r="D420" s="118"/>
      <c r="E420" s="740"/>
      <c r="F420" s="740"/>
      <c r="G420" s="740"/>
      <c r="H420" s="740"/>
      <c r="O420" s="180" t="s">
        <v>2923</v>
      </c>
      <c r="P420" s="989"/>
      <c r="Q420" s="990"/>
    </row>
    <row r="421" spans="1:31" ht="13.15" customHeight="1">
      <c r="B421" s="57" t="s">
        <v>3060</v>
      </c>
      <c r="C421" s="49" t="s">
        <v>888</v>
      </c>
      <c r="D421" s="52"/>
      <c r="E421" s="52"/>
      <c r="F421" s="52"/>
      <c r="G421" s="52"/>
      <c r="H421" s="52"/>
      <c r="I421" s="52"/>
      <c r="J421" s="52"/>
      <c r="K421" s="52"/>
      <c r="L421" s="52"/>
      <c r="M421" s="52"/>
      <c r="O421" s="62" t="s">
        <v>3060</v>
      </c>
      <c r="P421" s="1166" t="s">
        <v>3975</v>
      </c>
      <c r="Q421" s="234"/>
    </row>
    <row r="422" spans="1:31" ht="13.15" customHeight="1">
      <c r="B422" s="57" t="s">
        <v>3063</v>
      </c>
      <c r="C422" s="49" t="s">
        <v>889</v>
      </c>
      <c r="D422" s="52"/>
      <c r="E422" s="52"/>
      <c r="F422" s="52"/>
      <c r="G422" s="52"/>
      <c r="H422" s="52"/>
      <c r="I422" s="52"/>
      <c r="J422" s="52"/>
      <c r="K422" s="52"/>
      <c r="L422" s="52"/>
      <c r="M422" s="52"/>
      <c r="O422" s="62" t="s">
        <v>3063</v>
      </c>
      <c r="P422" s="1166" t="s">
        <v>3975</v>
      </c>
      <c r="Q422" s="234"/>
    </row>
    <row r="423" spans="1:31" ht="24" customHeight="1">
      <c r="B423" s="192" t="s">
        <v>1239</v>
      </c>
      <c r="C423" s="1014" t="s">
        <v>890</v>
      </c>
      <c r="D423" s="1014"/>
      <c r="E423" s="1014"/>
      <c r="F423" s="1014"/>
      <c r="G423" s="1014"/>
      <c r="H423" s="1014"/>
      <c r="I423" s="1014"/>
      <c r="J423" s="1014"/>
      <c r="K423" s="1014"/>
      <c r="L423" s="1014"/>
      <c r="M423" s="1014"/>
      <c r="N423" s="1014"/>
      <c r="O423" s="221" t="s">
        <v>1239</v>
      </c>
      <c r="P423" s="1252" t="s">
        <v>3975</v>
      </c>
      <c r="Q423" s="353"/>
    </row>
    <row r="424" spans="1:31" ht="11.25" customHeight="1">
      <c r="B424" s="191" t="s">
        <v>2921</v>
      </c>
      <c r="D424" s="191"/>
      <c r="E424" s="191"/>
      <c r="F424" s="191"/>
      <c r="G424" s="191"/>
      <c r="H424" s="50"/>
      <c r="I424" s="179"/>
      <c r="J424" s="179"/>
      <c r="K424" s="179"/>
      <c r="L424" s="738"/>
      <c r="M424" s="738"/>
      <c r="N424" s="738"/>
      <c r="O424" s="738"/>
      <c r="P424" s="738"/>
      <c r="Q424" s="63"/>
    </row>
    <row r="425" spans="1:31" ht="11.45" customHeight="1">
      <c r="A425" s="1152" t="s">
        <v>4024</v>
      </c>
      <c r="B425" s="1153"/>
      <c r="C425" s="1153"/>
      <c r="D425" s="1153"/>
      <c r="E425" s="1153"/>
      <c r="F425" s="1153"/>
      <c r="G425" s="1153"/>
      <c r="H425" s="1153"/>
      <c r="I425" s="1153"/>
      <c r="J425" s="1153"/>
      <c r="K425" s="1153"/>
      <c r="L425" s="1153"/>
      <c r="M425" s="1153"/>
      <c r="N425" s="1153"/>
      <c r="O425" s="1153"/>
      <c r="P425" s="1153"/>
      <c r="Q425" s="1154"/>
      <c r="R425" s="1029" t="s">
        <v>1933</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1355</v>
      </c>
      <c r="C433" s="5"/>
      <c r="D433" s="118"/>
      <c r="E433" s="740"/>
      <c r="F433" s="740"/>
      <c r="G433" s="740"/>
      <c r="H433" s="740"/>
      <c r="I433" s="740"/>
      <c r="J433" s="740"/>
      <c r="K433" s="740"/>
      <c r="L433" s="740"/>
      <c r="M433" s="740"/>
      <c r="O433" s="180" t="s">
        <v>2923</v>
      </c>
      <c r="P433" s="989"/>
      <c r="Q433" s="990"/>
    </row>
    <row r="434" spans="1:31" ht="11.25" customHeight="1">
      <c r="A434" s="742"/>
      <c r="B434" s="191" t="s">
        <v>2921</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1933</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4" zoomScaleNormal="90" workbookViewId="0">
      <selection activeCell="A144" sqref="A144:P144"/>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2011-023 The Village at Winding Road, St. Marys, Camden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1" t="s">
        <v>3895</v>
      </c>
      <c r="G10" s="40">
        <f>F17</f>
        <v>0</v>
      </c>
      <c r="H10" s="246" t="s">
        <v>321</v>
      </c>
      <c r="M10" s="7">
        <v>7</v>
      </c>
      <c r="N10" s="82" t="s">
        <v>3060</v>
      </c>
      <c r="O10" s="1151"/>
      <c r="P10" s="69"/>
    </row>
    <row r="11" spans="1:19" s="52" customFormat="1" ht="11.25" customHeight="1">
      <c r="A11" s="257" t="s">
        <v>3063</v>
      </c>
      <c r="B11" s="238" t="s">
        <v>1216</v>
      </c>
      <c r="D11" s="58"/>
      <c r="E11" s="58"/>
      <c r="F11" s="711" t="s">
        <v>3895</v>
      </c>
      <c r="G11" s="40">
        <f>K17</f>
        <v>0</v>
      </c>
      <c r="H11" s="246" t="s">
        <v>322</v>
      </c>
      <c r="J11" s="59"/>
      <c r="M11" s="7">
        <v>0</v>
      </c>
      <c r="N11" s="82" t="s">
        <v>3063</v>
      </c>
      <c r="O11" s="1151"/>
      <c r="P11" s="69"/>
      <c r="Q11" s="146"/>
    </row>
    <row r="12" spans="1:19" s="53" customFormat="1" ht="11.25" customHeight="1">
      <c r="A12" s="257" t="s">
        <v>1239</v>
      </c>
      <c r="B12" s="238" t="s">
        <v>3210</v>
      </c>
      <c r="D12" s="58"/>
      <c r="E12" s="58"/>
      <c r="F12" s="711" t="s">
        <v>3895</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4025</v>
      </c>
      <c r="B14" s="1153"/>
      <c r="C14" s="1153"/>
      <c r="D14" s="1153"/>
      <c r="E14" s="1153"/>
      <c r="F14" s="1153"/>
      <c r="G14" s="1153"/>
      <c r="H14" s="1153"/>
      <c r="I14" s="1153"/>
      <c r="J14" s="1153"/>
      <c r="K14" s="1153"/>
      <c r="L14" s="1153"/>
      <c r="M14" s="1153"/>
      <c r="N14" s="1153"/>
      <c r="O14" s="1153"/>
      <c r="P14" s="1154"/>
      <c r="Q14" s="1029" t="s">
        <v>1933</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6" t="s">
        <v>3639</v>
      </c>
      <c r="B17" s="1066"/>
      <c r="C17" s="1066"/>
      <c r="D17" s="1066"/>
      <c r="E17" s="83" t="s">
        <v>786</v>
      </c>
      <c r="F17" s="96">
        <f>SUM(F18:F29)</f>
        <v>0</v>
      </c>
      <c r="G17" s="1067" t="s">
        <v>3640</v>
      </c>
      <c r="H17" s="1066"/>
      <c r="I17" s="1066"/>
      <c r="J17" s="83" t="s">
        <v>786</v>
      </c>
      <c r="K17" s="96">
        <f>SUM(K18:K29)</f>
        <v>0</v>
      </c>
      <c r="L17" s="745"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1933</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8</v>
      </c>
      <c r="L32" s="82" t="s">
        <v>1940</v>
      </c>
      <c r="M32" s="148">
        <f>IF(OR('Part VI-Revenues &amp; Expenses'!$M$61="", 'Part VI-Revenues &amp; Expenses'!$M$61=0),"",J32/'Part VI-Revenues &amp; Expenses'!$M$61)</f>
        <v>0.16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4044</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c r="M43" s="7" t="s">
        <v>1901</v>
      </c>
      <c r="N43" s="252" t="s">
        <v>1239</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4045</v>
      </c>
      <c r="B46" s="1153"/>
      <c r="C46" s="1153"/>
      <c r="D46" s="1153"/>
      <c r="E46" s="1153"/>
      <c r="F46" s="1153"/>
      <c r="G46" s="1153"/>
      <c r="H46" s="1153"/>
      <c r="I46" s="1153"/>
      <c r="J46" s="1153"/>
      <c r="K46" s="1153"/>
      <c r="L46" s="1153"/>
      <c r="M46" s="1153"/>
      <c r="N46" s="1153"/>
      <c r="O46" s="1153"/>
      <c r="P46" s="1154"/>
      <c r="Q46" s="1029" t="s">
        <v>1933</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1933</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0</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1711</v>
      </c>
      <c r="E57" s="51"/>
      <c r="K57" s="58"/>
      <c r="L57" s="573" t="str">
        <f>IF(OR($O57=$M57,$O57=0,$O57=""),"","* * Check Score! * *")</f>
        <v/>
      </c>
      <c r="M57" s="3">
        <v>1</v>
      </c>
      <c r="N57" s="62" t="s">
        <v>3063</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3982</v>
      </c>
      <c r="J82" s="1171"/>
      <c r="K82" s="1171"/>
      <c r="L82" s="1172"/>
      <c r="M82" s="3">
        <v>3</v>
      </c>
      <c r="O82" s="96">
        <f>IF(OR(I82="Earth Craft Communities",I82="LEED-ND"),3,IF(OR(I82="Earth Craft House",I82="LEED for Homes",I82="EF Green Communities"),2,0))</f>
        <v>3</v>
      </c>
      <c r="P82" s="89"/>
      <c r="Q82" s="146" t="s">
        <v>652</v>
      </c>
    </row>
    <row r="83" spans="1:18" s="139" customFormat="1" ht="13.9" customHeight="1">
      <c r="A83" s="52"/>
      <c r="B83" s="1173" t="s">
        <v>2659</v>
      </c>
      <c r="C83" s="1057"/>
      <c r="D83" s="1057"/>
      <c r="E83" s="1057"/>
      <c r="F83" s="1057"/>
      <c r="G83" s="1057"/>
      <c r="H83" s="1057"/>
      <c r="I83" s="1057"/>
      <c r="J83" s="1057"/>
      <c r="K83" s="1057"/>
      <c r="L83" s="1057"/>
      <c r="M83" s="1057"/>
      <c r="N83" s="1"/>
      <c r="O83" s="1174" t="s">
        <v>3924</v>
      </c>
      <c r="P83" s="551"/>
    </row>
    <row r="84" spans="1:18" s="598" customFormat="1" ht="34.9" customHeight="1">
      <c r="B84" s="194" t="s">
        <v>3060</v>
      </c>
      <c r="C84" s="1053" t="s">
        <v>1570</v>
      </c>
      <c r="D84" s="1004"/>
      <c r="E84" s="1004"/>
      <c r="F84" s="1004"/>
      <c r="G84" s="1004"/>
      <c r="H84" s="1004"/>
      <c r="I84" s="1004"/>
      <c r="J84" s="1004"/>
      <c r="K84" s="1004"/>
      <c r="L84" s="1004"/>
      <c r="M84" s="698" t="str">
        <f>IF(AND($I$93="Stable Communities &lt; 10%",O84=""), "X","")</f>
        <v/>
      </c>
      <c r="N84" s="221" t="s">
        <v>3060</v>
      </c>
      <c r="O84" s="1175" t="s">
        <v>3975</v>
      </c>
      <c r="P84" s="703"/>
    </row>
    <row r="85" spans="1:18" s="598" customFormat="1" ht="34.9" customHeight="1">
      <c r="B85" s="194" t="s">
        <v>3063</v>
      </c>
      <c r="C85" s="1002" t="s">
        <v>1571</v>
      </c>
      <c r="D85" s="1004"/>
      <c r="E85" s="1004"/>
      <c r="F85" s="1004"/>
      <c r="G85" s="1004"/>
      <c r="H85" s="1004"/>
      <c r="I85" s="1004"/>
      <c r="J85" s="1004"/>
      <c r="K85" s="1004"/>
      <c r="L85" s="1004"/>
      <c r="M85" s="698" t="str">
        <f>IF(AND($I$93="Stable Communities &lt; 10%",O85=""), "X","")</f>
        <v/>
      </c>
      <c r="N85" s="221" t="s">
        <v>3063</v>
      </c>
      <c r="O85" s="1176" t="s">
        <v>3975</v>
      </c>
      <c r="P85" s="704"/>
    </row>
    <row r="86" spans="1:18" s="139" customFormat="1" ht="11.45" customHeight="1">
      <c r="A86" s="52"/>
      <c r="B86" s="59" t="s">
        <v>333</v>
      </c>
      <c r="C86" s="52"/>
      <c r="D86" s="58"/>
      <c r="E86" s="58"/>
      <c r="F86" s="58"/>
      <c r="G86" s="58"/>
      <c r="K86" s="46"/>
      <c r="M86" s="56"/>
      <c r="N86" s="7"/>
      <c r="O86" s="4"/>
      <c r="P86" s="3"/>
    </row>
    <row r="87" spans="1:18" s="53" customFormat="1" ht="35.25" customHeight="1">
      <c r="A87" s="1177" t="s">
        <v>4026</v>
      </c>
      <c r="B87" s="1178"/>
      <c r="C87" s="1178"/>
      <c r="D87" s="1178"/>
      <c r="E87" s="1178"/>
      <c r="F87" s="1178"/>
      <c r="G87" s="1178"/>
      <c r="H87" s="1178"/>
      <c r="I87" s="1178"/>
      <c r="J87" s="1178"/>
      <c r="K87" s="1178"/>
      <c r="L87" s="1178"/>
      <c r="M87" s="1178"/>
      <c r="N87" s="1178"/>
      <c r="O87" s="1178"/>
      <c r="P87" s="1179"/>
    </row>
    <row r="88" spans="1:18" s="53" customFormat="1" ht="30" customHeight="1">
      <c r="A88" s="1180" t="s">
        <v>4027</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3983</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652</v>
      </c>
      <c r="R93" s="53"/>
    </row>
    <row r="94" spans="1:18" ht="12"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X</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t="s">
        <v>3924</v>
      </c>
      <c r="P97" s="354"/>
    </row>
    <row r="98" spans="1:16" ht="11.45" customHeight="1">
      <c r="B98" s="233" t="s">
        <v>3683</v>
      </c>
      <c r="C98" s="585" t="s">
        <v>3624</v>
      </c>
      <c r="E98" s="159"/>
      <c r="G98" s="137" t="s">
        <v>3625</v>
      </c>
      <c r="M98" s="590" t="str">
        <f>IF(AND($I$93="Stable Communities &lt; 10%",O98=""), "X","")</f>
        <v/>
      </c>
      <c r="N98" s="233" t="s">
        <v>3683</v>
      </c>
      <c r="O98" s="1174" t="s">
        <v>3924</v>
      </c>
      <c r="P98" s="551"/>
    </row>
    <row r="99" spans="1:16" ht="11.45" customHeight="1">
      <c r="B99" s="233" t="s">
        <v>3684</v>
      </c>
      <c r="C99" s="585" t="s">
        <v>2191</v>
      </c>
      <c r="E99" s="159"/>
      <c r="M99" s="590" t="str">
        <f>IF(AND($I$93="Stable Communities &lt; 10%",O99=""), "X","")</f>
        <v/>
      </c>
      <c r="N99" s="233" t="s">
        <v>3686</v>
      </c>
      <c r="O99" s="1184" t="s">
        <v>3924</v>
      </c>
      <c r="P99" s="355"/>
    </row>
    <row r="100" spans="1:16" ht="11.45" customHeight="1">
      <c r="A100" s="564" t="str">
        <f>IF($I$93="Stable Communities &lt; 20%", "X","")</f>
        <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c r="P101" s="354"/>
    </row>
    <row r="102" spans="1:16" ht="11.45" customHeight="1">
      <c r="B102" s="233" t="s">
        <v>3683</v>
      </c>
      <c r="C102" s="585" t="s">
        <v>3624</v>
      </c>
      <c r="E102" s="159"/>
      <c r="G102" s="137" t="s">
        <v>3625</v>
      </c>
      <c r="M102" s="590" t="str">
        <f>IF(AND($I$93="Stable Communities &lt; 20%",O102=""), "X","")</f>
        <v/>
      </c>
      <c r="N102" s="233" t="s">
        <v>3683</v>
      </c>
      <c r="O102" s="1174"/>
      <c r="P102" s="551"/>
    </row>
    <row r="103" spans="1:16" ht="11.45" customHeight="1">
      <c r="B103" s="233" t="s">
        <v>3684</v>
      </c>
      <c r="C103" s="585" t="s">
        <v>2191</v>
      </c>
      <c r="E103" s="159"/>
      <c r="M103" s="590" t="str">
        <f>IF(AND($I$93="Stable Communities &lt; 20%",O103=""), "X","")</f>
        <v/>
      </c>
      <c r="N103" s="233" t="s">
        <v>3686</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c r="P106" s="354"/>
    </row>
    <row r="107" spans="1:16" ht="10.9" customHeight="1">
      <c r="B107" s="566" t="s">
        <v>3683</v>
      </c>
      <c r="C107" s="567" t="s">
        <v>915</v>
      </c>
      <c r="M107" s="589" t="str">
        <f>IF(AND($I$93="HOPE VI Initiative",O107=""), "X","")</f>
        <v/>
      </c>
      <c r="N107" s="233" t="s">
        <v>3683</v>
      </c>
      <c r="O107" s="1174"/>
      <c r="P107" s="551"/>
    </row>
    <row r="108" spans="1:16" ht="10.9" customHeight="1">
      <c r="B108" s="566" t="s">
        <v>3684</v>
      </c>
      <c r="C108" s="567" t="s">
        <v>916</v>
      </c>
      <c r="M108" s="589" t="str">
        <f>IF(AND($I$93="HOPE VI Initiative",O108=""), "X","")</f>
        <v/>
      </c>
      <c r="N108" s="233" t="s">
        <v>3684</v>
      </c>
      <c r="O108" s="1174"/>
      <c r="P108" s="551"/>
    </row>
    <row r="109" spans="1:16" ht="10.9" customHeight="1">
      <c r="B109" s="566" t="s">
        <v>3685</v>
      </c>
      <c r="C109" s="72" t="s">
        <v>917</v>
      </c>
      <c r="M109" s="589" t="str">
        <f>IF(AND($I$93="HOPE VI Initiative",O109=""), "X","")</f>
        <v/>
      </c>
      <c r="N109" s="233" t="s">
        <v>3685</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
      </c>
      <c r="B111" s="565" t="s">
        <v>3823</v>
      </c>
      <c r="C111" s="153" t="s">
        <v>541</v>
      </c>
      <c r="D111" s="139"/>
      <c r="F111" s="589"/>
      <c r="G111" s="50" t="s">
        <v>1651</v>
      </c>
      <c r="H111" s="1185" t="s">
        <v>2801</v>
      </c>
      <c r="I111" s="161" t="s">
        <v>1563</v>
      </c>
      <c r="J111" s="1186"/>
      <c r="K111" s="1187"/>
      <c r="L111" s="1188"/>
      <c r="M111" s="70"/>
      <c r="N111" s="565" t="s">
        <v>3823</v>
      </c>
      <c r="O111" s="1184"/>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3682</v>
      </c>
      <c r="C113" s="50" t="s">
        <v>922</v>
      </c>
      <c r="D113" s="137"/>
      <c r="G113" s="137" t="s">
        <v>920</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919</v>
      </c>
      <c r="C124" s="72" t="s">
        <v>3724</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8"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51" t="s">
        <v>1565</v>
      </c>
      <c r="D134" s="1004"/>
      <c r="E134" s="1004"/>
      <c r="F134" s="1004"/>
      <c r="G134" s="1004"/>
      <c r="H134" s="1004"/>
      <c r="I134" s="1004"/>
      <c r="J134" s="1004"/>
      <c r="K134" s="1004"/>
      <c r="L134" s="1004"/>
      <c r="M134" s="695"/>
      <c r="N134" s="596" t="s">
        <v>3064</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8"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4036</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70" t="s">
        <v>3728</v>
      </c>
      <c r="C149" s="1004"/>
      <c r="D149" s="1004"/>
      <c r="E149" s="1004"/>
      <c r="F149" s="1004"/>
      <c r="G149" s="1004"/>
      <c r="H149" s="1004"/>
      <c r="I149" s="1004"/>
      <c r="J149" s="1004"/>
      <c r="K149" s="1004"/>
      <c r="L149" s="1004"/>
      <c r="M149" s="1004"/>
      <c r="N149" s="1004"/>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70" t="s">
        <v>3341</v>
      </c>
      <c r="C152" s="1004"/>
      <c r="D152" s="1004"/>
      <c r="E152" s="1004"/>
      <c r="F152" s="1004"/>
      <c r="G152" s="1004"/>
      <c r="H152" s="1004"/>
      <c r="I152" s="1004"/>
      <c r="J152" s="1004"/>
      <c r="K152" s="1004"/>
      <c r="L152" s="1004"/>
      <c r="M152" s="1004"/>
      <c r="N152" s="1004"/>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8" t="s">
        <v>3060</v>
      </c>
      <c r="C167" s="238" t="s">
        <v>3361</v>
      </c>
      <c r="D167" s="76"/>
      <c r="E167" s="76"/>
      <c r="G167" s="31"/>
      <c r="K167" s="62" t="s">
        <v>2216</v>
      </c>
      <c r="L167" s="1166" t="s">
        <v>3924</v>
      </c>
      <c r="M167" s="8">
        <v>1</v>
      </c>
      <c r="N167" s="62" t="s">
        <v>3060</v>
      </c>
      <c r="O167" s="1162">
        <v>1</v>
      </c>
      <c r="P167" s="89"/>
      <c r="Q167" s="146"/>
      <c r="R167" s="573" t="str">
        <f>IF(OR($O167=$M167,$O167=0,$O167=""),"","* * Check Score! * *")</f>
        <v/>
      </c>
    </row>
    <row r="168" spans="1:18" s="53" customFormat="1" ht="12" customHeight="1">
      <c r="B168" s="738"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4028</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8"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3066</v>
      </c>
      <c r="C179" s="1055" t="s">
        <v>2902</v>
      </c>
      <c r="D179" s="1055"/>
      <c r="E179" s="1055"/>
      <c r="F179" s="1055"/>
      <c r="G179" s="1055"/>
      <c r="H179" s="1055"/>
      <c r="I179" s="1055"/>
      <c r="J179" s="1055"/>
      <c r="K179" s="1055"/>
      <c r="L179" s="1055"/>
      <c r="M179" s="694">
        <v>1</v>
      </c>
    </row>
    <row r="180" spans="1:18" ht="12" customHeight="1">
      <c r="B180" s="738"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4037</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58"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c r="E209" s="1200"/>
      <c r="F209" s="1200"/>
      <c r="G209" s="1201"/>
      <c r="I209" s="702" t="s">
        <v>1573</v>
      </c>
      <c r="J209" s="1166"/>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t="s">
        <v>4046</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v>1</v>
      </c>
      <c r="P213" s="89"/>
      <c r="Q213" s="146" t="s">
        <v>652</v>
      </c>
    </row>
    <row r="214" spans="1:18" s="53" customFormat="1" ht="12.6" customHeight="1">
      <c r="A214" s="52"/>
      <c r="B214" s="153" t="s">
        <v>2893</v>
      </c>
      <c r="D214" s="139"/>
      <c r="E214" s="1202" t="s">
        <v>3984</v>
      </c>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t="s">
        <v>2252</v>
      </c>
      <c r="H215" s="1207"/>
      <c r="I215" s="1208"/>
      <c r="J215" s="1206" t="s">
        <v>1838</v>
      </c>
      <c r="K215" s="1207"/>
      <c r="L215" s="1208"/>
      <c r="N215" s="566" t="s">
        <v>3682</v>
      </c>
      <c r="O215" s="1166" t="s">
        <v>3924</v>
      </c>
      <c r="P215" s="234"/>
    </row>
    <row r="216" spans="1:18" s="137" customFormat="1" ht="11.45" customHeight="1">
      <c r="B216" s="566" t="s">
        <v>3683</v>
      </c>
      <c r="C216" s="160" t="s">
        <v>506</v>
      </c>
      <c r="D216" s="160"/>
      <c r="E216" s="160"/>
      <c r="F216" s="160"/>
      <c r="G216" s="160"/>
      <c r="L216" s="160"/>
      <c r="M216" s="160"/>
      <c r="N216" s="566" t="s">
        <v>3683</v>
      </c>
      <c r="O216" s="1166" t="s">
        <v>3924</v>
      </c>
      <c r="P216" s="234"/>
    </row>
    <row r="217" spans="1:18" s="137" customFormat="1" ht="11.45" customHeight="1">
      <c r="B217" s="566" t="s">
        <v>3684</v>
      </c>
      <c r="C217" s="160" t="s">
        <v>2625</v>
      </c>
      <c r="D217" s="160"/>
      <c r="E217" s="160"/>
      <c r="F217" s="160"/>
      <c r="G217" s="160"/>
      <c r="H217" s="160"/>
      <c r="L217" s="160"/>
      <c r="M217" s="160"/>
      <c r="N217" s="566" t="s">
        <v>3684</v>
      </c>
      <c r="O217" s="1166" t="s">
        <v>3924</v>
      </c>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t="s">
        <v>3924</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871</v>
      </c>
      <c r="N230" s="252" t="s">
        <v>3066</v>
      </c>
      <c r="O230" s="1166"/>
      <c r="P230" s="234"/>
    </row>
    <row r="231" spans="1:18" s="137" customFormat="1" ht="12" customHeight="1">
      <c r="B231" s="252" t="s">
        <v>3823</v>
      </c>
      <c r="C231" s="137" t="s">
        <v>872</v>
      </c>
      <c r="N231" s="252" t="s">
        <v>3823</v>
      </c>
      <c r="O231" s="1166"/>
      <c r="P231" s="234"/>
    </row>
    <row r="232" spans="1:18" s="137" customFormat="1" ht="12" customHeight="1">
      <c r="B232" s="252" t="s">
        <v>1886</v>
      </c>
      <c r="C232" s="137" t="s">
        <v>873</v>
      </c>
      <c r="N232" s="252" t="s">
        <v>1886</v>
      </c>
      <c r="O232" s="1166"/>
      <c r="P232" s="234"/>
    </row>
    <row r="233" spans="1:18" s="137" customFormat="1" ht="12"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3924</v>
      </c>
      <c r="P260" s="234"/>
    </row>
    <row r="261" spans="1:18" s="53" customFormat="1" ht="24.6" customHeight="1">
      <c r="A261" s="52"/>
      <c r="B261" s="1056" t="s">
        <v>3918</v>
      </c>
      <c r="C261" s="1057"/>
      <c r="D261" s="1057"/>
      <c r="E261" s="1057"/>
      <c r="F261" s="1057"/>
      <c r="G261" s="1057"/>
      <c r="H261" s="1057"/>
      <c r="I261" s="1057"/>
      <c r="J261" s="1057"/>
      <c r="K261" s="1057"/>
      <c r="L261" s="1057"/>
      <c r="M261" s="56"/>
      <c r="N261" s="77"/>
      <c r="O261" s="1166" t="s">
        <v>3924</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4047</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t="s">
        <v>4048</v>
      </c>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4" t="s">
        <v>3519</v>
      </c>
      <c r="C273" s="1051"/>
      <c r="D273" s="1051"/>
      <c r="E273" s="1051"/>
      <c r="F273" s="1051"/>
      <c r="G273" s="1051"/>
      <c r="H273" s="1051"/>
      <c r="I273" s="1051"/>
      <c r="J273" s="1051"/>
      <c r="K273" s="1051"/>
      <c r="L273" s="1051"/>
      <c r="M273" s="1051"/>
      <c r="N273" s="62"/>
      <c r="O273" s="1166" t="s">
        <v>3975</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22.5" customHeight="1">
      <c r="A275" s="1159" t="s">
        <v>4029</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t="s">
        <v>3924</v>
      </c>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3985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4030</v>
      </c>
      <c r="B288" s="1153"/>
      <c r="C288" s="1153"/>
      <c r="D288" s="1153"/>
      <c r="E288" s="1153"/>
      <c r="F288" s="1153"/>
      <c r="G288" s="1153"/>
      <c r="H288" s="1153"/>
      <c r="I288" s="1153"/>
      <c r="J288" s="1153"/>
      <c r="K288" s="1153"/>
      <c r="L288" s="1153"/>
      <c r="M288" s="1153"/>
      <c r="N288" s="1153"/>
      <c r="O288" s="1153"/>
      <c r="P288" s="1154"/>
      <c r="Q288" s="1029" t="s">
        <v>1933</v>
      </c>
      <c r="R288" s="1029"/>
    </row>
    <row r="289" spans="1:19" s="67" customFormat="1" ht="23.45" customHeight="1">
      <c r="A289" s="1155" t="s">
        <v>4031</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1933</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144" sqref="D144"/>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The Village at Winding Road</v>
      </c>
    </row>
    <row r="3" spans="1:6" ht="16.5">
      <c r="A3" s="1147" t="str">
        <f>CONCATENATE('Part I-Project Information'!F24,", ", 'Part I-Project Information'!J25," County")</f>
        <v>St. Marys, Camden County</v>
      </c>
    </row>
    <row r="4" spans="1:6" ht="12" customHeight="1"/>
    <row r="5" spans="1:6" ht="111" customHeight="1">
      <c r="A5" s="1148"/>
      <c r="B5" s="774" t="s">
        <v>1592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5" workbookViewId="0">
      <selection activeCell="D144" sqref="D14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6" zoomScale="120" workbookViewId="0">
      <selection activeCell="D144" sqref="D14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7262454</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8714952</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7988694</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3372</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3898</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The Village at Winding Road</v>
      </c>
    </row>
    <row r="3" spans="1:2">
      <c r="A3" s="748" t="str">
        <f>CONCATENATE('Part I-Project Information'!F24,", ", 'Part I-Project Information'!J25," County")</f>
        <v>St. Marys, Camden County</v>
      </c>
    </row>
    <row r="4" spans="1:2" ht="12" customHeight="1"/>
    <row r="5" spans="1:2" ht="111" customHeight="1">
      <c r="A5" s="748" t="str">
        <f>'Project Narrative'!A5</f>
        <v xml:space="preserve">The Village at Winding Road is a 50 unit, New Construction, Housing for Older Persons development located in St Marys, GA. The concept for this development is to meet the demand for the target population, senior households, age 55 and older, with income limits up to $28,260.  The Market Study prepared by Novogradac and Company, LLC verifies the lack of affordable housing for those age 55 and older in Camden County.  The property will be developed utilizing Low Income Housing Tax Credits and conventional construction financing.  
</v>
      </c>
      <c r="B5" s="748" t="s">
        <v>1592</v>
      </c>
    </row>
    <row r="6" spans="1:2" ht="6.6" customHeight="1"/>
    <row r="7" spans="1:2" ht="111" customHeight="1">
      <c r="A7" s="748" t="str">
        <f>'Project Narrative'!A7</f>
        <v xml:space="preserve">The Village at Winding Road is located at Winding Road and Krayons Court.  The proposed development is located in an established residential and commercially developed area and is an infill opportunity that will take advantage of existing utilities, and will be in close proximity to healthcare, doctor’s offices, retail, parks, restaurants, and many other desirable amenities. Through the New Construction, there will be a number of amenities that will specifically target our HFOP population.  These amenities include:  a community room, washer/dryer in each unit, fitness center, a covered pavilion, an equipped computer room, and a walking trail providing access to the Camden Medical center and various nearby amenities. The new construction development will have 5% of the units equipped for the mobility disabled, as well as an additional 2% of the units will be equipped for the hearing and sight impaired.  The plans and specifications will be reviewed by a professional accessibility consultant. </v>
      </c>
    </row>
    <row r="8" spans="1:2" ht="6.6" customHeight="1"/>
    <row r="9" spans="1:2" ht="111" customHeight="1">
      <c r="A9" s="748" t="str">
        <f>'Project Narrative'!A9</f>
        <v xml:space="preserve">The Village at Winding Road will be constructed in participation with the Southface Institute and their EarthCraft Communities guidelines.  The applicant has entered into a Memorandum of Participation with the Southface Institute.  The Village at Winding Road will be the first Earthcraft Community in Camden County, and one of the first in southeast Georgia.                    
The City of St. Marys has expressed its support of this project through its adopted Resolution of Support.  The development team has also received written support for The Village at Winding Road from a multitude community stakeholders, including:  Camden Medical Center, Congressman Jack Kingston, the City of St. Marys, Camden County,  State Senator William Ligon, and State Representative Jason Spencer.
</v>
      </c>
    </row>
    <row r="10" spans="1:2" ht="6.6" customHeight="1"/>
    <row r="11" spans="1:2" ht="111" customHeight="1">
      <c r="A11" s="748" t="str">
        <f>'Project Narrative'!A11</f>
        <v>The development of The Village at Winding Road will achieve a number of valuable goals and benefits for the surrounding community and for the proposed tenants. This is evident by the enthusiastic support of our development by the Mayor and City Council of St. Marys. This development team is bringing new affordable HFOP housing to an area of St. Marys that is ideally suited for seniors.</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4055</v>
      </c>
      <c r="M32" s="748" t="s">
        <v>2730</v>
      </c>
    </row>
    <row r="33" spans="1:15" ht="12" customHeight="1">
      <c r="E33" s="748" t="s">
        <v>4056</v>
      </c>
      <c r="O33" s="748" t="str">
        <f>'Part I-Project Information'!$O$4</f>
        <v>2011-023</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W. H. Gross</v>
      </c>
      <c r="M42" s="748" t="s">
        <v>3057</v>
      </c>
      <c r="N42" s="748">
        <f>'Part I-Project Information'!N13</f>
        <v>0</v>
      </c>
    </row>
    <row r="43" spans="1:15" ht="13.15" customHeight="1">
      <c r="C43" s="748" t="s">
        <v>3058</v>
      </c>
      <c r="F43" s="748" t="str">
        <f>'Part I-Project Information'!$F$14</f>
        <v>1209 E King Avenue</v>
      </c>
      <c r="M43" s="748" t="s">
        <v>2747</v>
      </c>
      <c r="O43" s="748">
        <f>'Part I-Project Information'!O14</f>
        <v>9127293584</v>
      </c>
    </row>
    <row r="44" spans="1:15" ht="13.15" customHeight="1">
      <c r="C44" s="748" t="s">
        <v>954</v>
      </c>
      <c r="F44" s="748" t="str">
        <f>'Part I-Project Information'!$F$15</f>
        <v>Kingsland</v>
      </c>
      <c r="M44" s="748" t="s">
        <v>2833</v>
      </c>
      <c r="O44" s="748">
        <f>'Part I-Project Information'!O15</f>
        <v>0</v>
      </c>
    </row>
    <row r="45" spans="1:15" ht="13.15" customHeight="1">
      <c r="C45" s="748" t="s">
        <v>2830</v>
      </c>
      <c r="F45" s="748" t="str">
        <f>'Part I-Project Information'!$F$16</f>
        <v>GA</v>
      </c>
      <c r="I45" s="748" t="s">
        <v>3354</v>
      </c>
      <c r="J45" s="748">
        <f>'Part I-Project Information'!J16</f>
        <v>315480000</v>
      </c>
      <c r="M45" s="748" t="s">
        <v>3056</v>
      </c>
      <c r="O45" s="748">
        <f>'Part I-Project Information'!O16</f>
        <v>9123221148</v>
      </c>
    </row>
    <row r="46" spans="1:15" ht="13.15" customHeight="1">
      <c r="C46" s="748" t="s">
        <v>2746</v>
      </c>
      <c r="F46" s="748">
        <f>'Part I-Project Information'!F17</f>
        <v>9127293584</v>
      </c>
      <c r="I46" s="748" t="s">
        <v>2745</v>
      </c>
      <c r="J46" s="748">
        <f>'Part I-Project Information'!J17</f>
        <v>0</v>
      </c>
      <c r="K46" s="748" t="s">
        <v>3061</v>
      </c>
      <c r="L46" s="748" t="str">
        <f>'Part I-Project Information'!L17</f>
        <v>whgross@whgross.com</v>
      </c>
    </row>
    <row r="47" spans="1:15" ht="13.15" customHeight="1">
      <c r="C47" s="748" t="s">
        <v>998</v>
      </c>
    </row>
    <row r="48" spans="1:15" ht="7.15" customHeight="1"/>
    <row r="49" spans="1:16" ht="13.15" customHeight="1">
      <c r="A49" s="748" t="s">
        <v>2823</v>
      </c>
      <c r="C49" s="748" t="s">
        <v>2208</v>
      </c>
    </row>
    <row r="50" spans="1:16" ht="3" customHeight="1"/>
    <row r="51" spans="1:16" ht="13.15" customHeight="1">
      <c r="C51" s="748" t="s">
        <v>952</v>
      </c>
      <c r="F51" s="748" t="str">
        <f>'Part I-Project Information'!F22</f>
        <v>The Village at Winding Road</v>
      </c>
      <c r="M51" s="748" t="s">
        <v>3300</v>
      </c>
      <c r="O51" s="748" t="str">
        <f>'Part I-Project Information'!O22</f>
        <v>Yes- w/Master Plan</v>
      </c>
    </row>
    <row r="52" spans="1:16" ht="13.15" customHeight="1">
      <c r="C52" s="748" t="s">
        <v>953</v>
      </c>
      <c r="F52" s="748" t="str">
        <f>'Part I-Project Information'!F23</f>
        <v>Winding Road and Krayons Court</v>
      </c>
      <c r="M52" s="748" t="s">
        <v>3146</v>
      </c>
      <c r="O52" s="748" t="str">
        <f>'Part I-Project Information'!O23</f>
        <v>No</v>
      </c>
    </row>
    <row r="53" spans="1:16" ht="13.15" customHeight="1">
      <c r="C53" s="748" t="s">
        <v>954</v>
      </c>
      <c r="F53" s="748" t="str">
        <f>'Part I-Project Information'!F24</f>
        <v>St. Marys</v>
      </c>
      <c r="I53" s="748" t="s">
        <v>4057</v>
      </c>
      <c r="J53" s="748">
        <f>'Part I-Project Information'!J24</f>
        <v>315480000</v>
      </c>
      <c r="L53" s="748" t="str">
        <f>IF(AND(NOT(F51=""),NOT(F53="Select from list"),J53=""),"Enter Zip!","")</f>
        <v/>
      </c>
      <c r="M53" s="748" t="s">
        <v>3416</v>
      </c>
      <c r="O53" s="748">
        <f>'Part I-Project Information'!O24</f>
        <v>10.43</v>
      </c>
    </row>
    <row r="54" spans="1:16" ht="13.15" customHeight="1">
      <c r="C54" s="748" t="s">
        <v>3145</v>
      </c>
      <c r="F54" s="748" t="str">
        <f>'Part I-Project Information'!F25</f>
        <v>Yes</v>
      </c>
      <c r="I54" s="748" t="s">
        <v>955</v>
      </c>
      <c r="J54" s="748" t="str">
        <f>'Part I-Project Information'!J25</f>
        <v>Camden</v>
      </c>
      <c r="M54" s="748" t="s">
        <v>3435</v>
      </c>
      <c r="O54" s="748">
        <f>'Part I-Project Information'!O25</f>
        <v>104</v>
      </c>
    </row>
    <row r="55" spans="1:16" ht="13.15" customHeight="1">
      <c r="C55" s="748" t="s">
        <v>2314</v>
      </c>
      <c r="F55" s="748" t="str">
        <f>'Part I-Project Information'!F26</f>
        <v>Yes</v>
      </c>
      <c r="I55" s="748" t="s">
        <v>886</v>
      </c>
      <c r="J55" s="748" t="str">
        <f>'Part I-Project Information'!J26</f>
        <v>Camden Co.</v>
      </c>
      <c r="M55" s="748" t="s">
        <v>666</v>
      </c>
      <c r="N55" s="748" t="str">
        <f>'Part I-Project Information'!N26</f>
        <v>No</v>
      </c>
      <c r="O55" s="748" t="s">
        <v>667</v>
      </c>
      <c r="P55" s="748" t="str">
        <f>'Part I-Project Information'!P26</f>
        <v>No</v>
      </c>
    </row>
    <row r="56" spans="1:16" ht="3" customHeight="1"/>
    <row r="57" spans="1:16" ht="13.15" customHeight="1">
      <c r="F57" s="748" t="s">
        <v>4058</v>
      </c>
      <c r="H57" s="748" t="s">
        <v>1226</v>
      </c>
      <c r="J57" s="748" t="s">
        <v>1227</v>
      </c>
    </row>
    <row r="58" spans="1:16" ht="13.15" customHeight="1">
      <c r="C58" s="748" t="s">
        <v>956</v>
      </c>
      <c r="F58" s="748">
        <f>'Part I-Project Information'!F29</f>
        <v>1</v>
      </c>
      <c r="H58" s="748">
        <f>'Part I-Project Information'!H29</f>
        <v>3</v>
      </c>
      <c r="J58" s="748">
        <f>'Part I-Project Information'!J29</f>
        <v>3</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St Marys</v>
      </c>
    </row>
    <row r="62" spans="1:16" ht="13.15" customHeight="1">
      <c r="C62" s="748" t="s">
        <v>975</v>
      </c>
      <c r="F62" s="748" t="str">
        <f>'Part I-Project Information'!F33</f>
        <v>William DeLoughy</v>
      </c>
      <c r="K62" s="748" t="s">
        <v>3057</v>
      </c>
      <c r="L62" s="748" t="str">
        <f>'Part I-Project Information'!L33</f>
        <v>Mayor</v>
      </c>
    </row>
    <row r="63" spans="1:16" ht="13.15" customHeight="1">
      <c r="C63" s="748" t="s">
        <v>3058</v>
      </c>
      <c r="F63" s="748" t="str">
        <f>'Part I-Project Information'!F34</f>
        <v>418 Osborne Street</v>
      </c>
      <c r="K63" s="748" t="s">
        <v>954</v>
      </c>
      <c r="L63" s="748" t="str">
        <f>'Part I-Project Information'!L34</f>
        <v>St. Marys</v>
      </c>
    </row>
    <row r="64" spans="1:16" ht="13.15" customHeight="1">
      <c r="C64" s="748" t="s">
        <v>3354</v>
      </c>
      <c r="F64" s="748">
        <f>'Part I-Project Information'!F35</f>
        <v>315480000</v>
      </c>
      <c r="H64" s="748" t="s">
        <v>3059</v>
      </c>
      <c r="I64" s="748">
        <f>'Part I-Project Information'!I35</f>
        <v>9125104041</v>
      </c>
      <c r="L64" s="748" t="s">
        <v>2833</v>
      </c>
      <c r="M64" s="748">
        <f>'Part I-Project Information'!M35</f>
        <v>9125104013</v>
      </c>
    </row>
    <row r="65" spans="1:16" ht="7.15" customHeight="1"/>
    <row r="66" spans="1:16" ht="13.15" customHeight="1">
      <c r="A66" s="748" t="s">
        <v>2825</v>
      </c>
      <c r="C66" s="748" t="s">
        <v>2209</v>
      </c>
      <c r="J66" s="748" t="s">
        <v>4059</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50</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50</v>
      </c>
      <c r="K78" s="748" t="s">
        <v>3444</v>
      </c>
      <c r="P78" s="748">
        <f>'Part VI-Revenues &amp; Expenses'!$M$94</f>
        <v>49800</v>
      </c>
    </row>
    <row r="79" spans="1:16" ht="13.15" customHeight="1">
      <c r="D79" s="748" t="s">
        <v>490</v>
      </c>
      <c r="H79" s="748">
        <f>'Part VI-Revenues &amp; Expenses'!$M$58</f>
        <v>8</v>
      </c>
      <c r="I79" s="748">
        <f>'Part VI-Revenues &amp; Expenses'!$M$66</f>
        <v>0</v>
      </c>
      <c r="K79" s="748" t="s">
        <v>326</v>
      </c>
      <c r="P79" s="748">
        <f>'Part VI-Revenues &amp; Expenses'!$M$95</f>
        <v>0</v>
      </c>
    </row>
    <row r="80" spans="1:16" ht="13.15" customHeight="1">
      <c r="D80" s="748" t="s">
        <v>2863</v>
      </c>
      <c r="H80" s="748">
        <f>'Part VI-Revenues &amp; Expenses'!$M$57</f>
        <v>42</v>
      </c>
      <c r="I80" s="748">
        <f>'Part VI-Revenues &amp; Expenses'!$M$65</f>
        <v>0</v>
      </c>
      <c r="K80" s="748" t="s">
        <v>3445</v>
      </c>
      <c r="P80" s="748">
        <f>+P78+P79</f>
        <v>49800</v>
      </c>
    </row>
    <row r="81" spans="1:16" ht="13.15" customHeight="1">
      <c r="C81" s="748" t="s">
        <v>327</v>
      </c>
      <c r="H81" s="748">
        <f>'Part VI-Revenues &amp; Expenses'!$M$60</f>
        <v>0</v>
      </c>
      <c r="K81" s="748" t="s">
        <v>2134</v>
      </c>
      <c r="P81" s="748">
        <f>'Part VI-Revenues &amp; Expenses'!$M$97</f>
        <v>0</v>
      </c>
    </row>
    <row r="82" spans="1:16" ht="13.15" customHeight="1">
      <c r="C82" s="748" t="s">
        <v>3650</v>
      </c>
      <c r="H82" s="748">
        <f>+H78+H81</f>
        <v>50</v>
      </c>
      <c r="K82" s="748" t="s">
        <v>2133</v>
      </c>
      <c r="P82" s="748">
        <f>+P80+P81</f>
        <v>49800</v>
      </c>
    </row>
    <row r="83" spans="1:16" ht="13.15" customHeight="1">
      <c r="C83" s="748" t="s">
        <v>3651</v>
      </c>
      <c r="H83" s="748">
        <f>'Part VI-Revenues &amp; Expenses'!$M$62</f>
        <v>0</v>
      </c>
    </row>
    <row r="84" spans="1:16" ht="13.15" customHeight="1">
      <c r="C84" s="748" t="s">
        <v>2824</v>
      </c>
      <c r="H84" s="748">
        <f>+H82+H83</f>
        <v>50</v>
      </c>
    </row>
    <row r="85" spans="1:16" ht="3" customHeight="1"/>
    <row r="86" spans="1:16" ht="13.15" customHeight="1">
      <c r="B86" s="748" t="s">
        <v>2763</v>
      </c>
      <c r="C86" s="748" t="s">
        <v>3438</v>
      </c>
      <c r="D86" s="748" t="s">
        <v>3074</v>
      </c>
      <c r="H86" s="748">
        <f>'Part I-Project Information'!H57</f>
        <v>13</v>
      </c>
      <c r="K86" s="748" t="s">
        <v>1760</v>
      </c>
      <c r="P86" s="748">
        <f>'Part I-Project Information'!P57</f>
        <v>2200</v>
      </c>
    </row>
    <row r="87" spans="1:16" ht="13.15" customHeight="1">
      <c r="D87" s="748" t="s">
        <v>3075</v>
      </c>
      <c r="H87" s="748">
        <f>'Part I-Project Information'!H58</f>
        <v>1</v>
      </c>
      <c r="K87" s="748" t="s">
        <v>325</v>
      </c>
      <c r="P87" s="748">
        <f>+P82+P86</f>
        <v>52000</v>
      </c>
    </row>
    <row r="88" spans="1:16" ht="13.15" customHeight="1">
      <c r="D88" s="748" t="s">
        <v>3076</v>
      </c>
      <c r="H88" s="748">
        <f>+H86+H87</f>
        <v>14</v>
      </c>
    </row>
    <row r="89" spans="1:16" ht="3" customHeight="1"/>
    <row r="90" spans="1:16" ht="13.15" customHeight="1">
      <c r="B90" s="748" t="s">
        <v>2764</v>
      </c>
      <c r="C90" s="748" t="s">
        <v>3600</v>
      </c>
      <c r="H90" s="748">
        <f>'Part I-Project Information'!H61</f>
        <v>75</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Senior (HFOP)</v>
      </c>
      <c r="K94" s="748" t="s">
        <v>2802</v>
      </c>
      <c r="N94" s="748">
        <f>'Part I-Project Information'!N65</f>
        <v>0</v>
      </c>
    </row>
    <row r="95" spans="1:16" ht="3" customHeight="1"/>
    <row r="96" spans="1:16" ht="13.15" customHeight="1">
      <c r="B96" s="748" t="s">
        <v>3063</v>
      </c>
      <c r="C96" s="748" t="s">
        <v>2122</v>
      </c>
      <c r="G96" s="748" t="s">
        <v>1379</v>
      </c>
      <c r="H96" s="748">
        <f>'Part I-Project Information'!H67</f>
        <v>3</v>
      </c>
      <c r="K96" s="748" t="s">
        <v>813</v>
      </c>
      <c r="P96" s="748">
        <f>IF('Part VI-Revenues &amp; Expenses'!$M$63=0,0,$H96/'Part VI-Revenues &amp; Expenses'!$M$63)</f>
        <v>0.06</v>
      </c>
    </row>
    <row r="97" spans="1:16" ht="3" customHeight="1"/>
    <row r="98" spans="1:16" ht="13.15" customHeight="1">
      <c r="B98" s="748" t="s">
        <v>1239</v>
      </c>
      <c r="C98" s="748" t="s">
        <v>2891</v>
      </c>
      <c r="G98" s="748" t="s">
        <v>1379</v>
      </c>
      <c r="H98" s="748">
        <f>'Part I-Project Information'!H69</f>
        <v>1</v>
      </c>
      <c r="K98" s="748" t="s">
        <v>813</v>
      </c>
      <c r="P98" s="748">
        <f>IF('Part VI-Revenues &amp; Expenses'!$M$63=0,0,$H98/'Part VI-Revenues &amp; Expenses'!$M$63)</f>
        <v>0.02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t="str">
        <f>'Part I-Project Information'!P77</f>
        <v>No</v>
      </c>
    </row>
    <row r="107" spans="1:16" ht="9" customHeight="1"/>
    <row r="108" spans="1:16" ht="13.15" customHeight="1">
      <c r="A108" s="748" t="s">
        <v>386</v>
      </c>
      <c r="C108" s="748" t="s">
        <v>3133</v>
      </c>
    </row>
    <row r="109" spans="1:16" ht="3" customHeight="1"/>
    <row r="110" spans="1:16" ht="13.15" customHeight="1">
      <c r="E110" s="748" t="str">
        <f>'Part I-Project Information'!E81</f>
        <v>No</v>
      </c>
      <c r="F110" s="748" t="s">
        <v>3914</v>
      </c>
      <c r="H110" s="748" t="str">
        <f>'Part I-Project Information'!H81</f>
        <v>Yes</v>
      </c>
      <c r="I110" s="748" t="s">
        <v>3913</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3233</v>
      </c>
      <c r="K111" s="748" t="str">
        <f>'Part I-Project Information'!K82</f>
        <v>No</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2</v>
      </c>
    </row>
    <row r="126" spans="1:15" ht="3.6" customHeight="1"/>
    <row r="127" spans="1:15" ht="13.15" customHeight="1">
      <c r="B127" s="748" t="s">
        <v>3063</v>
      </c>
      <c r="C127" s="748" t="s">
        <v>526</v>
      </c>
      <c r="H127" s="748">
        <f>'Part I-Project Information'!H98</f>
        <v>1656171</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1  W. H. Gross</v>
      </c>
      <c r="F131" s="748" t="str">
        <f>'Part I-Project Information'!F102</f>
        <v>The Village at Winding Road</v>
      </c>
      <c r="J131" s="748">
        <f>'Part I-Project Information'!J102</f>
        <v>8</v>
      </c>
      <c r="M131" s="748">
        <f>'Part I-Project Information'!M102</f>
        <v>0</v>
      </c>
    </row>
    <row r="132" spans="2:13" ht="13.15" customHeight="1">
      <c r="C132" s="748" t="str">
        <f>'Part I-Project Information'!C103</f>
        <v>2  W. H. Gross</v>
      </c>
      <c r="F132" s="748" t="str">
        <f>'Part I-Project Information'!F103</f>
        <v>Oak Hammock</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f>'Part I-Project Information'!H121</f>
        <v>0</v>
      </c>
    </row>
    <row r="151" spans="1:15" ht="3" customHeight="1"/>
    <row r="152" spans="1:15" ht="13.15" customHeight="1">
      <c r="B152" s="748" t="s">
        <v>3060</v>
      </c>
      <c r="C152" s="748" t="s">
        <v>2732</v>
      </c>
      <c r="H152" s="748">
        <f>'Part I-Project Information'!H123</f>
        <v>0</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f>'Part I-Project Information'!H130</f>
        <v>0</v>
      </c>
    </row>
    <row r="160" spans="1:15" ht="3" customHeight="1"/>
    <row r="161" spans="1:16" ht="13.15" customHeight="1">
      <c r="B161" s="748" t="s">
        <v>1239</v>
      </c>
      <c r="C161" s="748" t="s">
        <v>982</v>
      </c>
    </row>
    <row r="162" spans="1:16" ht="13.15" customHeight="1">
      <c r="C162" s="748" t="s">
        <v>4060</v>
      </c>
      <c r="H162" s="748">
        <f>'Part I-Project Information'!H133</f>
        <v>0</v>
      </c>
      <c r="K162" s="748" t="s">
        <v>2287</v>
      </c>
      <c r="O162" s="748">
        <f>'Part I-Project Information'!O133</f>
        <v>0</v>
      </c>
    </row>
    <row r="163" spans="1:16" ht="13.15" customHeight="1">
      <c r="C163" s="748" t="s">
        <v>4061</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3060</v>
      </c>
      <c r="C167" s="748" t="s">
        <v>2864</v>
      </c>
    </row>
    <row r="168" spans="1:16" ht="12.6" customHeight="1">
      <c r="C168" s="748" t="s">
        <v>2279</v>
      </c>
      <c r="K168" s="748" t="str">
        <f>'Part I-Project Information'!K139</f>
        <v>No</v>
      </c>
    </row>
    <row r="169" spans="1:16" ht="12.6" customHeight="1">
      <c r="C169" s="748" t="s">
        <v>950</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954</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2373</v>
      </c>
      <c r="I176" s="748" t="str">
        <f>'Part I-Project Information'!I147</f>
        <v>No</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2822</v>
      </c>
      <c r="I183" s="748" t="e">
        <f>IF(I181="","",I182/I181)</f>
        <v>#DIV/0!</v>
      </c>
    </row>
    <row r="184" spans="2:16" ht="1.9" customHeight="1"/>
    <row r="185" spans="2:16" ht="13.15" customHeight="1">
      <c r="B185" s="748" t="s">
        <v>2763</v>
      </c>
      <c r="C185" s="748" t="s">
        <v>2374</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2376</v>
      </c>
      <c r="P187" s="748" t="str">
        <f>'Part I-Project Information'!P158</f>
        <v>No</v>
      </c>
    </row>
    <row r="188" spans="2:16" ht="12.6" customHeight="1">
      <c r="C188" s="748" t="s">
        <v>1980</v>
      </c>
      <c r="I188" s="748" t="str">
        <f>'Part I-Project Information'!I159</f>
        <v>No</v>
      </c>
      <c r="L188" s="748" t="s">
        <v>2545</v>
      </c>
      <c r="P188" s="748" t="str">
        <f>'Part I-Project Information'!P159</f>
        <v>No</v>
      </c>
    </row>
    <row r="189" spans="2:16" ht="12.6" customHeight="1">
      <c r="C189" s="748" t="s">
        <v>2375</v>
      </c>
      <c r="I189" s="748" t="str">
        <f>'Part I-Project Information'!I160</f>
        <v>Yes</v>
      </c>
      <c r="L189" s="748" t="s">
        <v>2290</v>
      </c>
      <c r="P189" s="748" t="str">
        <f>'Part I-Project Information'!P160</f>
        <v>No</v>
      </c>
    </row>
    <row r="190" spans="2:16" ht="12.6" customHeight="1">
      <c r="C190" s="748" t="s">
        <v>2377</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t="str">
        <f>'Part I-Project Information'!I163</f>
        <v>No</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41395</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2011-023 The Village at Winding Road,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The Village at Winding Road, LP</v>
      </c>
      <c r="O209" s="748" t="s">
        <v>3067</v>
      </c>
      <c r="Q209" s="748" t="str">
        <f>'Part II-Development Team'!Q5</f>
        <v>William H Gross</v>
      </c>
    </row>
    <row r="210" spans="2:17" ht="12.6" customHeight="1">
      <c r="E210" s="748" t="s">
        <v>1642</v>
      </c>
      <c r="H210" s="748" t="str">
        <f>'Part II-Development Team'!H6</f>
        <v>1209 E. King Avenue</v>
      </c>
      <c r="O210" s="748" t="s">
        <v>2776</v>
      </c>
      <c r="Q210" s="748" t="str">
        <f>'Part II-Development Team'!Q6</f>
        <v>Managing Partner</v>
      </c>
    </row>
    <row r="211" spans="2:17" ht="12.6" customHeight="1">
      <c r="E211" s="748" t="s">
        <v>954</v>
      </c>
      <c r="H211" s="748" t="str">
        <f>'Part II-Development Team'!H7</f>
        <v>Kingsland</v>
      </c>
      <c r="K211" s="748" t="s">
        <v>1255</v>
      </c>
      <c r="L211" s="748">
        <f>'Part II-Development Team'!L7</f>
        <v>0</v>
      </c>
      <c r="O211" s="748" t="s">
        <v>2834</v>
      </c>
      <c r="Q211" s="748">
        <f>'Part II-Development Team'!Q7</f>
        <v>9127293564</v>
      </c>
    </row>
    <row r="212" spans="2:17" ht="12.6" customHeight="1">
      <c r="E212" s="748" t="s">
        <v>2830</v>
      </c>
      <c r="H212" s="748" t="str">
        <f>'Part II-Development Team'!H8</f>
        <v>GA</v>
      </c>
      <c r="I212" s="748" t="s">
        <v>4062</v>
      </c>
      <c r="J212" s="748">
        <f>'Part II-Development Team'!J8</f>
        <v>315486820</v>
      </c>
      <c r="L212" s="748" t="s">
        <v>4063</v>
      </c>
      <c r="N212" s="748" t="str">
        <f>'Part II-Development Team'!N8</f>
        <v>1st</v>
      </c>
      <c r="O212" s="748" t="s">
        <v>3056</v>
      </c>
      <c r="Q212" s="748">
        <f>'Part II-Development Team'!Q8</f>
        <v>9123221148</v>
      </c>
    </row>
    <row r="213" spans="2:17" ht="12.6" customHeight="1">
      <c r="E213" s="748" t="s">
        <v>3062</v>
      </c>
      <c r="H213" s="748">
        <f>'Part II-Development Team'!H9</f>
        <v>9127293564</v>
      </c>
      <c r="J213" s="748">
        <f>'Part II-Development Team'!J9</f>
        <v>0</v>
      </c>
      <c r="K213" s="748" t="s">
        <v>2833</v>
      </c>
      <c r="L213" s="748">
        <f>'Part II-Development Team'!L9</f>
        <v>9127291325</v>
      </c>
      <c r="N213" s="748" t="s">
        <v>3061</v>
      </c>
      <c r="O213" s="748" t="str">
        <f>'Part II-Development Team'!O9</f>
        <v>whgross@whgross.com</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WHG-St. Marys Tax Credit, LLC</v>
      </c>
      <c r="O220" s="748" t="s">
        <v>3067</v>
      </c>
      <c r="Q220" s="748" t="str">
        <f>'Part II-Development Team'!Q16</f>
        <v>William H. Gross</v>
      </c>
    </row>
    <row r="221" spans="2:17" ht="12.6" customHeight="1">
      <c r="E221" s="748" t="s">
        <v>1642</v>
      </c>
      <c r="H221" s="748" t="str">
        <f>'Part II-Development Team'!H17</f>
        <v>1209 E. King Avenue</v>
      </c>
      <c r="O221" s="748" t="s">
        <v>2776</v>
      </c>
      <c r="Q221" s="748" t="str">
        <f>'Part II-Development Team'!Q17</f>
        <v>Managing Partner</v>
      </c>
    </row>
    <row r="222" spans="2:17" ht="12.6" customHeight="1">
      <c r="E222" s="748" t="s">
        <v>954</v>
      </c>
      <c r="H222" s="748" t="str">
        <f>'Part II-Development Team'!H18</f>
        <v>Kingsland</v>
      </c>
      <c r="O222" s="748" t="s">
        <v>2834</v>
      </c>
      <c r="Q222" s="748">
        <f>'Part II-Development Team'!Q18</f>
        <v>9127293564</v>
      </c>
    </row>
    <row r="223" spans="2:17" ht="12.6" customHeight="1">
      <c r="E223" s="748" t="s">
        <v>2830</v>
      </c>
      <c r="H223" s="748" t="str">
        <f>'Part II-Development Team'!H19</f>
        <v>GA</v>
      </c>
      <c r="I223" s="748" t="s">
        <v>4062</v>
      </c>
      <c r="J223" s="748">
        <f>'Part II-Development Team'!J19</f>
        <v>315486820</v>
      </c>
      <c r="L223" s="748" t="s">
        <v>4063</v>
      </c>
      <c r="N223" s="748" t="str">
        <f>'Part II-Development Team'!N19</f>
        <v>1st</v>
      </c>
      <c r="O223" s="748" t="s">
        <v>3056</v>
      </c>
      <c r="Q223" s="748">
        <f>'Part II-Development Team'!Q19</f>
        <v>9123221148</v>
      </c>
    </row>
    <row r="224" spans="2:17" ht="12.6" customHeight="1">
      <c r="E224" s="748" t="s">
        <v>3062</v>
      </c>
      <c r="H224" s="748">
        <f>'Part II-Development Team'!H20</f>
        <v>9127293564</v>
      </c>
      <c r="J224" s="748">
        <f>'Part II-Development Team'!J20</f>
        <v>0</v>
      </c>
      <c r="K224" s="748" t="s">
        <v>2833</v>
      </c>
      <c r="L224" s="748">
        <f>'Part II-Development Team'!L20</f>
        <v>9127291325</v>
      </c>
      <c r="N224" s="748" t="s">
        <v>3061</v>
      </c>
      <c r="O224" s="748" t="str">
        <f>'Part II-Development Team'!O20</f>
        <v>whgross@whgross.com</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Affordable Equity Partners, Inc.</v>
      </c>
      <c r="O240" s="748" t="s">
        <v>3067</v>
      </c>
      <c r="Q240" s="748" t="str">
        <f>'Part II-Development Team'!Q36</f>
        <v>Jeffrey E. Smith</v>
      </c>
    </row>
    <row r="241" spans="3:17" ht="12.6" customHeight="1">
      <c r="E241" s="748" t="s">
        <v>1642</v>
      </c>
      <c r="H241" s="748" t="str">
        <f>'Part II-Development Team'!H37</f>
        <v>206 Peach Way</v>
      </c>
      <c r="O241" s="748" t="s">
        <v>2776</v>
      </c>
      <c r="Q241" s="748" t="str">
        <f>'Part II-Development Team'!Q37</f>
        <v>President</v>
      </c>
    </row>
    <row r="242" spans="3:17" ht="12.6" customHeight="1">
      <c r="E242" s="748" t="s">
        <v>954</v>
      </c>
      <c r="H242" s="748" t="str">
        <f>'Part II-Development Team'!H38</f>
        <v>Columbia</v>
      </c>
      <c r="O242" s="748" t="s">
        <v>2834</v>
      </c>
      <c r="Q242" s="748">
        <f>'Part II-Development Team'!Q38</f>
        <v>5734432021</v>
      </c>
    </row>
    <row r="243" spans="3:17" ht="12.6" customHeight="1">
      <c r="E243" s="748" t="s">
        <v>2830</v>
      </c>
      <c r="H243" s="748" t="str">
        <f>'Part II-Development Team'!H39</f>
        <v>MO</v>
      </c>
      <c r="I243" s="748" t="s">
        <v>3354</v>
      </c>
      <c r="J243" s="748">
        <f>'Part II-Development Team'!J39</f>
        <v>652030000</v>
      </c>
      <c r="O243" s="748" t="s">
        <v>3056</v>
      </c>
      <c r="Q243" s="748">
        <f>'Part II-Development Team'!Q39</f>
        <v>0</v>
      </c>
    </row>
    <row r="244" spans="3:17" ht="12.6" customHeight="1">
      <c r="E244" s="748" t="s">
        <v>3062</v>
      </c>
      <c r="H244" s="748">
        <f>'Part II-Development Team'!H40</f>
        <v>5734432021</v>
      </c>
      <c r="J244" s="748">
        <f>'Part II-Development Team'!J40</f>
        <v>0</v>
      </c>
      <c r="K244" s="748" t="s">
        <v>2833</v>
      </c>
      <c r="L244" s="748">
        <f>'Part II-Development Team'!L40</f>
        <v>5738747116</v>
      </c>
      <c r="N244" s="748" t="s">
        <v>3061</v>
      </c>
      <c r="O244" s="748" t="str">
        <f>'Part II-Development Team'!O40</f>
        <v>jesmith@jesmith.com</v>
      </c>
    </row>
    <row r="245" spans="3:17" ht="4.1500000000000004" customHeight="1"/>
    <row r="246" spans="3:17" ht="12.6" customHeight="1">
      <c r="D246" s="748" t="s">
        <v>3214</v>
      </c>
      <c r="E246" s="748" t="s">
        <v>1241</v>
      </c>
      <c r="H246" s="748" t="str">
        <f>'Part II-Development Team'!H42</f>
        <v>Affordable Equity Partners, Inc.</v>
      </c>
      <c r="O246" s="748" t="s">
        <v>3067</v>
      </c>
      <c r="Q246" s="748" t="str">
        <f>'Part II-Development Team'!Q42</f>
        <v>Jeffrey E. Smith</v>
      </c>
    </row>
    <row r="247" spans="3:17" ht="12.6" customHeight="1">
      <c r="E247" s="748" t="s">
        <v>1642</v>
      </c>
      <c r="H247" s="748" t="str">
        <f>'Part II-Development Team'!H43</f>
        <v>206 Peach Way</v>
      </c>
      <c r="O247" s="748" t="s">
        <v>2776</v>
      </c>
      <c r="Q247" s="748" t="str">
        <f>'Part II-Development Team'!Q43</f>
        <v>President</v>
      </c>
    </row>
    <row r="248" spans="3:17" ht="12.6" customHeight="1">
      <c r="E248" s="748" t="s">
        <v>954</v>
      </c>
      <c r="H248" s="748" t="str">
        <f>'Part II-Development Team'!H44</f>
        <v>Columbia</v>
      </c>
      <c r="O248" s="748" t="s">
        <v>2834</v>
      </c>
      <c r="Q248" s="748">
        <f>'Part II-Development Team'!Q44</f>
        <v>5734432021</v>
      </c>
    </row>
    <row r="249" spans="3:17" ht="12.6" customHeight="1">
      <c r="E249" s="748" t="s">
        <v>2830</v>
      </c>
      <c r="H249" s="748" t="str">
        <f>'Part II-Development Team'!H45</f>
        <v>MO</v>
      </c>
      <c r="I249" s="748" t="s">
        <v>3354</v>
      </c>
      <c r="J249" s="748">
        <f>'Part II-Development Team'!J45</f>
        <v>652030000</v>
      </c>
      <c r="O249" s="748" t="s">
        <v>3056</v>
      </c>
      <c r="Q249" s="748">
        <f>'Part II-Development Team'!Q45</f>
        <v>0</v>
      </c>
    </row>
    <row r="250" spans="3:17" ht="12.6" customHeight="1">
      <c r="E250" s="748" t="s">
        <v>3062</v>
      </c>
      <c r="H250" s="748">
        <f>'Part II-Development Team'!H46</f>
        <v>5734432021</v>
      </c>
      <c r="J250" s="748">
        <f>'Part II-Development Team'!J46</f>
        <v>0</v>
      </c>
      <c r="K250" s="748" t="s">
        <v>2833</v>
      </c>
      <c r="L250" s="748">
        <f>'Part II-Development Team'!L46</f>
        <v>5738747116</v>
      </c>
      <c r="N250" s="748" t="s">
        <v>3061</v>
      </c>
      <c r="O250" s="748" t="str">
        <f>'Part II-Development Team'!O46</f>
        <v>jesmith@jesmith.com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1642</v>
      </c>
      <c r="H255" s="748">
        <f>'Part II-Development Team'!H51</f>
        <v>0</v>
      </c>
      <c r="O255" s="748" t="s">
        <v>2776</v>
      </c>
      <c r="Q255" s="748">
        <f>'Part II-Development Team'!Q51</f>
        <v>0</v>
      </c>
    </row>
    <row r="256" spans="3:17" ht="12.6" customHeight="1">
      <c r="E256" s="748" t="s">
        <v>954</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W. H. Gross Construction Company</v>
      </c>
      <c r="O262" s="748" t="s">
        <v>3067</v>
      </c>
      <c r="Q262" s="748" t="str">
        <f>'Part II-Development Team'!Q58</f>
        <v>W. H. Gross</v>
      </c>
    </row>
    <row r="263" spans="1:17" ht="13.15" customHeight="1">
      <c r="E263" s="748" t="s">
        <v>1642</v>
      </c>
      <c r="H263" s="748" t="str">
        <f>'Part II-Development Team'!H59</f>
        <v>1209 E King Avenue</v>
      </c>
      <c r="O263" s="748" t="s">
        <v>2776</v>
      </c>
      <c r="Q263" s="748" t="str">
        <f>'Part II-Development Team'!Q59</f>
        <v>CEO</v>
      </c>
    </row>
    <row r="264" spans="1:17" ht="13.15" customHeight="1">
      <c r="E264" s="748" t="s">
        <v>954</v>
      </c>
      <c r="H264" s="748" t="str">
        <f>'Part II-Development Team'!H60</f>
        <v>Kingsland</v>
      </c>
      <c r="O264" s="748" t="s">
        <v>2834</v>
      </c>
      <c r="Q264" s="748">
        <f>'Part II-Development Team'!Q60</f>
        <v>9127293584</v>
      </c>
    </row>
    <row r="265" spans="1:17" ht="13.15" customHeight="1">
      <c r="E265" s="748" t="s">
        <v>2830</v>
      </c>
      <c r="H265" s="748" t="str">
        <f>'Part II-Development Team'!H61</f>
        <v>GA</v>
      </c>
      <c r="I265" s="748" t="s">
        <v>3354</v>
      </c>
      <c r="J265" s="748">
        <f>'Part II-Development Team'!J61</f>
        <v>315480000</v>
      </c>
      <c r="O265" s="748" t="s">
        <v>3056</v>
      </c>
      <c r="Q265" s="748">
        <f>'Part II-Development Team'!Q61</f>
        <v>9123221148</v>
      </c>
    </row>
    <row r="266" spans="1:17" ht="13.15" customHeight="1">
      <c r="E266" s="748" t="s">
        <v>3062</v>
      </c>
      <c r="H266" s="748">
        <f>'Part II-Development Team'!H62</f>
        <v>9127293564</v>
      </c>
      <c r="J266" s="748">
        <f>'Part II-Development Team'!J62</f>
        <v>0</v>
      </c>
      <c r="K266" s="748" t="s">
        <v>2833</v>
      </c>
      <c r="L266" s="748">
        <f>'Part II-Development Team'!L62</f>
        <v>9127291325</v>
      </c>
      <c r="N266" s="748" t="s">
        <v>3061</v>
      </c>
      <c r="O266" s="748" t="str">
        <f>'Part II-Development Team'!O62</f>
        <v>whgross@whgross.com</v>
      </c>
    </row>
    <row r="267" spans="1:17" ht="6.6" customHeight="1"/>
    <row r="268" spans="1:17" ht="13.15" customHeight="1">
      <c r="B268" s="748" t="s">
        <v>3063</v>
      </c>
      <c r="C268" s="748" t="s">
        <v>377</v>
      </c>
      <c r="H268" s="748">
        <f>'Part II-Development Team'!H64</f>
        <v>0</v>
      </c>
      <c r="O268" s="748" t="s">
        <v>3067</v>
      </c>
      <c r="Q268" s="748">
        <f>'Part II-Development Team'!Q64</f>
        <v>0</v>
      </c>
    </row>
    <row r="269" spans="1:17" ht="13.15" customHeight="1">
      <c r="E269" s="748" t="s">
        <v>1642</v>
      </c>
      <c r="H269" s="748">
        <f>'Part II-Development Team'!H65</f>
        <v>0</v>
      </c>
      <c r="O269" s="748" t="s">
        <v>2776</v>
      </c>
      <c r="Q269" s="748">
        <f>'Part II-Development Team'!Q65</f>
        <v>0</v>
      </c>
    </row>
    <row r="270" spans="1:17" ht="13.15" customHeight="1">
      <c r="E270" s="748" t="s">
        <v>954</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1239</v>
      </c>
      <c r="C274" s="748" t="s">
        <v>2280</v>
      </c>
      <c r="H274" s="748">
        <f>'Part II-Development Team'!H70</f>
        <v>0</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378</v>
      </c>
      <c r="H280" s="748" t="str">
        <f>'Part II-Development Team'!H76</f>
        <v>Peach Way Financial Services, LLC</v>
      </c>
      <c r="O280" s="748" t="s">
        <v>3067</v>
      </c>
      <c r="Q280" s="748" t="str">
        <f>'Part II-Development Team'!Q76</f>
        <v>Robert A. Ring</v>
      </c>
    </row>
    <row r="281" spans="1:17" ht="13.15" customHeight="1">
      <c r="E281" s="748" t="s">
        <v>1642</v>
      </c>
      <c r="H281" s="748" t="str">
        <f>'Part II-Development Team'!H77</f>
        <v>3290 Northside Parkway, Suite 330</v>
      </c>
      <c r="O281" s="748" t="s">
        <v>2776</v>
      </c>
      <c r="Q281" s="748" t="str">
        <f>'Part II-Development Team'!Q77</f>
        <v>Manager</v>
      </c>
    </row>
    <row r="282" spans="1:17" ht="13.15" customHeight="1">
      <c r="E282" s="748" t="s">
        <v>954</v>
      </c>
      <c r="H282" s="748" t="str">
        <f>'Part II-Development Team'!H78</f>
        <v>Atlanta</v>
      </c>
      <c r="O282" s="748" t="s">
        <v>2834</v>
      </c>
      <c r="Q282" s="748">
        <f>'Part II-Development Team'!Q78</f>
        <v>0</v>
      </c>
    </row>
    <row r="283" spans="1:17" ht="13.15" customHeight="1">
      <c r="E283" s="748" t="s">
        <v>2830</v>
      </c>
      <c r="H283" s="748" t="str">
        <f>'Part II-Development Team'!H79</f>
        <v>GA</v>
      </c>
      <c r="I283" s="748" t="s">
        <v>3354</v>
      </c>
      <c r="J283" s="748">
        <f>'Part II-Development Team'!J79</f>
        <v>303270000</v>
      </c>
      <c r="O283" s="748" t="s">
        <v>3056</v>
      </c>
      <c r="Q283" s="748">
        <f>'Part II-Development Team'!Q79</f>
        <v>5734244587</v>
      </c>
    </row>
    <row r="284" spans="1:17" ht="13.15" customHeight="1">
      <c r="E284" s="748" t="s">
        <v>3062</v>
      </c>
      <c r="H284" s="748">
        <f>'Part II-Development Team'!H80</f>
        <v>4048412227</v>
      </c>
      <c r="J284" s="748">
        <f>'Part II-Development Team'!J80</f>
        <v>0</v>
      </c>
      <c r="K284" s="748" t="s">
        <v>2833</v>
      </c>
      <c r="L284" s="748">
        <f>'Part II-Development Team'!L80</f>
        <v>0</v>
      </c>
      <c r="N284" s="748" t="s">
        <v>3061</v>
      </c>
      <c r="O284" s="748" t="str">
        <f>'Part II-Development Team'!O80</f>
        <v>bring@jesholdings.com</v>
      </c>
    </row>
    <row r="285" spans="1:17" ht="13.15" customHeight="1"/>
    <row r="286" spans="1:17" ht="13.15" customHeight="1">
      <c r="A286" s="748" t="s">
        <v>1232</v>
      </c>
      <c r="B286" s="748" t="s">
        <v>379</v>
      </c>
    </row>
    <row r="287" spans="1:17" ht="9" customHeight="1"/>
    <row r="288" spans="1:17" ht="13.15" customHeight="1">
      <c r="B288" s="748" t="s">
        <v>3060</v>
      </c>
      <c r="C288" s="748" t="s">
        <v>380</v>
      </c>
      <c r="H288" s="748">
        <f>'Part II-Development Team'!H84</f>
        <v>0</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W. H. Gross Construction Company</v>
      </c>
      <c r="O294" s="748" t="s">
        <v>3067</v>
      </c>
      <c r="Q294" s="748" t="str">
        <f>'Part II-Development Team'!Q90</f>
        <v>William H. Gross</v>
      </c>
    </row>
    <row r="295" spans="2:17" ht="13.15" customHeight="1">
      <c r="E295" s="748" t="s">
        <v>1642</v>
      </c>
      <c r="H295" s="748" t="str">
        <f>'Part II-Development Team'!H91</f>
        <v>1209 E King Avenue</v>
      </c>
      <c r="O295" s="748" t="s">
        <v>2776</v>
      </c>
      <c r="Q295" s="748" t="str">
        <f>'Part II-Development Team'!Q91</f>
        <v>CEO</v>
      </c>
    </row>
    <row r="296" spans="2:17" ht="13.15" customHeight="1">
      <c r="E296" s="748" t="s">
        <v>954</v>
      </c>
      <c r="H296" s="748" t="str">
        <f>'Part II-Development Team'!H92</f>
        <v>Kingsland</v>
      </c>
      <c r="O296" s="748" t="s">
        <v>2834</v>
      </c>
      <c r="Q296" s="748">
        <f>'Part II-Development Team'!Q92</f>
        <v>9127293584</v>
      </c>
    </row>
    <row r="297" spans="2:17" ht="13.15" customHeight="1">
      <c r="E297" s="748" t="s">
        <v>2830</v>
      </c>
      <c r="H297" s="748" t="str">
        <f>'Part II-Development Team'!H93</f>
        <v>GA</v>
      </c>
      <c r="I297" s="748" t="s">
        <v>3354</v>
      </c>
      <c r="J297" s="748">
        <f>'Part II-Development Team'!J93</f>
        <v>315480000</v>
      </c>
      <c r="O297" s="748" t="s">
        <v>3056</v>
      </c>
      <c r="Q297" s="748">
        <f>'Part II-Development Team'!Q93</f>
        <v>9123221148</v>
      </c>
    </row>
    <row r="298" spans="2:17" ht="13.15" customHeight="1">
      <c r="E298" s="748" t="s">
        <v>3062</v>
      </c>
      <c r="H298" s="748">
        <f>'Part II-Development Team'!H94</f>
        <v>9127293564</v>
      </c>
      <c r="J298" s="748">
        <f>'Part II-Development Team'!J94</f>
        <v>0</v>
      </c>
      <c r="K298" s="748" t="s">
        <v>2833</v>
      </c>
      <c r="L298" s="748">
        <f>'Part II-Development Team'!L94</f>
        <v>9127291325</v>
      </c>
      <c r="N298" s="748" t="s">
        <v>3061</v>
      </c>
      <c r="O298" s="748" t="str">
        <f>'Part II-Development Team'!O94</f>
        <v>whgross@whgross.com</v>
      </c>
    </row>
    <row r="299" spans="2:17" ht="6.6" customHeight="1"/>
    <row r="300" spans="2:17" ht="13.15" customHeight="1">
      <c r="B300" s="748" t="s">
        <v>1239</v>
      </c>
      <c r="C300" s="748" t="s">
        <v>382</v>
      </c>
      <c r="H300" s="748" t="str">
        <f>'Part II-Development Team'!H96</f>
        <v>Fairway Management, Inc.</v>
      </c>
      <c r="O300" s="748" t="s">
        <v>3067</v>
      </c>
      <c r="Q300" s="748" t="str">
        <f>'Part II-Development Team'!Q96</f>
        <v>Monica Swoboda</v>
      </c>
    </row>
    <row r="301" spans="2:17" ht="13.15" customHeight="1">
      <c r="E301" s="748" t="s">
        <v>1642</v>
      </c>
      <c r="H301" s="748" t="str">
        <f>'Part II-Development Team'!H97</f>
        <v>206 Peach Way</v>
      </c>
      <c r="O301" s="748" t="s">
        <v>2776</v>
      </c>
      <c r="Q301" s="748" t="str">
        <f>'Part II-Development Team'!Q97</f>
        <v>Vice President</v>
      </c>
    </row>
    <row r="302" spans="2:17" ht="13.15" customHeight="1">
      <c r="E302" s="748" t="s">
        <v>954</v>
      </c>
      <c r="H302" s="748" t="str">
        <f>'Part II-Development Team'!H98</f>
        <v>Columbia</v>
      </c>
      <c r="O302" s="748" t="s">
        <v>2834</v>
      </c>
      <c r="Q302" s="748">
        <f>'Part II-Development Team'!Q98</f>
        <v>5734432021</v>
      </c>
    </row>
    <row r="303" spans="2:17" ht="13.15" customHeight="1">
      <c r="E303" s="748" t="s">
        <v>2830</v>
      </c>
      <c r="H303" s="748" t="str">
        <f>'Part II-Development Team'!H99</f>
        <v>MO</v>
      </c>
      <c r="I303" s="748" t="s">
        <v>3354</v>
      </c>
      <c r="J303" s="748">
        <f>'Part II-Development Team'!J99</f>
        <v>652030000</v>
      </c>
      <c r="O303" s="748" t="s">
        <v>3056</v>
      </c>
      <c r="Q303" s="748">
        <f>'Part II-Development Team'!Q99</f>
        <v>0</v>
      </c>
    </row>
    <row r="304" spans="2:17" ht="13.15" customHeight="1">
      <c r="E304" s="748" t="s">
        <v>3062</v>
      </c>
      <c r="H304" s="748">
        <f>'Part II-Development Team'!H100</f>
        <v>5734432021</v>
      </c>
      <c r="J304" s="748">
        <f>'Part II-Development Team'!J100</f>
        <v>0</v>
      </c>
      <c r="K304" s="748" t="s">
        <v>2833</v>
      </c>
      <c r="L304" s="748">
        <f>'Part II-Development Team'!L100</f>
        <v>5734432725</v>
      </c>
      <c r="N304" s="748" t="s">
        <v>3061</v>
      </c>
      <c r="O304" s="748" t="str">
        <f>'Part II-Development Team'!O100</f>
        <v>mswoboda@jesholdings.com</v>
      </c>
    </row>
    <row r="305" spans="2:17" ht="6.6" customHeight="1"/>
    <row r="306" spans="2:17" ht="13.15" customHeight="1">
      <c r="B306" s="748" t="s">
        <v>3212</v>
      </c>
      <c r="C306" s="748" t="s">
        <v>383</v>
      </c>
      <c r="H306" s="748" t="str">
        <f>'Part II-Development Team'!H102</f>
        <v>Van Matre, Harrison, Hollis, Pitzer and Taylor, PC</v>
      </c>
      <c r="O306" s="748" t="s">
        <v>3067</v>
      </c>
      <c r="Q306" s="748" t="str">
        <f>'Part II-Development Team'!Q102</f>
        <v>Tom Harrison</v>
      </c>
    </row>
    <row r="307" spans="2:17" ht="13.15" customHeight="1">
      <c r="E307" s="748" t="s">
        <v>1642</v>
      </c>
      <c r="H307" s="748" t="str">
        <f>'Part II-Development Team'!H103</f>
        <v>1103 E. Broadway</v>
      </c>
      <c r="O307" s="748" t="s">
        <v>2776</v>
      </c>
      <c r="Q307" s="748" t="str">
        <f>'Part II-Development Team'!Q103</f>
        <v>Partner</v>
      </c>
    </row>
    <row r="308" spans="2:17" ht="13.15" customHeight="1">
      <c r="E308" s="748" t="s">
        <v>954</v>
      </c>
      <c r="H308" s="748" t="str">
        <f>'Part II-Development Team'!H104</f>
        <v>Columbia</v>
      </c>
      <c r="O308" s="748" t="s">
        <v>2834</v>
      </c>
      <c r="Q308" s="748">
        <f>'Part II-Development Team'!Q104</f>
        <v>5738747777</v>
      </c>
    </row>
    <row r="309" spans="2:17" ht="13.15" customHeight="1">
      <c r="E309" s="748" t="s">
        <v>2830</v>
      </c>
      <c r="H309" s="748" t="str">
        <f>'Part II-Development Team'!H105</f>
        <v>MO</v>
      </c>
      <c r="I309" s="748" t="s">
        <v>3354</v>
      </c>
      <c r="J309" s="748">
        <f>'Part II-Development Team'!J105</f>
        <v>652010000</v>
      </c>
      <c r="O309" s="748" t="s">
        <v>3056</v>
      </c>
      <c r="Q309" s="748">
        <f>'Part II-Development Team'!Q105</f>
        <v>0</v>
      </c>
    </row>
    <row r="310" spans="2:17" ht="13.15" customHeight="1">
      <c r="E310" s="748" t="s">
        <v>3062</v>
      </c>
      <c r="H310" s="748">
        <f>'Part II-Development Team'!H106</f>
        <v>5738747777</v>
      </c>
      <c r="J310" s="748">
        <f>'Part II-Development Team'!J106</f>
        <v>0</v>
      </c>
      <c r="K310" s="748" t="s">
        <v>2833</v>
      </c>
      <c r="L310" s="748">
        <f>'Part II-Development Team'!L106</f>
        <v>5738750017</v>
      </c>
      <c r="N310" s="748" t="s">
        <v>3061</v>
      </c>
      <c r="O310" s="748" t="str">
        <f>'Part II-Development Team'!O106</f>
        <v>tom@vanmatre.com</v>
      </c>
    </row>
    <row r="311" spans="2:17" ht="6" customHeight="1"/>
    <row r="312" spans="2:17" ht="0.6" customHeight="1"/>
    <row r="313" spans="2:17" ht="13.15" customHeight="1">
      <c r="B313" s="748" t="s">
        <v>2763</v>
      </c>
      <c r="C313" s="748" t="s">
        <v>384</v>
      </c>
      <c r="H313" s="748" t="str">
        <f>'Part II-Development Team'!H109</f>
        <v>Habif, Arogeti &amp;Wynne, LLP</v>
      </c>
      <c r="O313" s="748" t="s">
        <v>3067</v>
      </c>
      <c r="Q313" s="748">
        <f>'Part II-Development Team'!Q109</f>
        <v>0</v>
      </c>
    </row>
    <row r="314" spans="2:17" ht="13.15" customHeight="1">
      <c r="E314" s="748" t="s">
        <v>1642</v>
      </c>
      <c r="H314" s="748" t="str">
        <f>'Part II-Development Team'!H110</f>
        <v>Five Concourse Parkway, Suite 1000</v>
      </c>
      <c r="O314" s="748" t="s">
        <v>2776</v>
      </c>
      <c r="Q314" s="748">
        <f>'Part II-Development Team'!Q110</f>
        <v>0</v>
      </c>
    </row>
    <row r="315" spans="2:17" ht="13.15" customHeight="1">
      <c r="E315" s="748" t="s">
        <v>954</v>
      </c>
      <c r="H315" s="748" t="str">
        <f>'Part II-Development Team'!H111</f>
        <v>Atlanta</v>
      </c>
      <c r="O315" s="748" t="s">
        <v>2834</v>
      </c>
      <c r="Q315" s="748">
        <f>'Part II-Development Team'!Q111</f>
        <v>0</v>
      </c>
    </row>
    <row r="316" spans="2:17" ht="13.15" customHeight="1">
      <c r="E316" s="748" t="s">
        <v>2830</v>
      </c>
      <c r="H316" s="748" t="str">
        <f>'Part II-Development Team'!H112</f>
        <v>GA</v>
      </c>
      <c r="I316" s="748" t="s">
        <v>3354</v>
      </c>
      <c r="J316" s="748">
        <f>'Part II-Development Team'!J112</f>
        <v>313280000</v>
      </c>
      <c r="O316" s="748" t="s">
        <v>3056</v>
      </c>
      <c r="Q316" s="748">
        <f>'Part II-Development Team'!Q112</f>
        <v>0</v>
      </c>
    </row>
    <row r="317" spans="2:17" ht="13.15" customHeight="1">
      <c r="E317" s="748" t="s">
        <v>3062</v>
      </c>
      <c r="H317" s="748">
        <f>'Part II-Development Team'!H113</f>
        <v>4048929651</v>
      </c>
      <c r="J317" s="748">
        <f>'Part II-Development Team'!J113</f>
        <v>0</v>
      </c>
      <c r="K317" s="748" t="s">
        <v>2833</v>
      </c>
      <c r="L317" s="748">
        <f>'Part II-Development Team'!L113</f>
        <v>0</v>
      </c>
      <c r="N317" s="748" t="s">
        <v>3061</v>
      </c>
      <c r="O317" s="748">
        <f>'Part II-Development Team'!O113</f>
        <v>0</v>
      </c>
    </row>
    <row r="318" spans="2:17" ht="6.6" customHeight="1"/>
    <row r="319" spans="2:17" ht="13.15" customHeight="1">
      <c r="B319" s="748" t="s">
        <v>2764</v>
      </c>
      <c r="C319" s="748" t="s">
        <v>385</v>
      </c>
      <c r="H319" s="748" t="str">
        <f>'Part II-Development Team'!H115</f>
        <v>Martin Riley Associates Architects</v>
      </c>
      <c r="O319" s="748" t="s">
        <v>3067</v>
      </c>
      <c r="Q319" s="748" t="str">
        <f>'Part II-Development Team'!Q115</f>
        <v>Mike Riley</v>
      </c>
    </row>
    <row r="320" spans="2:17" ht="13.15" customHeight="1">
      <c r="E320" s="748" t="s">
        <v>1642</v>
      </c>
      <c r="H320" s="748" t="str">
        <f>'Part II-Development Team'!H116</f>
        <v>215 Church Street, Suite 200</v>
      </c>
      <c r="O320" s="748" t="s">
        <v>2776</v>
      </c>
      <c r="Q320" s="748" t="str">
        <f>'Part II-Development Team'!Q116</f>
        <v>Vice President</v>
      </c>
    </row>
    <row r="321" spans="1:18" ht="13.15" customHeight="1">
      <c r="E321" s="748" t="s">
        <v>954</v>
      </c>
      <c r="H321" s="748" t="str">
        <f>'Part II-Development Team'!H117</f>
        <v>Decatur</v>
      </c>
      <c r="O321" s="748" t="s">
        <v>2834</v>
      </c>
      <c r="Q321" s="748">
        <f>'Part II-Development Team'!Q117</f>
        <v>0</v>
      </c>
    </row>
    <row r="322" spans="1:18" ht="13.15" customHeight="1">
      <c r="E322" s="748" t="s">
        <v>2830</v>
      </c>
      <c r="H322" s="748" t="str">
        <f>'Part II-Development Team'!H118</f>
        <v>GA</v>
      </c>
      <c r="I322" s="748" t="s">
        <v>3354</v>
      </c>
      <c r="J322" s="748">
        <f>'Part II-Development Team'!J118</f>
        <v>300300000</v>
      </c>
      <c r="O322" s="748" t="s">
        <v>3056</v>
      </c>
      <c r="Q322" s="748">
        <f>'Part II-Development Team'!Q118</f>
        <v>0</v>
      </c>
    </row>
    <row r="323" spans="1:18" ht="13.15" customHeight="1">
      <c r="E323" s="748" t="s">
        <v>3062</v>
      </c>
      <c r="H323" s="748">
        <f>'Part II-Development Team'!H119</f>
        <v>4043732800</v>
      </c>
      <c r="J323" s="748">
        <f>'Part II-Development Team'!J119</f>
        <v>0</v>
      </c>
      <c r="K323" s="748" t="s">
        <v>2833</v>
      </c>
      <c r="L323" s="748">
        <f>'Part II-Development Team'!L119</f>
        <v>4043732888</v>
      </c>
      <c r="N323" s="748" t="s">
        <v>3061</v>
      </c>
      <c r="O323" s="748" t="str">
        <f>'Part II-Development Team'!O119</f>
        <v>mriley@martinriley.com</v>
      </c>
    </row>
    <row r="324" spans="1:18" ht="13.15" customHeight="1"/>
    <row r="325" spans="1:18" ht="13.15" customHeight="1">
      <c r="A325" s="748" t="s">
        <v>2823</v>
      </c>
      <c r="B325" s="748" t="s">
        <v>366</v>
      </c>
    </row>
    <row r="326" spans="1:18" ht="6.6" customHeight="1"/>
    <row r="327" spans="1:18" ht="21.6" customHeight="1">
      <c r="A327" s="748" t="s">
        <v>977</v>
      </c>
      <c r="E327" s="748" t="s">
        <v>4064</v>
      </c>
      <c r="F327" s="748" t="s">
        <v>3601</v>
      </c>
      <c r="G327" s="748" t="s">
        <v>4065</v>
      </c>
      <c r="J327" s="748" t="s">
        <v>4066</v>
      </c>
      <c r="L327" s="748" t="s">
        <v>4067</v>
      </c>
      <c r="N327" s="748" t="s">
        <v>4068</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2825</v>
      </c>
      <c r="C347" s="748" t="s">
        <v>880</v>
      </c>
      <c r="N347" s="748" t="s">
        <v>823</v>
      </c>
      <c r="O347" s="748" t="s">
        <v>89</v>
      </c>
    </row>
    <row r="348" spans="1:18" ht="3.6" customHeight="1"/>
    <row r="349" spans="1:18" ht="42.6" customHeight="1">
      <c r="A349" s="748" t="str">
        <f>'Part II-Development Team'!A145</f>
        <v>An identity of interest exists between the GP, Developer and General Contractor.  An identity of interest also exists between the Federal Limited Partner, State Limited Partner and Management Company.  Please see Tab 39 of the application binder for a detail of identity of interests.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2011-023 The Village at Winding Road, St. Marys, Camden County</v>
      </c>
    </row>
    <row r="356" spans="1:16">
      <c r="A356" s="748" t="s">
        <v>951</v>
      </c>
      <c r="B356" s="748" t="s">
        <v>3771</v>
      </c>
    </row>
    <row r="358" spans="1:16">
      <c r="B358" s="748" t="str">
        <f>'Part III A-Sources of Funds'!B5</f>
        <v>Yes</v>
      </c>
      <c r="C358" s="748" t="s">
        <v>3653</v>
      </c>
      <c r="E358" s="748" t="str">
        <f>'Part III A-Sources of Funds'!E5</f>
        <v>No</v>
      </c>
      <c r="F358" s="748" t="s">
        <v>1981</v>
      </c>
      <c r="J358" s="748">
        <f>'Part III A-Sources of Funds'!J5</f>
        <v>0</v>
      </c>
      <c r="M358" s="748" t="str">
        <f>'Part III A-Sources of Funds'!M5</f>
        <v>No</v>
      </c>
      <c r="N358" s="748" t="s">
        <v>846</v>
      </c>
    </row>
    <row r="359" spans="1:16">
      <c r="B359" s="748" t="str">
        <f>'Part III A-Sources of Funds'!B6</f>
        <v>No</v>
      </c>
      <c r="C359" s="748" t="s">
        <v>2835</v>
      </c>
      <c r="E359" s="748" t="str">
        <f>'Part III A-Sources of Funds'!E6</f>
        <v>No</v>
      </c>
      <c r="F359" s="748" t="s">
        <v>3312</v>
      </c>
      <c r="J359" s="748" t="str">
        <f>'Part III A-Sources of Funds'!J6</f>
        <v>No</v>
      </c>
      <c r="K359" s="748" t="s">
        <v>847</v>
      </c>
      <c r="M359" s="748" t="str">
        <f>'Part III A-Sources of Funds'!M6</f>
        <v>No</v>
      </c>
      <c r="N359" s="748" t="s">
        <v>845</v>
      </c>
    </row>
    <row r="360" spans="1:16">
      <c r="B360" s="748" t="str">
        <f>'Part III A-Sources of Funds'!B7</f>
        <v>No</v>
      </c>
      <c r="C360" s="748" t="s">
        <v>2836</v>
      </c>
      <c r="E360" s="748" t="str">
        <f>'Part III A-Sources of Funds'!E7</f>
        <v>No</v>
      </c>
      <c r="F360" s="748" t="s">
        <v>3311</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3915</v>
      </c>
      <c r="E361" s="748" t="str">
        <f>'Part III A-Sources of Funds'!E8</f>
        <v>No</v>
      </c>
      <c r="F361" s="748" t="s">
        <v>3916</v>
      </c>
      <c r="H361" s="748" t="str">
        <f>'Part III A-Sources of Funds'!H8</f>
        <v>No</v>
      </c>
      <c r="I361" s="748" t="s">
        <v>3654</v>
      </c>
      <c r="J361" s="748" t="str">
        <f>'Part III A-Sources of Funds'!J8</f>
        <v>No</v>
      </c>
      <c r="K361" s="748" t="s">
        <v>875</v>
      </c>
      <c r="M361" s="748" t="str">
        <f>'Part III A-Sources of Funds'!M8</f>
        <v>No</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Sterling Bank</v>
      </c>
      <c r="L367" s="748">
        <f>'Part III A-Sources of Funds'!L14</f>
        <v>4955456</v>
      </c>
      <c r="N367" s="748">
        <f>'Part III A-Sources of Funds'!N14</f>
        <v>6.5000000000000002E-2</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Affordable Equity Partners, Inc.</v>
      </c>
      <c r="L373" s="748">
        <f>'Part III A-Sources of Funds'!L20</f>
        <v>1042358</v>
      </c>
    </row>
    <row r="374" spans="1:17">
      <c r="B374" s="748" t="s">
        <v>1386</v>
      </c>
      <c r="H374" s="748" t="str">
        <f>'Part III A-Sources of Funds'!H21</f>
        <v>Affordable Equity Partners, Inc.</v>
      </c>
      <c r="L374" s="748">
        <f>'Part III A-Sources of Funds'!L21</f>
        <v>376114</v>
      </c>
    </row>
    <row r="375" spans="1:17">
      <c r="B375" s="748" t="s">
        <v>309</v>
      </c>
      <c r="D375" s="748" t="str">
        <f>'Part III A-Sources of Funds'!D22</f>
        <v>Partner Equity</v>
      </c>
      <c r="H375" s="748">
        <f>'Part III A-Sources of Funds'!H22</f>
        <v>0</v>
      </c>
      <c r="L375" s="748">
        <f>'Part III A-Sources of Funds'!L22</f>
        <v>110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6374038</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6374038</v>
      </c>
    </row>
    <row r="380" spans="1:17">
      <c r="B380" s="748" t="s">
        <v>3261</v>
      </c>
      <c r="L380" s="748">
        <f>L378-L379</f>
        <v>0</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2843</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f>'Part III A-Sources of Funds'!M33</f>
        <v>0</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0.1488553149310666</v>
      </c>
      <c r="E390" s="748" t="str">
        <f>'Part III A-Sources of Funds'!E37</f>
        <v>W. H. Gross Construction Company</v>
      </c>
      <c r="H390" s="748">
        <f>'Part III A-Sources of Funds'!H37</f>
        <v>123896</v>
      </c>
      <c r="J390" s="748">
        <f>'Part III A-Sources of Funds'!J37</f>
        <v>3.7900000000000003E-2</v>
      </c>
      <c r="K390" s="748">
        <f>'Part III A-Sources of Funds'!K37</f>
        <v>15</v>
      </c>
      <c r="L390" s="748">
        <f>'Part III A-Sources of Funds'!L37</f>
        <v>0</v>
      </c>
      <c r="M390" s="748" t="str">
        <f>'Part III A-Sources of Funds'!M37</f>
        <v/>
      </c>
      <c r="O390" s="748" t="str">
        <f>'Part III A-Sources of Funds'!O37</f>
        <v>Cash Flow</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Affordable Equity Partners, Inc.</v>
      </c>
      <c r="H393" s="748">
        <f>'Part III A-Sources of Funds'!H40</f>
        <v>5211786</v>
      </c>
      <c r="J393" s="748">
        <f>'Part IV-Uses of Funds'!$J$165*10*'Part IV-Uses of Funds'!$N$158</f>
        <v>5264431.2</v>
      </c>
      <c r="L393" s="748">
        <f>H393-J393</f>
        <v>-52645.200000000186</v>
      </c>
      <c r="M393" s="748" t="s">
        <v>2538</v>
      </c>
      <c r="S393" s="748">
        <f>H393/H403</f>
        <v>0.72221782634825882</v>
      </c>
    </row>
    <row r="394" spans="2:19">
      <c r="B394" s="748" t="s">
        <v>1386</v>
      </c>
      <c r="E394" s="748" t="str">
        <f>'Part III A-Sources of Funds'!E41</f>
        <v>Affordable Equity Partners, Inc.</v>
      </c>
      <c r="H394" s="748">
        <f>'Part III A-Sources of Funds'!H41</f>
        <v>1880571</v>
      </c>
      <c r="J394" s="748">
        <f>'Part IV-Uses of Funds'!$J$165*10*'Part IV-Uses of Funds'!$Q$158</f>
        <v>1827927.5</v>
      </c>
      <c r="L394" s="748">
        <f>H394-J394</f>
        <v>52643.5</v>
      </c>
      <c r="S394" s="748">
        <f>H394/H403</f>
        <v>0.26059817112858652</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0.98281599747684534</v>
      </c>
    </row>
    <row r="396" spans="2:19">
      <c r="B396" s="748" t="s">
        <v>825</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t="str">
        <f>'Part III A-Sources of Funds'!C46</f>
        <v>Partner Equity</v>
      </c>
      <c r="E399" s="748">
        <f>'Part III A-Sources of Funds'!E46</f>
        <v>0</v>
      </c>
      <c r="H399" s="748">
        <f>'Part III A-Sources of Funds'!H46</f>
        <v>110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7216363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7216363</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880</v>
      </c>
      <c r="K406" s="748" t="s">
        <v>2823</v>
      </c>
      <c r="L406" s="748" t="s">
        <v>89</v>
      </c>
    </row>
    <row r="408" spans="1:17">
      <c r="A408" s="748" t="str">
        <f>'Part III A-Sources of Funds'!A55</f>
        <v>The Village at Winding Road has a conventional construction loan commitment for $4,955,496 at 6.50% interest. Please reference the loan commitment in Tab 5 of the Application Binder.</v>
      </c>
      <c r="K408" s="748">
        <f>'Part III A-Sources of Funds'!K55</f>
        <v>0</v>
      </c>
    </row>
    <row r="409" spans="1:17">
      <c r="A409" s="748" t="str">
        <f>'Part III A-Sources of Funds'!A56</f>
        <v>Per page 16 of 58 in the 2011 QAP the developer will defer $123,896 (15%) of the developer fee, which is more than the required .5% of the total developer fee for every 1% in state designated basis boost requested.</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2011-023 The Village at Winding Road, St. Marys, Camden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2011-023 The Village at Winding Road, St. Marys, Camden County</v>
      </c>
      <c r="G471" s="748" t="str">
        <f>CONCATENATE('Part I-Project Information'!$O$4," ",'Part I-Project Information'!$F$22,", ",'Part I-Project Information'!$F$24,", ",'Part I-Project Information'!$J$25," County")</f>
        <v>2011-023 The Village at Winding Road, St. Marys, Camden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2011-023 The Village at Winding Road, St. Marys, Camden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2011-023 The Village at Winding Road, St. Marys, Camden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2011-023 The Village at Winding Road,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2000</v>
      </c>
      <c r="J1504" s="748">
        <f>'Part IV-Uses of Funds'!J8</f>
        <v>2000</v>
      </c>
      <c r="M1504" s="748">
        <f>'Part IV-Uses of Funds'!M8</f>
        <v>0</v>
      </c>
      <c r="P1504" s="748">
        <f>'Part IV-Uses of Funds'!P8</f>
        <v>0</v>
      </c>
      <c r="S1504" s="748">
        <f>'Part IV-Uses of Funds'!S8</f>
        <v>0</v>
      </c>
    </row>
    <row r="1505" spans="1:21" ht="12.6" customHeight="1">
      <c r="B1505" s="748" t="s">
        <v>672</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718</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719</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3780</v>
      </c>
      <c r="G1508" s="748">
        <f>'Part IV-Uses of Funds'!G12</f>
        <v>20000</v>
      </c>
      <c r="J1508" s="748">
        <f>'Part IV-Uses of Funds'!J12</f>
        <v>20000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3rd Party Plan &amp; Spec Review</v>
      </c>
      <c r="G1510" s="748">
        <f>'Part IV-Uses of Funds'!G14</f>
        <v>15000</v>
      </c>
      <c r="J1510" s="748">
        <f>'Part IV-Uses of Funds'!J14</f>
        <v>15000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53000</v>
      </c>
      <c r="J1513" s="748">
        <f>SUM(J1504:K1512)</f>
        <v>53000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603000</v>
      </c>
      <c r="S1515" s="748">
        <f>'Part IV-Uses of Funds'!S19</f>
        <v>603000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603000</v>
      </c>
      <c r="M1519" s="748">
        <f>SUM(M1517:N1518)</f>
        <v>0</v>
      </c>
      <c r="S1519" s="748">
        <f>SUM(S1515:T1518)</f>
        <v>603000</v>
      </c>
    </row>
    <row r="1520" spans="1:21" ht="13.15" customHeight="1">
      <c r="B1520" s="748" t="s">
        <v>1752</v>
      </c>
      <c r="O1520" s="748" t="str">
        <f>B1520</f>
        <v>LAND IMPROVEMENTS</v>
      </c>
    </row>
    <row r="1521" spans="2:19" ht="12.6" customHeight="1">
      <c r="B1521" s="748" t="s">
        <v>1753</v>
      </c>
      <c r="G1521" s="748">
        <f>'Part IV-Uses of Funds'!G25</f>
        <v>750000</v>
      </c>
      <c r="J1521" s="748">
        <f>'Part IV-Uses of Funds'!J25</f>
        <v>719820</v>
      </c>
      <c r="M1521" s="748">
        <f>'Part IV-Uses of Funds'!M25</f>
        <v>0</v>
      </c>
      <c r="P1521" s="748">
        <f>'Part IV-Uses of Funds'!P25</f>
        <v>0</v>
      </c>
      <c r="S1521" s="748">
        <f>'Part IV-Uses of Funds'!S25</f>
        <v>30180</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750000</v>
      </c>
      <c r="J1523" s="748">
        <f>SUM(J1521:K1522)</f>
        <v>719820</v>
      </c>
      <c r="M1523" s="748">
        <f>M1521</f>
        <v>0</v>
      </c>
      <c r="P1523" s="748">
        <f>P1521</f>
        <v>0</v>
      </c>
      <c r="S1523" s="748">
        <f>SUM(S1521:T1522)</f>
        <v>30180</v>
      </c>
    </row>
    <row r="1524" spans="2:19" ht="13.15" customHeight="1">
      <c r="B1524" s="748" t="s">
        <v>1755</v>
      </c>
      <c r="O1524" s="748" t="str">
        <f>B1524</f>
        <v>STRUCTURES</v>
      </c>
    </row>
    <row r="1525" spans="2:19" ht="12.6" customHeight="1">
      <c r="B1525" s="748" t="s">
        <v>1756</v>
      </c>
      <c r="G1525" s="748">
        <f>'Part IV-Uses of Funds'!G29</f>
        <v>3120000</v>
      </c>
      <c r="J1525" s="748">
        <f>'Part IV-Uses of Funds'!J29</f>
        <v>3120000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3120000</v>
      </c>
      <c r="J1528" s="748">
        <f>SUM(J1525:K1527)</f>
        <v>3120000</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232200</v>
      </c>
      <c r="J1530" s="748">
        <f>'Part IV-Uses of Funds'!J34</f>
        <v>232200</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309600</v>
      </c>
      <c r="J1531" s="748">
        <f>'Part IV-Uses of Funds'!J35</f>
        <v>309600</v>
      </c>
      <c r="M1531" s="748">
        <f>'Part IV-Uses of Funds'!M35</f>
        <v>0</v>
      </c>
      <c r="P1531" s="748">
        <f>'Part IV-Uses of Funds'!P35</f>
        <v>0</v>
      </c>
      <c r="S1531" s="748">
        <f>'Part IV-Uses of Funds'!S35</f>
        <v>0</v>
      </c>
    </row>
    <row r="1532" spans="2:19" ht="12.6" customHeight="1">
      <c r="B1532" s="748" t="s">
        <v>3131</v>
      </c>
      <c r="F1532" s="748" t="s">
        <v>249</v>
      </c>
      <c r="G1532" s="748">
        <f>SUM(G1530:H1531)</f>
        <v>541800</v>
      </c>
      <c r="J1532" s="748">
        <f>SUM(J1530:K1531)</f>
        <v>541800</v>
      </c>
      <c r="M1532" s="748">
        <f>SUM(M1530:N1531)</f>
        <v>0</v>
      </c>
      <c r="P1532" s="748">
        <f>SUM(P1530:Q1531)</f>
        <v>0</v>
      </c>
      <c r="S1532" s="748">
        <f>SUM(S1530:T1531)</f>
        <v>0</v>
      </c>
    </row>
    <row r="1533" spans="2:19" ht="6" customHeight="1"/>
    <row r="1534" spans="2:19" ht="12.6" customHeight="1">
      <c r="B1534" s="748" t="s">
        <v>1761</v>
      </c>
      <c r="D1534" s="748">
        <f>B1535/'Part VI-Revenues &amp; Expenses'!$M$63</f>
        <v>88236</v>
      </c>
      <c r="F1534" s="748" t="s">
        <v>2111</v>
      </c>
    </row>
    <row r="1535" spans="2:19" ht="12.6" customHeight="1">
      <c r="B1535" s="748">
        <f>G1523+G1528+G1532</f>
        <v>4411800</v>
      </c>
      <c r="D1535" s="748">
        <f>B1535/'Part VI-Revenues &amp; Expenses'!$M$98</f>
        <v>88.590361445783131</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220590</v>
      </c>
      <c r="J1538" s="748">
        <f>'Part IV-Uses of Funds'!J42</f>
        <v>220590</v>
      </c>
      <c r="M1538" s="748">
        <f>'Part IV-Uses of Funds'!M42</f>
        <v>0</v>
      </c>
      <c r="P1538" s="748">
        <f>'Part IV-Uses of Funds'!P42</f>
        <v>0</v>
      </c>
      <c r="S1538" s="748">
        <f>'Part IV-Uses of Funds'!S42</f>
        <v>0</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49555</v>
      </c>
      <c r="J1544" s="748">
        <f>'Part IV-Uses of Funds'!J48</f>
        <v>49555</v>
      </c>
      <c r="M1544" s="748">
        <f>'Part IV-Uses of Funds'!M48</f>
        <v>0</v>
      </c>
      <c r="P1544" s="748">
        <f>'Part IV-Uses of Funds'!P48</f>
        <v>0</v>
      </c>
      <c r="S1544" s="748">
        <f>'Part IV-Uses of Funds'!S48</f>
        <v>0</v>
      </c>
    </row>
    <row r="1545" spans="1:21" ht="13.15" customHeight="1">
      <c r="B1545" s="748" t="s">
        <v>3497</v>
      </c>
      <c r="G1545" s="748">
        <f>'Part IV-Uses of Funds'!G49</f>
        <v>216699</v>
      </c>
      <c r="J1545" s="748">
        <f>'Part IV-Uses of Funds'!J49</f>
        <v>216699</v>
      </c>
      <c r="M1545" s="748">
        <f>'Part IV-Uses of Funds'!M49</f>
        <v>0</v>
      </c>
      <c r="P1545" s="748">
        <f>'Part IV-Uses of Funds'!P49</f>
        <v>0</v>
      </c>
      <c r="S1545" s="748">
        <f>'Part IV-Uses of Funds'!S49</f>
        <v>0</v>
      </c>
    </row>
    <row r="1546" spans="1:21" ht="13.15" customHeight="1">
      <c r="B1546" s="748" t="s">
        <v>3498</v>
      </c>
      <c r="G1546" s="748">
        <f>'Part IV-Uses of Funds'!G50</f>
        <v>10000</v>
      </c>
      <c r="J1546" s="748">
        <f>'Part IV-Uses of Funds'!J50</f>
        <v>10000</v>
      </c>
      <c r="M1546" s="748">
        <f>'Part IV-Uses of Funds'!M50</f>
        <v>0</v>
      </c>
      <c r="P1546" s="748">
        <f>'Part IV-Uses of Funds'!P50</f>
        <v>0</v>
      </c>
      <c r="S1546" s="748">
        <f>'Part IV-Uses of Funds'!S50</f>
        <v>0</v>
      </c>
    </row>
    <row r="1547" spans="1:21" ht="13.15" customHeight="1">
      <c r="B1547" s="748" t="s">
        <v>1093</v>
      </c>
      <c r="G1547" s="748">
        <f>'Part IV-Uses of Funds'!G51</f>
        <v>1000</v>
      </c>
      <c r="J1547" s="748">
        <f>'Part IV-Uses of Funds'!J51</f>
        <v>1000</v>
      </c>
      <c r="M1547" s="748">
        <f>'Part IV-Uses of Funds'!M51</f>
        <v>0</v>
      </c>
      <c r="P1547" s="748">
        <f>'Part IV-Uses of Funds'!P51</f>
        <v>0</v>
      </c>
      <c r="S1547" s="748">
        <f>'Part IV-Uses of Funds'!S51</f>
        <v>0</v>
      </c>
    </row>
    <row r="1548" spans="1:21" ht="13.15" customHeight="1">
      <c r="B1548" s="748" t="s">
        <v>3499</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297254</v>
      </c>
      <c r="J1552" s="748">
        <f>SUM(J1544:K1551)</f>
        <v>297254</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100000</v>
      </c>
      <c r="J1554" s="748">
        <f>'Part IV-Uses of Funds'!J58</f>
        <v>100000</v>
      </c>
      <c r="M1554" s="748">
        <f>'Part IV-Uses of Funds'!M58</f>
        <v>0</v>
      </c>
      <c r="P1554" s="748">
        <f>'Part IV-Uses of Funds'!P58</f>
        <v>0</v>
      </c>
      <c r="S1554" s="748">
        <f>'Part IV-Uses of Funds'!S58</f>
        <v>0</v>
      </c>
    </row>
    <row r="1555" spans="1:21" ht="13.15" customHeight="1">
      <c r="B1555" s="748" t="s">
        <v>707</v>
      </c>
      <c r="G1555" s="748">
        <f>'Part IV-Uses of Funds'!G59</f>
        <v>25000</v>
      </c>
      <c r="J1555" s="748">
        <f>'Part IV-Uses of Funds'!J59</f>
        <v>25000</v>
      </c>
      <c r="M1555" s="748">
        <f>'Part IV-Uses of Funds'!M59</f>
        <v>0</v>
      </c>
      <c r="P1555" s="748">
        <f>'Part IV-Uses of Funds'!P59</f>
        <v>0</v>
      </c>
      <c r="S1555" s="748">
        <f>'Part IV-Uses of Funds'!S59</f>
        <v>0</v>
      </c>
    </row>
    <row r="1556" spans="1:21" ht="13.15" customHeight="1">
      <c r="B1556" s="748" t="s">
        <v>1762</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1763</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1764</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1765</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708</v>
      </c>
      <c r="G1560" s="748">
        <f>'Part IV-Uses of Funds'!G64</f>
        <v>50000</v>
      </c>
      <c r="J1560" s="748">
        <f>'Part IV-Uses of Funds'!J64</f>
        <v>50000</v>
      </c>
      <c r="M1560" s="748">
        <f>'Part IV-Uses of Funds'!M64</f>
        <v>0</v>
      </c>
      <c r="P1560" s="748">
        <f>'Part IV-Uses of Funds'!P64</f>
        <v>0</v>
      </c>
      <c r="S1560" s="748">
        <f>'Part IV-Uses of Funds'!S64</f>
        <v>0</v>
      </c>
    </row>
    <row r="1561" spans="1:21" ht="13.15" customHeight="1">
      <c r="B1561" s="748" t="s">
        <v>709</v>
      </c>
      <c r="G1561" s="748">
        <f>'Part IV-Uses of Funds'!G65</f>
        <v>35000</v>
      </c>
      <c r="J1561" s="748">
        <f>'Part IV-Uses of Funds'!J65</f>
        <v>35000</v>
      </c>
      <c r="M1561" s="748">
        <f>'Part IV-Uses of Funds'!M65</f>
        <v>0</v>
      </c>
      <c r="P1561" s="748">
        <f>'Part IV-Uses of Funds'!P65</f>
        <v>0</v>
      </c>
      <c r="S1561" s="748">
        <f>'Part IV-Uses of Funds'!S65</f>
        <v>0</v>
      </c>
    </row>
    <row r="1562" spans="1:21" ht="13.15" customHeight="1">
      <c r="B1562" s="748" t="s">
        <v>3141</v>
      </c>
      <c r="G1562" s="748">
        <f>'Part IV-Uses of Funds'!G66</f>
        <v>15000</v>
      </c>
      <c r="J1562" s="748">
        <f>'Part IV-Uses of Funds'!J66</f>
        <v>15000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265000</v>
      </c>
      <c r="J1564" s="748">
        <f>SUM(J1554:K1563)</f>
        <v>265000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31206</v>
      </c>
      <c r="J1566" s="748">
        <f>'Part IV-Uses of Funds'!J70</f>
        <v>31206</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84505</v>
      </c>
      <c r="J1568" s="748">
        <f>'Part IV-Uses of Funds'!J72</f>
        <v>84505</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84505</v>
      </c>
      <c r="J1569" s="748">
        <f>'Part IV-Uses of Funds'!J73</f>
        <v>84505</v>
      </c>
      <c r="M1569" s="748">
        <f>'Part IV-Uses of Funds'!M73</f>
        <v>0</v>
      </c>
      <c r="P1569" s="748">
        <f>'Part IV-Uses of Funds'!P73</f>
        <v>0</v>
      </c>
      <c r="S1569" s="748">
        <f>'Part IV-Uses of Funds'!S73</f>
        <v>0</v>
      </c>
    </row>
    <row r="1570" spans="1:21" ht="13.15" customHeight="1">
      <c r="F1570" s="748" t="s">
        <v>249</v>
      </c>
      <c r="G1570" s="748">
        <f>SUM(G1566:H1569)</f>
        <v>200216</v>
      </c>
      <c r="J1570" s="748">
        <f>SUM(J1566:K1569)</f>
        <v>200216</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15000</v>
      </c>
      <c r="J1574" s="748">
        <f>'Part IV-Uses of Funds'!J78</f>
        <v>15000</v>
      </c>
      <c r="M1574" s="748">
        <f>'Part IV-Uses of Funds'!M78</f>
        <v>0</v>
      </c>
      <c r="P1574" s="748">
        <f>'Part IV-Uses of Funds'!P78</f>
        <v>0</v>
      </c>
      <c r="S1574" s="748">
        <f>'Part IV-Uses of Funds'!S78</f>
        <v>0</v>
      </c>
    </row>
    <row r="1575" spans="1:21" ht="13.15" customHeight="1">
      <c r="B1575" s="748" t="s">
        <v>1962</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20000</v>
      </c>
      <c r="J1579" s="748">
        <f>SUM(J1574:K1578)</f>
        <v>20000</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1000</v>
      </c>
      <c r="S1585" s="748">
        <f>'Part IV-Uses of Funds'!S89</f>
        <v>1000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51182</v>
      </c>
      <c r="S1588" s="748">
        <f>'Part IV-Uses of Funds'!S92</f>
        <v>51182</v>
      </c>
    </row>
    <row r="1589" spans="1:21" ht="12.6" customHeight="1">
      <c r="B1589" s="748" t="s">
        <v>1245</v>
      </c>
      <c r="E1589" s="748">
        <f>'Part VI-Revenues &amp; Expenses'!$M$63*'DCA Underwriting Assumptions'!$Q$44</f>
        <v>35000</v>
      </c>
      <c r="G1589" s="748">
        <f>'Part IV-Uses of Funds'!G93</f>
        <v>35000</v>
      </c>
      <c r="S1589" s="748">
        <f>'Part IV-Uses of Funds'!S93</f>
        <v>35000</v>
      </c>
    </row>
    <row r="1590" spans="1:21" ht="12.6" customHeight="1">
      <c r="B1590" s="748" t="s">
        <v>716</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94182</v>
      </c>
      <c r="S1594" s="748">
        <f>SUM(S1585:T1593)</f>
        <v>94182</v>
      </c>
    </row>
    <row r="1595" spans="1:21" ht="13.15" customHeight="1">
      <c r="B1595" s="748" t="s">
        <v>3440</v>
      </c>
      <c r="O1595" s="748" t="str">
        <f>B1595</f>
        <v>EQUITY COSTS</v>
      </c>
    </row>
    <row r="1596" spans="1:21" ht="12.6" customHeight="1">
      <c r="B1596" s="748" t="s">
        <v>371</v>
      </c>
      <c r="G1596" s="748">
        <f>'Part IV-Uses of Funds'!G100</f>
        <v>2500</v>
      </c>
      <c r="S1596" s="748">
        <f>'Part IV-Uses of Funds'!S100</f>
        <v>2500</v>
      </c>
    </row>
    <row r="1597" spans="1:21" ht="12.6" customHeight="1">
      <c r="B1597" s="748" t="s">
        <v>373</v>
      </c>
      <c r="G1597" s="748">
        <f>'Part IV-Uses of Funds'!G101</f>
        <v>5000</v>
      </c>
      <c r="S1597" s="748">
        <f>'Part IV-Uses of Funds'!S101</f>
        <v>5000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7500</v>
      </c>
      <c r="S1600" s="748">
        <f>SUM(S1596:T1599)</f>
        <v>7500</v>
      </c>
    </row>
    <row r="1601" spans="1:21" ht="13.15" customHeight="1">
      <c r="B1601" s="748" t="s">
        <v>374</v>
      </c>
      <c r="O1601" s="748" t="str">
        <f>B1601</f>
        <v>DEVELOPER'S FEE</v>
      </c>
    </row>
    <row r="1602" spans="1:21" ht="12.6" customHeight="1">
      <c r="B1602" s="748" t="s">
        <v>2915</v>
      </c>
      <c r="F1602" s="748" t="e">
        <f>G1602/$G$109</f>
        <v>#DIV/0!</v>
      </c>
      <c r="G1602" s="748">
        <f>'Part IV-Uses of Funds'!G106</f>
        <v>289121</v>
      </c>
      <c r="J1602" s="748">
        <f>'Part IV-Uses of Funds'!J106</f>
        <v>289121</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166465</v>
      </c>
      <c r="J1603" s="748">
        <f>'Part IV-Uses of Funds'!J107</f>
        <v>166465</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376739</v>
      </c>
      <c r="J1604" s="748">
        <f>'Part IV-Uses of Funds'!J108</f>
        <v>376739</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832325</v>
      </c>
      <c r="J1605" s="748">
        <f>SUM(J1602:K1604)</f>
        <v>832325</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29000</v>
      </c>
      <c r="S1607" s="748">
        <f>'Part IV-Uses of Funds'!S111</f>
        <v>29000</v>
      </c>
    </row>
    <row r="1608" spans="1:21" ht="12.6" customHeight="1">
      <c r="B1608" s="748" t="s">
        <v>2288</v>
      </c>
      <c r="G1608" s="748">
        <f>'Part IV-Uses of Funds'!G112</f>
        <v>47496</v>
      </c>
      <c r="S1608" s="748">
        <f>'Part IV-Uses of Funds'!S112</f>
        <v>47496</v>
      </c>
    </row>
    <row r="1609" spans="1:21" ht="12.6" customHeight="1">
      <c r="B1609" s="748" t="s">
        <v>1029</v>
      </c>
      <c r="G1609" s="748">
        <f>'Part IV-Uses of Funds'!G113</f>
        <v>95000</v>
      </c>
      <c r="S1609" s="748">
        <f>'Part IV-Uses of Funds'!S113</f>
        <v>95000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800</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211496</v>
      </c>
      <c r="J1613" s="748">
        <f>SUM(J1611:K1612)</f>
        <v>40000</v>
      </c>
      <c r="M1613" s="748">
        <f>SUM(M1611:N1612)</f>
        <v>0</v>
      </c>
      <c r="P1613" s="748">
        <f>SUM(P1611:Q1612)</f>
        <v>0</v>
      </c>
      <c r="S1613" s="748">
        <f>SUM(S1607:T1612)</f>
        <v>171496</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7216363</v>
      </c>
      <c r="J1619" s="748">
        <f>J1513+J1519+J1523+J1528+J1532+J1538+J1552+J1564+J1570+J1579+J1594+J1600+J1605+J1613+J1617</f>
        <v>6310005</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906358</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7262454</v>
      </c>
      <c r="F1621" s="748" t="s">
        <v>1039</v>
      </c>
      <c r="G1621" s="748">
        <f>G1619/'Part VI-Revenues &amp; Expenses'!$M$63</f>
        <v>144327.26</v>
      </c>
      <c r="J1621" s="748" t="s">
        <v>1040</v>
      </c>
      <c r="M1621" s="748">
        <f>G1619/'Part VI-Revenues &amp; Expenses'!$M$98</f>
        <v>144.90688755020079</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6310005</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6310005</v>
      </c>
      <c r="M1638" s="748">
        <f>M1636</f>
        <v>0</v>
      </c>
      <c r="P1638" s="748">
        <f>P1636-P1637</f>
        <v>0</v>
      </c>
    </row>
    <row r="1639" spans="1:19" ht="13.9" customHeight="1">
      <c r="B1639" s="748" t="s">
        <v>2229</v>
      </c>
      <c r="G1639" s="748" t="s">
        <v>2735</v>
      </c>
      <c r="H1639" s="748" t="str">
        <f>'Part IV-Uses of Funds'!H143</f>
        <v>State Boost</v>
      </c>
      <c r="J1639" s="748">
        <f>'Part IV-Uses of Funds'!J143</f>
        <v>1.2875000000000001</v>
      </c>
      <c r="P1639" s="748">
        <f>'Part IV-Uses of Funds'!P143</f>
        <v>0</v>
      </c>
    </row>
    <row r="1640" spans="1:19" ht="13.9" customHeight="1">
      <c r="B1640" s="748" t="s">
        <v>3150</v>
      </c>
      <c r="J1640" s="748">
        <f>J1638*J1639</f>
        <v>8124131.4375000009</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8124131.4375000009</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731171.82937500009</v>
      </c>
      <c r="M1644" s="748">
        <f>M1642*M1643</f>
        <v>0</v>
      </c>
      <c r="P1644" s="748">
        <f>P1642*P1643</f>
        <v>0</v>
      </c>
    </row>
    <row r="1645" spans="1:19" ht="13.9" customHeight="1">
      <c r="B1645" s="748" t="s">
        <v>2144</v>
      </c>
      <c r="J1645" s="748">
        <f>J1644+M1644+P1644</f>
        <v>731171.82937500009</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7216363</v>
      </c>
      <c r="M1648" s="748" t="s">
        <v>3645</v>
      </c>
    </row>
    <row r="1649" spans="1:20" ht="13.9" customHeight="1">
      <c r="B1649" s="748" t="s">
        <v>3604</v>
      </c>
      <c r="J1649" s="748">
        <f>'Part IV-Uses of Funds'!J153</f>
        <v>7216363</v>
      </c>
    </row>
    <row r="1650" spans="1:20" ht="13.9" customHeight="1">
      <c r="B1650" s="748" t="s">
        <v>341</v>
      </c>
      <c r="J1650" s="749">
        <f>'Part III A-Sources of Funds'!$H$49-'Part III A-Sources of Funds'!$H$37-'Part III A-Sources of Funds'!$H$40-'Part III A-Sources of Funds'!$H$41</f>
        <v>110</v>
      </c>
      <c r="T1650" s="748" t="s">
        <v>344</v>
      </c>
    </row>
    <row r="1651" spans="1:20" ht="13.9" customHeight="1">
      <c r="B1651" s="748" t="s">
        <v>3357</v>
      </c>
      <c r="J1651" s="748">
        <f>+J1649-J1650</f>
        <v>7216253</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721625.3</v>
      </c>
      <c r="N1653" s="748" t="s">
        <v>1989</v>
      </c>
      <c r="Q1653" s="748" t="s">
        <v>2830</v>
      </c>
    </row>
    <row r="1654" spans="1:20" ht="13.9" customHeight="1">
      <c r="B1654" s="748" t="s">
        <v>4069</v>
      </c>
      <c r="J1654" s="748">
        <f>N1654+Q1654</f>
        <v>0.97</v>
      </c>
      <c r="M1654" s="748" t="s">
        <v>1990</v>
      </c>
      <c r="N1654" s="748">
        <f>'Part IV-Uses of Funds'!N158</f>
        <v>0.72</v>
      </c>
      <c r="P1654" s="748" t="s">
        <v>946</v>
      </c>
      <c r="Q1654" s="748">
        <f>'Part IV-Uses of Funds'!Q158</f>
        <v>0.25</v>
      </c>
    </row>
    <row r="1655" spans="1:20" ht="13.9" customHeight="1">
      <c r="B1655" s="748" t="s">
        <v>2145</v>
      </c>
      <c r="J1655" s="748">
        <f>IF(J1654=0,"",J1653/J1654)</f>
        <v>743943.60824742273</v>
      </c>
    </row>
    <row r="1656" spans="1:20" ht="9" customHeight="1"/>
    <row r="1657" spans="1:20" ht="16.149999999999999" customHeight="1">
      <c r="B1657" s="748" t="s">
        <v>3605</v>
      </c>
      <c r="J1657" s="748">
        <f>+MIN(J1645,J1655,'DCA Underwriting Assumptions'!$R$6)</f>
        <v>731171.82937500009</v>
      </c>
    </row>
    <row r="1658" spans="1:20" ht="9.6" customHeight="1"/>
    <row r="1659" spans="1:20" ht="16.149999999999999" customHeight="1">
      <c r="B1659" s="748" t="s">
        <v>3606</v>
      </c>
      <c r="J1659" s="748">
        <f>'Part IV-Uses of Funds'!J163</f>
        <v>731171</v>
      </c>
      <c r="M1659" s="748" t="str">
        <f>IF(J1659&gt;J1657,"ALLOCATION CANNOT EXCEED MAXIMUM - REVISE ALLOCATION!","")</f>
        <v/>
      </c>
    </row>
    <row r="1660" spans="1:20" ht="9.6" customHeight="1"/>
    <row r="1661" spans="1:20" ht="16.149999999999999" customHeight="1">
      <c r="A1661" s="748" t="s">
        <v>2823</v>
      </c>
      <c r="B1661" s="748" t="s">
        <v>3607</v>
      </c>
      <c r="J1661" s="748">
        <f>+MIN(J1657,J1659)</f>
        <v>731171</v>
      </c>
    </row>
    <row r="1662" spans="1:20" ht="3" customHeight="1"/>
    <row r="1663" spans="1:20" ht="6" customHeight="1"/>
    <row r="1664" spans="1:20" ht="12" customHeight="1">
      <c r="A1664" s="748" t="s">
        <v>2825</v>
      </c>
      <c r="B1664" s="748" t="s">
        <v>880</v>
      </c>
      <c r="K1664" s="748" t="s">
        <v>823</v>
      </c>
      <c r="L1664" s="748" t="s">
        <v>89</v>
      </c>
    </row>
    <row r="1665" spans="1:12" ht="107.45" customHeight="1">
      <c r="A1665" s="748" t="str">
        <f>'Part IV-Uses of Funds'!A169</f>
        <v>Please see Tab 8 of the application binder for a SOV prepared by the General Contractor.</v>
      </c>
      <c r="K1665" s="748">
        <f>'Part IV-Uses of Funds'!K169</f>
        <v>0</v>
      </c>
    </row>
    <row r="1666" spans="1:12" ht="107.45" customHeight="1">
      <c r="A1666" s="748" t="str">
        <f>'Part IV-Uses of Funds'!A170</f>
        <v>Per page 16 of 58 in the 2011 QAP the developer will defer $123,896 (15%) of the developer fee, which is more than the required .5% of the total developer fee for every 1% in state designated basis boost requested.</v>
      </c>
      <c r="K1666" s="748">
        <f>'Part IV-Uses of Funds'!K170</f>
        <v>0</v>
      </c>
    </row>
    <row r="1667" spans="1:12" ht="107.45" customHeight="1">
      <c r="A1667" s="748" t="str">
        <f>'Part IV-Uses of Funds'!A171</f>
        <v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2011-023 The Village at Winding Road, ,  County</v>
      </c>
    </row>
    <row r="1675" spans="1:12">
      <c r="F1675" s="748" t="s">
        <v>807</v>
      </c>
      <c r="I1675" s="748" t="str">
        <f>VLOOKUP('Part I-Project Information'!$J$25,'Part I-Project Information'!$C$183:$D$342,2)</f>
        <v>South</v>
      </c>
    </row>
    <row r="1677" spans="1:12">
      <c r="A1677" s="748" t="s">
        <v>951</v>
      </c>
      <c r="B1677" s="748" t="s">
        <v>3352</v>
      </c>
      <c r="F1677" s="748" t="s">
        <v>3806</v>
      </c>
      <c r="I1677" s="748" t="str">
        <f>'Part V-Utility Allowances'!I5</f>
        <v>DCA</v>
      </c>
    </row>
    <row r="1678" spans="1:12">
      <c r="F1678" s="748" t="s">
        <v>973</v>
      </c>
      <c r="I1678" s="748">
        <f>'Part V-Utility Allowances'!I6</f>
        <v>40695</v>
      </c>
      <c r="K1678" s="748" t="s">
        <v>834</v>
      </c>
      <c r="L1678" s="748" t="str">
        <f>'Part V-Utility Allowances'!L6</f>
        <v>MF</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2</v>
      </c>
      <c r="K1682" s="748">
        <f>'Part V-Utility Allowances'!K10</f>
        <v>2</v>
      </c>
      <c r="L1682" s="748">
        <f>'Part V-Utility Allowances'!L10</f>
        <v>0</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38</v>
      </c>
      <c r="K1683" s="748">
        <f>'Part V-Utility Allowances'!K11</f>
        <v>48</v>
      </c>
      <c r="L1683" s="748">
        <f>'Part V-Utility Allowances'!L11</f>
        <v>0</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2073</v>
      </c>
      <c r="D1687" s="748" t="s">
        <v>3351</v>
      </c>
      <c r="E1687" s="748">
        <f>'Part V-Utility Allowances'!E15</f>
        <v>0</v>
      </c>
      <c r="F1687" s="748" t="str">
        <f>'Part V-Utility Allowances'!F15</f>
        <v>X</v>
      </c>
      <c r="G1687" s="748">
        <f>'Part V-Utility Allowances'!G15</f>
        <v>0</v>
      </c>
      <c r="I1687" s="748">
        <f>'Part V-Utility Allowances'!I15</f>
        <v>0</v>
      </c>
      <c r="J1687" s="748">
        <f>'Part V-Utility Allowances'!J15</f>
        <v>39</v>
      </c>
      <c r="K1687" s="748">
        <f>'Part V-Utility Allowances'!K15</f>
        <v>49</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1641</v>
      </c>
      <c r="I1689" s="748">
        <f>SUM(I1682:I1688)</f>
        <v>0</v>
      </c>
      <c r="J1689" s="748">
        <f>SUM(J1682:J1688)</f>
        <v>142</v>
      </c>
      <c r="K1689" s="748">
        <f>SUM(K1682:K1688)</f>
        <v>180</v>
      </c>
      <c r="L1689" s="748">
        <f>SUM(L1682:L1688)</f>
        <v>0</v>
      </c>
      <c r="M1689" s="748">
        <f>SUM(M1682:M1688)</f>
        <v>0</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2840</v>
      </c>
    </row>
    <row r="1707" spans="2:13">
      <c r="B1707" s="748" t="s">
        <v>880</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2011-023 The Village at Winding Road, ,  County</v>
      </c>
    </row>
    <row r="1717" spans="1:219" ht="12" customHeight="1"/>
    <row r="1718" spans="1:219" ht="12.6" customHeight="1">
      <c r="A1718" s="748" t="s">
        <v>951</v>
      </c>
      <c r="B1718" s="748" t="s">
        <v>3572</v>
      </c>
      <c r="D1718" s="748" t="s">
        <v>328</v>
      </c>
      <c r="N1718" s="748" t="s">
        <v>887</v>
      </c>
      <c r="O1718" s="748" t="str">
        <f>'Part I-Project Information'!$J$26</f>
        <v>Camden Co.</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1659</v>
      </c>
    </row>
    <row r="1721" spans="1:219" ht="13.15" customHeight="1">
      <c r="B1721" s="748" t="s">
        <v>2839</v>
      </c>
      <c r="G1721" s="748" t="str">
        <f>'Part VI-Revenues &amp; Expenses'!G6</f>
        <v>No</v>
      </c>
      <c r="J1721" s="748" t="s">
        <v>3646</v>
      </c>
      <c r="P1721" s="748">
        <f>VLOOKUP('Part I-Project Information'!$J$26,'DCA Underwriting Assumptions'!$C$77:$D$187,2)</f>
        <v>60800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4070</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3</v>
      </c>
      <c r="F1725" s="748">
        <f>'Part VI-Revenues &amp; Expenses'!F10</f>
        <v>860</v>
      </c>
      <c r="G1725" s="748">
        <f>'Part VI-Revenues &amp; Expenses'!G10</f>
        <v>551</v>
      </c>
      <c r="H1725" s="748">
        <f>'Part VI-Revenues &amp; Expenses'!H10</f>
        <v>522</v>
      </c>
      <c r="I1725" s="748">
        <f>'Part VI-Revenues &amp; Expenses'!I10</f>
        <v>142</v>
      </c>
      <c r="J1725" s="748">
        <f>'Part VI-Revenues &amp; Expenses'!J10</f>
        <v>0</v>
      </c>
      <c r="K1725" s="748">
        <f>MAX(0,H1725-I1725)</f>
        <v>380</v>
      </c>
      <c r="L1725" s="748">
        <f t="shared" ref="L1725:L1762" si="99">MAX(0,E1725*K1725)</f>
        <v>1140</v>
      </c>
      <c r="M1725" s="748" t="str">
        <f>'Part VI-Revenues &amp; Expenses'!M10</f>
        <v>No</v>
      </c>
      <c r="N1725" s="748" t="str">
        <f>'Part VI-Revenues &amp; Expenses'!N10</f>
        <v>1-Story</v>
      </c>
      <c r="O1725" s="748" t="str">
        <f>'Part VI-Revenues &amp; Expenses'!O10</f>
        <v>New Construction</v>
      </c>
      <c r="P1725" s="748">
        <f>'Part VI-Revenues &amp; Expenses'!P10</f>
        <v>20880</v>
      </c>
      <c r="Q1725" s="748">
        <f>'Part VI-Revenues &amp; Expenses'!Q10</f>
        <v>0.45789473684210524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2580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3</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3</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13</v>
      </c>
      <c r="F1726" s="748">
        <f>'Part VI-Revenues &amp; Expenses'!F11</f>
        <v>860</v>
      </c>
      <c r="G1726" s="748">
        <f>'Part VI-Revenues &amp; Expenses'!G11</f>
        <v>662</v>
      </c>
      <c r="H1726" s="748">
        <f>'Part VI-Revenues &amp; Expenses'!H11</f>
        <v>552</v>
      </c>
      <c r="I1726" s="748">
        <f>'Part VI-Revenues &amp; Expenses'!I11</f>
        <v>142</v>
      </c>
      <c r="J1726" s="748">
        <f>'Part VI-Revenues &amp; Expenses'!J11</f>
        <v>0</v>
      </c>
      <c r="K1726" s="748">
        <f t="shared" ref="K1726:K1742" si="271">MAX(0,H1726-I1726)</f>
        <v>410</v>
      </c>
      <c r="L1726" s="748">
        <f t="shared" si="99"/>
        <v>5330</v>
      </c>
      <c r="M1726" s="748" t="str">
        <f>'Part VI-Revenues &amp; Expenses'!M11</f>
        <v>No</v>
      </c>
      <c r="N1726" s="748" t="str">
        <f>'Part VI-Revenues &amp; Expenses'!N11</f>
        <v>1-Story</v>
      </c>
      <c r="O1726" s="748" t="str">
        <f>'Part VI-Revenues &amp; Expenses'!O11</f>
        <v>New Construction</v>
      </c>
      <c r="P1726" s="748">
        <f>'Part VI-Revenues &amp; Expenses'!P11</f>
        <v>22080</v>
      </c>
      <c r="Q1726" s="748">
        <f>'Part VI-Revenues &amp; Expenses'!Q11</f>
        <v>0.48421052631578948</v>
      </c>
      <c r="R1726" s="748">
        <f>'Part VI-Revenues &amp; Expenses'!R11</f>
        <v>0</v>
      </c>
      <c r="T1726" s="748" t="str">
        <f t="shared" si="100"/>
        <v/>
      </c>
      <c r="U1726" s="748">
        <f t="shared" si="101"/>
        <v>13</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11180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13</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13</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13</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1</v>
      </c>
      <c r="E1727" s="748">
        <f>'Part VI-Revenues &amp; Expenses'!E12</f>
        <v>5</v>
      </c>
      <c r="F1727" s="748">
        <f>'Part VI-Revenues &amp; Expenses'!F12</f>
        <v>1060</v>
      </c>
      <c r="G1727" s="748">
        <f>'Part VI-Revenues &amp; Expenses'!G12</f>
        <v>662</v>
      </c>
      <c r="H1727" s="748">
        <f>'Part VI-Revenues &amp; Expenses'!H12</f>
        <v>625</v>
      </c>
      <c r="I1727" s="748">
        <f>'Part VI-Revenues &amp; Expenses'!I12</f>
        <v>180</v>
      </c>
      <c r="J1727" s="748">
        <f>'Part VI-Revenues &amp; Expenses'!J12</f>
        <v>0</v>
      </c>
      <c r="K1727" s="748">
        <f t="shared" si="271"/>
        <v>445</v>
      </c>
      <c r="L1727" s="748">
        <f t="shared" si="99"/>
        <v>2225</v>
      </c>
      <c r="M1727" s="748" t="str">
        <f>'Part VI-Revenues &amp; Expenses'!M12</f>
        <v>No</v>
      </c>
      <c r="N1727" s="748" t="str">
        <f>'Part VI-Revenues &amp; Expenses'!N12</f>
        <v>1-Story</v>
      </c>
      <c r="O1727" s="748" t="str">
        <f>'Part VI-Revenues &amp; Expenses'!O12</f>
        <v>New Construction</v>
      </c>
      <c r="P1727" s="748">
        <f>'Part VI-Revenues &amp; Expenses'!P12</f>
        <v>25000</v>
      </c>
      <c r="Q1727" s="748">
        <f>'Part VI-Revenues &amp; Expenses'!Q12</f>
        <v>0.45687134502923976</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5300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5</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5</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5</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29</v>
      </c>
      <c r="F1728" s="748">
        <f>'Part VI-Revenues &amp; Expenses'!F13</f>
        <v>1060</v>
      </c>
      <c r="G1728" s="748">
        <f>'Part VI-Revenues &amp; Expenses'!G13</f>
        <v>795</v>
      </c>
      <c r="H1728" s="748">
        <f>'Part VI-Revenues &amp; Expenses'!H13</f>
        <v>665</v>
      </c>
      <c r="I1728" s="748">
        <f>'Part VI-Revenues &amp; Expenses'!I13</f>
        <v>180</v>
      </c>
      <c r="J1728" s="748">
        <f>'Part VI-Revenues &amp; Expenses'!J13</f>
        <v>0</v>
      </c>
      <c r="K1728" s="748">
        <f t="shared" si="271"/>
        <v>485</v>
      </c>
      <c r="L1728" s="748">
        <f t="shared" si="99"/>
        <v>14065</v>
      </c>
      <c r="M1728" s="748" t="str">
        <f>'Part VI-Revenues &amp; Expenses'!M13</f>
        <v>No</v>
      </c>
      <c r="N1728" s="748" t="str">
        <f>'Part VI-Revenues &amp; Expenses'!N13</f>
        <v>1-Story</v>
      </c>
      <c r="O1728" s="748" t="str">
        <f>'Part VI-Revenues &amp; Expenses'!O13</f>
        <v>New Construction</v>
      </c>
      <c r="P1728" s="748">
        <f>'Part VI-Revenues &amp; Expenses'!P13</f>
        <v>26600</v>
      </c>
      <c r="Q1728" s="748">
        <f>'Part VI-Revenues &amp; Expenses'!Q13</f>
        <v>0.4861111111111111</v>
      </c>
      <c r="R1728" s="748">
        <f>'Part VI-Revenues &amp; Expenses'!R13</f>
        <v>0</v>
      </c>
      <c r="T1728" s="748" t="str">
        <f t="shared" si="100"/>
        <v/>
      </c>
      <c r="U1728" s="748" t="str">
        <f t="shared" si="101"/>
        <v/>
      </c>
      <c r="V1728" s="748">
        <f t="shared" si="102"/>
        <v>29</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30740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29</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29</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29</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50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49800</v>
      </c>
      <c r="K1763" s="748" t="s">
        <v>2003</v>
      </c>
      <c r="L1763" s="748">
        <f>SUM(L1725:L1762)</f>
        <v>22760</v>
      </c>
      <c r="T1763" s="748">
        <f t="shared" ref="T1763:CE1763" si="304">SUM(T1725:T1762)</f>
        <v>0</v>
      </c>
      <c r="U1763" s="748">
        <f t="shared" si="304"/>
        <v>13</v>
      </c>
      <c r="V1763" s="748">
        <f t="shared" si="304"/>
        <v>29</v>
      </c>
      <c r="W1763" s="748">
        <f t="shared" si="304"/>
        <v>0</v>
      </c>
      <c r="X1763" s="748">
        <f t="shared" si="304"/>
        <v>0</v>
      </c>
      <c r="Y1763" s="748">
        <f t="shared" si="304"/>
        <v>0</v>
      </c>
      <c r="Z1763" s="748">
        <f t="shared" si="304"/>
        <v>3</v>
      </c>
      <c r="AA1763" s="748">
        <f t="shared" si="304"/>
        <v>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11180</v>
      </c>
      <c r="BY1763" s="748">
        <f t="shared" si="304"/>
        <v>30740</v>
      </c>
      <c r="BZ1763" s="748">
        <f t="shared" si="304"/>
        <v>0</v>
      </c>
      <c r="CA1763" s="748">
        <f t="shared" si="304"/>
        <v>0</v>
      </c>
      <c r="CB1763" s="748">
        <f t="shared" si="304"/>
        <v>0</v>
      </c>
      <c r="CC1763" s="748">
        <f t="shared" si="304"/>
        <v>2580</v>
      </c>
      <c r="CD1763" s="748">
        <f t="shared" si="304"/>
        <v>5300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16</v>
      </c>
      <c r="DC1763" s="748">
        <f t="shared" si="305"/>
        <v>34</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34</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16</v>
      </c>
      <c r="FU1763" s="748">
        <f t="shared" si="306"/>
        <v>34</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273120</v>
      </c>
    </row>
    <row r="1765" spans="1:219" ht="6" customHeight="1"/>
    <row r="1766" spans="1:219" ht="14.45" customHeight="1">
      <c r="A1766" s="748" t="s">
        <v>4071</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13</v>
      </c>
      <c r="J1772" s="748">
        <f>V1763</f>
        <v>29</v>
      </c>
      <c r="K1772" s="748">
        <f>W1763</f>
        <v>0</v>
      </c>
      <c r="L1772" s="748">
        <f>X1763</f>
        <v>0</v>
      </c>
      <c r="M1772" s="748">
        <f t="shared" ref="M1772:M1778" si="308">SUM(H1772:L1772)</f>
        <v>42</v>
      </c>
      <c r="N1772" s="748" t="s">
        <v>1484</v>
      </c>
      <c r="Q1772" s="748">
        <f t="shared" ref="Q1772:Q1778" si="309">ABS(M1772-AD1772)</f>
        <v>0</v>
      </c>
      <c r="T1772" s="748" t="s">
        <v>1779</v>
      </c>
      <c r="X1772" s="748" t="s">
        <v>1792</v>
      </c>
      <c r="Y1772" s="748">
        <f>T1763</f>
        <v>0</v>
      </c>
      <c r="Z1772" s="748">
        <f>U1763</f>
        <v>13</v>
      </c>
      <c r="AA1772" s="748">
        <f>V1763</f>
        <v>29</v>
      </c>
      <c r="AB1772" s="748">
        <f>W1763</f>
        <v>0</v>
      </c>
      <c r="AC1772" s="748">
        <f>X1763</f>
        <v>0</v>
      </c>
      <c r="AD1772" s="748">
        <f t="shared" ref="AD1772:AD1778" si="310">SUM(Y1772:AC1772)</f>
        <v>42</v>
      </c>
      <c r="AE1772" s="748" t="s">
        <v>1556</v>
      </c>
    </row>
    <row r="1773" spans="1:219" ht="15" customHeight="1">
      <c r="A1773" s="748" t="s">
        <v>653</v>
      </c>
      <c r="G1773" s="748" t="s">
        <v>133</v>
      </c>
      <c r="H1773" s="748">
        <f>Y1763</f>
        <v>0</v>
      </c>
      <c r="I1773" s="748">
        <f>Z1763</f>
        <v>3</v>
      </c>
      <c r="J1773" s="748">
        <f>AA1763</f>
        <v>5</v>
      </c>
      <c r="K1773" s="748">
        <f>AB1763</f>
        <v>0</v>
      </c>
      <c r="L1773" s="748">
        <f>AC1763</f>
        <v>0</v>
      </c>
      <c r="M1773" s="748">
        <f t="shared" si="308"/>
        <v>8</v>
      </c>
      <c r="Q1773" s="748">
        <f t="shared" si="309"/>
        <v>0</v>
      </c>
      <c r="X1773" s="748" t="s">
        <v>133</v>
      </c>
      <c r="Y1773" s="748">
        <f>Y1763</f>
        <v>0</v>
      </c>
      <c r="Z1773" s="748">
        <f>Z1763</f>
        <v>3</v>
      </c>
      <c r="AA1773" s="748">
        <f>AA1763</f>
        <v>5</v>
      </c>
      <c r="AB1773" s="748">
        <f>AB1763</f>
        <v>0</v>
      </c>
      <c r="AC1773" s="748">
        <f>AC1763</f>
        <v>0</v>
      </c>
      <c r="AD1773" s="748">
        <f t="shared" si="310"/>
        <v>8</v>
      </c>
    </row>
    <row r="1774" spans="1:219" ht="15" customHeight="1">
      <c r="G1774" s="748" t="s">
        <v>833</v>
      </c>
      <c r="H1774" s="748">
        <f>SUM(H1772:H1773)</f>
        <v>0</v>
      </c>
      <c r="I1774" s="748">
        <f>SUM(I1772:I1773)</f>
        <v>16</v>
      </c>
      <c r="J1774" s="748">
        <f>SUM(J1772:J1773)</f>
        <v>34</v>
      </c>
      <c r="K1774" s="748">
        <f>SUM(K1772:K1773)</f>
        <v>0</v>
      </c>
      <c r="L1774" s="748">
        <f>SUM(L1772:L1773)</f>
        <v>0</v>
      </c>
      <c r="M1774" s="748">
        <f t="shared" si="308"/>
        <v>50</v>
      </c>
      <c r="Q1774" s="748">
        <f t="shared" si="309"/>
        <v>0</v>
      </c>
      <c r="X1774" s="748" t="s">
        <v>833</v>
      </c>
      <c r="Y1774" s="748">
        <f>SUM(Y1772:Y1773)</f>
        <v>0</v>
      </c>
      <c r="Z1774" s="748">
        <f>SUM(Z1772:Z1773)</f>
        <v>16</v>
      </c>
      <c r="AA1774" s="748">
        <f>SUM(AA1772:AA1773)</f>
        <v>34</v>
      </c>
      <c r="AB1774" s="748">
        <f>SUM(AB1772:AB1773)</f>
        <v>0</v>
      </c>
      <c r="AC1774" s="748">
        <f>SUM(AC1772:AC1773)</f>
        <v>0</v>
      </c>
      <c r="AD1774" s="748">
        <f t="shared" si="310"/>
        <v>50</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16</v>
      </c>
      <c r="J1776" s="748">
        <f>SUM(J1774:J1775)</f>
        <v>34</v>
      </c>
      <c r="K1776" s="748">
        <f>SUM(K1774:K1775)</f>
        <v>0</v>
      </c>
      <c r="L1776" s="748">
        <f>SUM(L1774:L1775)</f>
        <v>0</v>
      </c>
      <c r="M1776" s="748">
        <f t="shared" si="308"/>
        <v>50</v>
      </c>
      <c r="Q1776" s="748">
        <f t="shared" si="309"/>
        <v>0</v>
      </c>
      <c r="T1776" s="748" t="s">
        <v>1780</v>
      </c>
      <c r="Y1776" s="748">
        <f>SUM(Y1774:Y1775)</f>
        <v>0</v>
      </c>
      <c r="Z1776" s="748">
        <f>SUM(Z1774:Z1775)</f>
        <v>16</v>
      </c>
      <c r="AA1776" s="748">
        <f>SUM(AA1774:AA1775)</f>
        <v>34</v>
      </c>
      <c r="AB1776" s="748">
        <f>SUM(AB1774:AB1775)</f>
        <v>0</v>
      </c>
      <c r="AC1776" s="748">
        <f>SUM(AC1774:AC1775)</f>
        <v>0</v>
      </c>
      <c r="AD1776" s="748">
        <f t="shared" si="310"/>
        <v>50</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16</v>
      </c>
      <c r="J1778" s="748">
        <f>SUM(J1776:J1777)</f>
        <v>34</v>
      </c>
      <c r="K1778" s="748">
        <f>SUM(K1776:K1777)</f>
        <v>0</v>
      </c>
      <c r="L1778" s="748">
        <f>SUM(L1776:L1777)</f>
        <v>0</v>
      </c>
      <c r="M1778" s="748">
        <f t="shared" si="308"/>
        <v>50</v>
      </c>
      <c r="Q1778" s="748">
        <f t="shared" si="309"/>
        <v>0</v>
      </c>
      <c r="T1778" s="748" t="s">
        <v>833</v>
      </c>
      <c r="Y1778" s="748">
        <f>SUM(Y1776:Y1777)</f>
        <v>0</v>
      </c>
      <c r="Z1778" s="748">
        <f>SUM(Z1776:Z1777)</f>
        <v>16</v>
      </c>
      <c r="AA1778" s="748">
        <f>SUM(AA1776:AA1777)</f>
        <v>34</v>
      </c>
      <c r="AB1778" s="748">
        <f>SUM(AB1776:AB1777)</f>
        <v>0</v>
      </c>
      <c r="AC1778" s="748">
        <f>SUM(AC1776:AC1777)</f>
        <v>0</v>
      </c>
      <c r="AD1778" s="748">
        <f t="shared" si="310"/>
        <v>50</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16</v>
      </c>
      <c r="J1788" s="748">
        <f>DC1763</f>
        <v>34</v>
      </c>
      <c r="K1788" s="748">
        <f>DD1763</f>
        <v>0</v>
      </c>
      <c r="L1788" s="748">
        <f>DE1763</f>
        <v>0</v>
      </c>
      <c r="M1788" s="748">
        <f t="shared" ref="M1788:M1798" si="311">SUM(H1788:L1788)</f>
        <v>50</v>
      </c>
      <c r="Q1788" s="748">
        <f t="shared" ref="Q1788:Q1796" si="312">ABS(M1788-AD1788)</f>
        <v>0</v>
      </c>
      <c r="V1788" s="748" t="s">
        <v>3436</v>
      </c>
      <c r="X1788" s="748" t="s">
        <v>2155</v>
      </c>
      <c r="Y1788" s="748">
        <f>DA1763</f>
        <v>0</v>
      </c>
      <c r="Z1788" s="748">
        <f>DB1763</f>
        <v>16</v>
      </c>
      <c r="AA1788" s="748">
        <f>DC1763</f>
        <v>34</v>
      </c>
      <c r="AB1788" s="748">
        <f>DD1763</f>
        <v>0</v>
      </c>
      <c r="AC1788" s="748">
        <f>DE1763</f>
        <v>0</v>
      </c>
      <c r="AD1788" s="748">
        <f t="shared" ref="AD1788:AD1796" si="313">SUM(Y1788:AC1788)</f>
        <v>50</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16</v>
      </c>
      <c r="J1790" s="748">
        <f>SUM(J1788:J1789)+DM1763</f>
        <v>34</v>
      </c>
      <c r="K1790" s="748">
        <f>SUM(K1788:K1789)+DN1763</f>
        <v>0</v>
      </c>
      <c r="L1790" s="748">
        <f>SUM(L1788:L1789)+DO1763</f>
        <v>0</v>
      </c>
      <c r="M1790" s="748">
        <f t="shared" si="311"/>
        <v>50</v>
      </c>
      <c r="Q1790" s="748">
        <f t="shared" si="312"/>
        <v>0</v>
      </c>
      <c r="X1790" s="748" t="s">
        <v>34</v>
      </c>
      <c r="Y1790" s="748">
        <f>SUM(Y1788:Y1789)+DK1763</f>
        <v>0</v>
      </c>
      <c r="Z1790" s="748">
        <f>SUM(Z1788:Z1789)+DL1763</f>
        <v>16</v>
      </c>
      <c r="AA1790" s="748">
        <f>SUM(AA1788:AA1789)+DM1763</f>
        <v>34</v>
      </c>
      <c r="AB1790" s="748">
        <f>SUM(AB1788:AB1789)+DN1763</f>
        <v>0</v>
      </c>
      <c r="AC1790" s="748">
        <f>SUM(AC1788:AC1789)+DO1763</f>
        <v>0</v>
      </c>
      <c r="AD1790" s="748">
        <f t="shared" si="313"/>
        <v>50</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16</v>
      </c>
      <c r="J1800" s="748">
        <f>EV1763</f>
        <v>34</v>
      </c>
      <c r="K1800" s="748">
        <f>EW1763</f>
        <v>0</v>
      </c>
      <c r="L1800" s="748">
        <f>EX1763</f>
        <v>0</v>
      </c>
      <c r="M1800" s="748">
        <f>SUM(H1800:L1800)</f>
        <v>50</v>
      </c>
      <c r="Q1800" s="748">
        <f>ABS(M1800-AD1800)</f>
        <v>0</v>
      </c>
      <c r="V1800" s="748" t="s">
        <v>46</v>
      </c>
      <c r="Y1800" s="748">
        <f>ET1763</f>
        <v>0</v>
      </c>
      <c r="Z1800" s="748">
        <f>EU1763</f>
        <v>16</v>
      </c>
      <c r="AA1800" s="748">
        <f>EV1763</f>
        <v>34</v>
      </c>
      <c r="AB1800" s="748">
        <f>EW1763</f>
        <v>0</v>
      </c>
      <c r="AC1800" s="748">
        <f>EX1763</f>
        <v>0</v>
      </c>
      <c r="AD1800" s="748">
        <f>SUM(Y1800:AC1800)</f>
        <v>50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11180</v>
      </c>
      <c r="J1807" s="748">
        <f>BY1763</f>
        <v>30740</v>
      </c>
      <c r="K1807" s="748">
        <f>BZ1763</f>
        <v>0</v>
      </c>
      <c r="L1807" s="748">
        <f>CA1763</f>
        <v>0</v>
      </c>
      <c r="M1807" s="748">
        <f t="shared" ref="M1807:M1813" si="314">SUM(H1807:L1807)</f>
        <v>41920</v>
      </c>
      <c r="Q1807" s="748">
        <f t="shared" ref="Q1807:Q1813" si="315">ABS(M1807-AD1807)</f>
        <v>0</v>
      </c>
      <c r="T1807" s="748" t="s">
        <v>3237</v>
      </c>
      <c r="X1807" s="748" t="s">
        <v>1792</v>
      </c>
      <c r="Y1807" s="748">
        <f>BW1763</f>
        <v>0</v>
      </c>
      <c r="Z1807" s="748">
        <f>BX1763</f>
        <v>11180</v>
      </c>
      <c r="AA1807" s="748">
        <f>BY1763</f>
        <v>30740</v>
      </c>
      <c r="AB1807" s="748">
        <f>BZ1763</f>
        <v>0</v>
      </c>
      <c r="AC1807" s="748">
        <f>CA1763</f>
        <v>0</v>
      </c>
      <c r="AD1807" s="748">
        <f t="shared" ref="AD1807:AD1813" si="316">SUM(Y1807:AC1807)</f>
        <v>41920</v>
      </c>
    </row>
    <row r="1808" spans="2:30" ht="15" customHeight="1">
      <c r="G1808" s="748" t="s">
        <v>133</v>
      </c>
      <c r="H1808" s="748">
        <f>CB1763</f>
        <v>0</v>
      </c>
      <c r="I1808" s="748">
        <f>CC1763</f>
        <v>2580</v>
      </c>
      <c r="J1808" s="748">
        <f>CD1763</f>
        <v>5300</v>
      </c>
      <c r="K1808" s="748">
        <f>CE1763</f>
        <v>0</v>
      </c>
      <c r="L1808" s="748">
        <f>CF1763</f>
        <v>0</v>
      </c>
      <c r="M1808" s="748">
        <f t="shared" si="314"/>
        <v>7880</v>
      </c>
      <c r="Q1808" s="748">
        <f t="shared" si="315"/>
        <v>0</v>
      </c>
      <c r="X1808" s="748" t="s">
        <v>133</v>
      </c>
      <c r="Y1808" s="748">
        <f>CB1763</f>
        <v>0</v>
      </c>
      <c r="Z1808" s="748">
        <f>CC1763</f>
        <v>2580</v>
      </c>
      <c r="AA1808" s="748">
        <f>CD1763</f>
        <v>5300</v>
      </c>
      <c r="AB1808" s="748">
        <f>CE1763</f>
        <v>0</v>
      </c>
      <c r="AC1808" s="748">
        <f>CF1763</f>
        <v>0</v>
      </c>
      <c r="AD1808" s="748">
        <f t="shared" si="316"/>
        <v>7880</v>
      </c>
    </row>
    <row r="1809" spans="1:30" ht="15" customHeight="1">
      <c r="G1809" s="748" t="s">
        <v>833</v>
      </c>
      <c r="H1809" s="748">
        <f>SUM(H1807:H1808)</f>
        <v>0</v>
      </c>
      <c r="I1809" s="748">
        <f>SUM(I1807:I1808)</f>
        <v>13760</v>
      </c>
      <c r="J1809" s="748">
        <f>SUM(J1807:J1808)</f>
        <v>36040</v>
      </c>
      <c r="K1809" s="748">
        <f>SUM(K1807:K1808)</f>
        <v>0</v>
      </c>
      <c r="L1809" s="748">
        <f>SUM(L1807:L1808)</f>
        <v>0</v>
      </c>
      <c r="M1809" s="748">
        <f t="shared" si="314"/>
        <v>49800</v>
      </c>
      <c r="Q1809" s="748">
        <f t="shared" si="315"/>
        <v>0</v>
      </c>
      <c r="X1809" s="748" t="s">
        <v>833</v>
      </c>
      <c r="Y1809" s="748">
        <f>SUM(Y1807:Y1808)</f>
        <v>0</v>
      </c>
      <c r="Z1809" s="748">
        <f>SUM(Z1807:Z1808)</f>
        <v>13760</v>
      </c>
      <c r="AA1809" s="748">
        <f>SUM(AA1807:AA1808)</f>
        <v>36040</v>
      </c>
      <c r="AB1809" s="748">
        <f>SUM(AB1807:AB1808)</f>
        <v>0</v>
      </c>
      <c r="AC1809" s="748">
        <f>SUM(AC1807:AC1808)</f>
        <v>0</v>
      </c>
      <c r="AD1809" s="748">
        <f t="shared" si="316"/>
        <v>49800</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13760</v>
      </c>
      <c r="J1811" s="748">
        <f>SUM(J1809:J1810)</f>
        <v>36040</v>
      </c>
      <c r="K1811" s="748">
        <f>SUM(K1809:K1810)</f>
        <v>0</v>
      </c>
      <c r="L1811" s="748">
        <f>SUM(L1809:L1810)</f>
        <v>0</v>
      </c>
      <c r="M1811" s="748">
        <f t="shared" si="314"/>
        <v>49800</v>
      </c>
      <c r="Q1811" s="748">
        <f t="shared" si="315"/>
        <v>0</v>
      </c>
      <c r="T1811" s="748" t="s">
        <v>1780</v>
      </c>
      <c r="Y1811" s="748">
        <f>SUM(Y1809:Y1810)</f>
        <v>0</v>
      </c>
      <c r="Z1811" s="748">
        <f>SUM(Z1809:Z1810)</f>
        <v>13760</v>
      </c>
      <c r="AA1811" s="748">
        <f>SUM(AA1809:AA1810)</f>
        <v>36040</v>
      </c>
      <c r="AB1811" s="748">
        <f>SUM(AB1809:AB1810)</f>
        <v>0</v>
      </c>
      <c r="AC1811" s="748">
        <f>SUM(AC1809:AC1810)</f>
        <v>0</v>
      </c>
      <c r="AD1811" s="748">
        <f t="shared" si="316"/>
        <v>49800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13760</v>
      </c>
      <c r="J1813" s="748">
        <f>SUM(J1811:J1812)</f>
        <v>36040</v>
      </c>
      <c r="K1813" s="748">
        <f>SUM(K1811:K1812)</f>
        <v>0</v>
      </c>
      <c r="L1813" s="748">
        <f>SUM(L1811:L1812)</f>
        <v>0</v>
      </c>
      <c r="M1813" s="748">
        <f t="shared" si="314"/>
        <v>49800</v>
      </c>
      <c r="Q1813" s="748">
        <f t="shared" si="315"/>
        <v>0</v>
      </c>
      <c r="T1813" s="748" t="s">
        <v>833</v>
      </c>
      <c r="Y1813" s="748">
        <f>SUM(Y1811:Y1812)</f>
        <v>0</v>
      </c>
      <c r="Z1813" s="748">
        <f>SUM(Z1811:Z1812)</f>
        <v>13760</v>
      </c>
      <c r="AA1813" s="748">
        <f>SUM(AA1811:AA1812)</f>
        <v>36040</v>
      </c>
      <c r="AB1813" s="748">
        <f>SUM(AB1811:AB1812)</f>
        <v>0</v>
      </c>
      <c r="AC1813" s="748">
        <f>SUM(AC1811:AC1812)</f>
        <v>0</v>
      </c>
      <c r="AD1813" s="748">
        <f t="shared" si="316"/>
        <v>49800</v>
      </c>
    </row>
    <row r="1814" spans="1:30" ht="4.9000000000000004" customHeight="1"/>
    <row r="1815" spans="1:30" ht="13.9" customHeight="1">
      <c r="A1815" s="748" t="s">
        <v>1232</v>
      </c>
      <c r="B1815" s="748" t="s">
        <v>4072</v>
      </c>
    </row>
    <row r="1816" spans="1:30" ht="9" customHeight="1"/>
    <row r="1817" spans="1:30" ht="12.6" customHeight="1">
      <c r="B1817" s="748" t="s">
        <v>1633</v>
      </c>
      <c r="G1817" s="748">
        <f>0.02*L1764</f>
        <v>5462.4000000000005</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4073</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4073</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4073</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39000</v>
      </c>
      <c r="I1857" s="748" t="s">
        <v>2081</v>
      </c>
      <c r="K1857" s="748">
        <f>'Part VI-Revenues &amp; Expenses'!K142</f>
        <v>0</v>
      </c>
      <c r="N1857" s="748" t="s">
        <v>1525</v>
      </c>
      <c r="P1857" s="748">
        <f>'Part VI-Revenues &amp; Expenses'!P142</f>
        <v>25000</v>
      </c>
    </row>
    <row r="1858" spans="2:16" ht="15.6" customHeight="1">
      <c r="B1858" s="748" t="s">
        <v>2070</v>
      </c>
      <c r="F1858" s="748">
        <f>'Part VI-Revenues &amp; Expenses'!F143</f>
        <v>18000</v>
      </c>
      <c r="I1858" s="748" t="s">
        <v>2082</v>
      </c>
      <c r="K1858" s="748">
        <f>'Part VI-Revenues &amp; Expenses'!K143</f>
        <v>1000</v>
      </c>
      <c r="N1858" s="748" t="s">
        <v>200</v>
      </c>
      <c r="P1858" s="748">
        <f>'Part VI-Revenues &amp; Expenses'!P143</f>
        <v>8800</v>
      </c>
    </row>
    <row r="1859" spans="2:16" ht="15.6" customHeight="1">
      <c r="B1859" s="748" t="s">
        <v>1917</v>
      </c>
      <c r="F1859" s="748">
        <f>'Part VI-Revenues &amp; Expenses'!F144</f>
        <v>0</v>
      </c>
      <c r="J1859" s="748" t="s">
        <v>249</v>
      </c>
      <c r="K1859" s="748">
        <f>SUM(K1857:L1858)</f>
        <v>1000</v>
      </c>
      <c r="N1859" s="748">
        <f>'Part VI-Revenues &amp; Expenses'!N144</f>
        <v>0</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33800</v>
      </c>
    </row>
    <row r="1861" spans="2:16" ht="15.6" customHeight="1">
      <c r="C1861" s="748" t="s">
        <v>249</v>
      </c>
      <c r="F1861" s="748">
        <f>SUM(F1857:G1860)</f>
        <v>57000</v>
      </c>
    </row>
    <row r="1862" spans="2:16" ht="9" customHeight="1"/>
    <row r="1863" spans="2:16" ht="13.15" customHeight="1">
      <c r="B1863" s="748" t="s">
        <v>1992</v>
      </c>
      <c r="I1863" s="748" t="s">
        <v>1993</v>
      </c>
      <c r="N1863" s="748" t="s">
        <v>2083</v>
      </c>
      <c r="P1863" s="748">
        <f>IF(OR('Part VII-Pro Forma'!$B$20 = "Choose Mgt Fee",'Part VII-Pro Forma'!$B$20 = "Choose One!"), 0,- 'Part VII-Pro Forma'!$B$20)</f>
        <v>20400</v>
      </c>
    </row>
    <row r="1864" spans="2:16" ht="15.6" customHeight="1">
      <c r="B1864" s="748" t="s">
        <v>2075</v>
      </c>
      <c r="F1864" s="748">
        <f>'Part VI-Revenues &amp; Expenses'!F149</f>
        <v>3200</v>
      </c>
      <c r="I1864" s="748" t="s">
        <v>2365</v>
      </c>
      <c r="K1864" s="748">
        <f>'Part VI-Revenues &amp; Expenses'!K149</f>
        <v>1000</v>
      </c>
      <c r="N1864" s="748">
        <f>+P1863/(M1778*0.93)</f>
        <v>438.70967741935482</v>
      </c>
      <c r="O1864" s="748" t="s">
        <v>3863</v>
      </c>
    </row>
    <row r="1865" spans="2:16" ht="15.6" customHeight="1">
      <c r="B1865" s="748" t="s">
        <v>2076</v>
      </c>
      <c r="F1865" s="748">
        <f>'Part VI-Revenues &amp; Expenses'!F150</f>
        <v>6000</v>
      </c>
      <c r="I1865" s="748" t="s">
        <v>3141</v>
      </c>
      <c r="K1865" s="748">
        <f>'Part VI-Revenues &amp; Expenses'!K150</f>
        <v>9000</v>
      </c>
      <c r="N1865" s="748">
        <f>+P1863/(M1778*0.93)/12</f>
        <v>36.559139784946233</v>
      </c>
      <c r="O1865" s="748" t="s">
        <v>3864</v>
      </c>
    </row>
    <row r="1866" spans="2:16" ht="15.6" customHeight="1">
      <c r="B1866" s="748" t="s">
        <v>2077</v>
      </c>
      <c r="F1866" s="748">
        <f>'Part VI-Revenues &amp; Expenses'!F151</f>
        <v>500</v>
      </c>
      <c r="I1866" s="748" t="s">
        <v>2366</v>
      </c>
      <c r="K1866" s="748">
        <f>'Part VI-Revenues &amp; Expenses'!K151</f>
        <v>2000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2000</v>
      </c>
      <c r="J1868" s="748" t="s">
        <v>249</v>
      </c>
      <c r="K1868" s="748">
        <f>SUM(K1864:K1867)</f>
        <v>12000</v>
      </c>
    </row>
    <row r="1869" spans="2:16" ht="15.6" customHeight="1">
      <c r="B1869" s="748" t="str">
        <f>'Part VI-Revenues &amp; Expenses'!B154</f>
        <v>Training</v>
      </c>
      <c r="F1869" s="748">
        <f>'Part VI-Revenues &amp; Expenses'!F154</f>
        <v>1700</v>
      </c>
    </row>
    <row r="1870" spans="2:16" ht="15.6" customHeight="1">
      <c r="C1870" s="748" t="s">
        <v>249</v>
      </c>
      <c r="F1870" s="748">
        <f>SUM(F1864:G1869)</f>
        <v>13400</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5100</v>
      </c>
      <c r="I1873" s="748" t="s">
        <v>2071</v>
      </c>
      <c r="J1873" s="748" t="e">
        <f>K1873/12/$M$63</f>
        <v>#DIV/0!</v>
      </c>
      <c r="K1873" s="748">
        <f>'Part VI-Revenues &amp; Expenses'!K158</f>
        <v>7000</v>
      </c>
      <c r="N1873" s="748" t="e">
        <f>+$P$158/$M$63</f>
        <v>#DIV/0!</v>
      </c>
      <c r="O1873" s="748" t="s">
        <v>2111</v>
      </c>
      <c r="P1873" s="748">
        <f>F1861+F1870+F1881+K1859+K1868+K1878+P1860+P1863</f>
        <v>189985</v>
      </c>
    </row>
    <row r="1874" spans="1:16" ht="15.6" customHeight="1">
      <c r="B1874" s="748" t="s">
        <v>2368</v>
      </c>
      <c r="F1874" s="748">
        <f>'Part VI-Revenues &amp; Expenses'!F159</f>
        <v>6000</v>
      </c>
      <c r="I1874" s="748" t="s">
        <v>2072</v>
      </c>
      <c r="J1874" s="748" t="e">
        <f>K1874/12/$M$63</f>
        <v>#DIV/0!</v>
      </c>
      <c r="K1874" s="748">
        <f>'Part VI-Revenues &amp; Expenses'!K159</f>
        <v>0</v>
      </c>
    </row>
    <row r="1875" spans="1:16" ht="15.6" customHeight="1">
      <c r="B1875" s="748" t="s">
        <v>2369</v>
      </c>
      <c r="F1875" s="748">
        <f>'Part VI-Revenues &amp; Expenses'!F160</f>
        <v>13000</v>
      </c>
      <c r="I1875" s="748" t="s">
        <v>3554</v>
      </c>
      <c r="J1875" s="748" t="e">
        <f>K1875/12/$M$63</f>
        <v>#DIV/0!</v>
      </c>
      <c r="K1875" s="748">
        <f>'Part VI-Revenues &amp; Expenses'!K160</f>
        <v>1000</v>
      </c>
    </row>
    <row r="1876" spans="1:16" ht="15.6" customHeight="1">
      <c r="B1876" s="748" t="s">
        <v>1617</v>
      </c>
      <c r="F1876" s="748">
        <f>'Part VI-Revenues &amp; Expenses'!F161</f>
        <v>4125</v>
      </c>
      <c r="I1876" s="748" t="s">
        <v>2074</v>
      </c>
      <c r="K1876" s="748">
        <f>'Part VI-Revenues &amp; Expenses'!K161</f>
        <v>6600</v>
      </c>
      <c r="N1876" s="748" t="s">
        <v>1923</v>
      </c>
      <c r="P1876" s="748">
        <f>P1877*M1778</f>
        <v>12500</v>
      </c>
    </row>
    <row r="1877" spans="1:16" ht="15.6" customHeight="1">
      <c r="B1877" s="748" t="s">
        <v>1618</v>
      </c>
      <c r="F1877" s="748">
        <f>'Part VI-Revenues &amp; Expenses'!F162</f>
        <v>6600</v>
      </c>
      <c r="I1877" s="748" t="str">
        <f>'Part VI-Revenues &amp; Expenses'!I162</f>
        <v>Cable/Internet</v>
      </c>
      <c r="K1877" s="748">
        <f>'Part VI-Revenues &amp; Expenses'!K162</f>
        <v>960</v>
      </c>
      <c r="N1877" s="748" t="s">
        <v>680</v>
      </c>
      <c r="P1877" s="748">
        <f>'Part VI-Revenues &amp; Expenses'!P162</f>
        <v>250</v>
      </c>
    </row>
    <row r="1878" spans="1:16" ht="15.6" customHeight="1">
      <c r="B1878" s="748" t="s">
        <v>1619</v>
      </c>
      <c r="F1878" s="748">
        <f>'Part VI-Revenues &amp; Expenses'!F163</f>
        <v>0</v>
      </c>
      <c r="J1878" s="748" t="s">
        <v>249</v>
      </c>
      <c r="K1878" s="748">
        <f>SUM(K1873:K1877)</f>
        <v>15560</v>
      </c>
    </row>
    <row r="1879" spans="1:16" ht="15.6" customHeight="1">
      <c r="B1879" s="748" t="s">
        <v>1459</v>
      </c>
      <c r="F1879" s="748">
        <f>'Part VI-Revenues &amp; Expenses'!F164</f>
        <v>2000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36825</v>
      </c>
      <c r="P1881" s="748">
        <f>P1873+P1876</f>
        <v>202485</v>
      </c>
    </row>
    <row r="1882" spans="1:16" ht="10.9" customHeight="1"/>
    <row r="1883" spans="1:16" ht="12" customHeight="1">
      <c r="A1883" s="748" t="s">
        <v>2825</v>
      </c>
      <c r="B1883" s="748" t="s">
        <v>880</v>
      </c>
      <c r="K1883" s="748" t="s">
        <v>823</v>
      </c>
      <c r="L1883" s="748" t="s">
        <v>2898</v>
      </c>
    </row>
    <row r="1884" spans="1:16" ht="51.6" customHeight="1">
      <c r="A1884" s="748" t="str">
        <f>'Part VI-Revenues &amp; Expenses'!A169</f>
        <v>Please see Tab 8 of the Application Binder for a real estate tax assumption backup documentation.</v>
      </c>
      <c r="K1884" s="748">
        <f>'Part VI-Revenues &amp; Expenses'!K169</f>
        <v>0</v>
      </c>
    </row>
    <row r="1885" spans="1:16" ht="51.6" customHeight="1">
      <c r="A1885" s="748" t="str">
        <f>'Part VI-Revenues &amp; Expenses'!A170</f>
        <v>Please see Tab 8 of the Application Binder for a property insurance estimate.</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2011-023 The Village at Winding Road, ,  County</v>
      </c>
    </row>
    <row r="1891" spans="1:11">
      <c r="A1891" s="748" t="s">
        <v>100</v>
      </c>
      <c r="D1891" s="748" t="s">
        <v>90</v>
      </c>
      <c r="F1891" s="748" t="s">
        <v>4075</v>
      </c>
    </row>
    <row r="1893" spans="1:11">
      <c r="A1893" s="748" t="s">
        <v>3296</v>
      </c>
      <c r="B1893" s="748">
        <v>0.02</v>
      </c>
      <c r="D1893" s="748" t="s">
        <v>1366</v>
      </c>
      <c r="G1893" s="748">
        <f>'Part VII-Pro Forma'!G5</f>
        <v>5000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20400</v>
      </c>
    </row>
    <row r="1897" spans="1:11">
      <c r="A1897" s="748" t="s">
        <v>2130</v>
      </c>
      <c r="B1897" s="748">
        <v>0.02</v>
      </c>
      <c r="D1897" s="748" t="s">
        <v>2744</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1865</v>
      </c>
      <c r="B1919" s="748">
        <f>'Part VII-Pro Forma'!B31</f>
        <v>-51597</v>
      </c>
      <c r="C1919" s="748">
        <f>'Part VII-Pro Forma'!C31</f>
        <v>-50704</v>
      </c>
      <c r="D1919" s="748">
        <f>'Part VII-Pro Forma'!D31</f>
        <v>-28083</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-56597</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0</v>
      </c>
      <c r="C1930" s="748">
        <f>'Part VII-Pro Forma'!C42</f>
        <v>0</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f>'Part VII-Pro Forma'!B46</f>
        <v>76171.304608934355</v>
      </c>
      <c r="C1934" s="748">
        <f>'Part VII-Pro Forma'!C46</f>
        <v>27514.766976767009</v>
      </c>
      <c r="D1934" s="748">
        <f>'Part VII-Pro Forma'!D46</f>
        <v>-0.11432230267018895</v>
      </c>
      <c r="E1934" s="748">
        <f>'Part VII-Pro Forma'!E46</f>
        <v>-0.11873118058177058</v>
      </c>
      <c r="F1934" s="748">
        <f>'Part VII-Pro Forma'!F46</f>
        <v>-0.12331008834741587</v>
      </c>
      <c r="G1934" s="748">
        <f>'Part VII-Pro Forma'!G46</f>
        <v>-0.12806558322542333</v>
      </c>
      <c r="H1934" s="748">
        <f>'Part VII-Pro Forma'!H46</f>
        <v>-0.13300447535695509</v>
      </c>
      <c r="I1934" s="748">
        <f>'Part VII-Pro Forma'!I46</f>
        <v>-0.13813383751854927</v>
      </c>
      <c r="J1934" s="748">
        <f>'Part VII-Pro Forma'!J46</f>
        <v>-0.14346101525074123</v>
      </c>
      <c r="K1934" s="748">
        <f>'Part VII-Pro Forma'!K46</f>
        <v>-0.14899363737729854</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0</v>
      </c>
      <c r="J1953" s="748">
        <f>'Part VII-Pro Forma'!J65</f>
        <v>0</v>
      </c>
      <c r="K1953" s="748">
        <f>'Part VII-Pro Forma'!K65</f>
        <v>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f>'Part VII-Pro Forma'!B81</f>
        <v>-0.15473962693013379</v>
      </c>
      <c r="C1969" s="748">
        <f>'Part VII-Pro Forma'!C81</f>
        <v>-0.16070721249554026</v>
      </c>
      <c r="D1969" s="748">
        <f>'Part VII-Pro Forma'!D81</f>
        <v>-0.16690493999799902</v>
      </c>
      <c r="E1969" s="748">
        <f>'Part VII-Pro Forma'!E81</f>
        <v>-0.17334168493843244</v>
      </c>
      <c r="F1969" s="748">
        <f>'Part VII-Pro Forma'!F81</f>
        <v>-0.18002666510443013</v>
      </c>
      <c r="G1969" s="748">
        <f>'Part VII-Pro Forma'!G81</f>
        <v>-0.18696945377064897</v>
      </c>
      <c r="H1969" s="748">
        <f>'Part VII-Pro Forma'!H81</f>
        <v>-0.19417999340829092</v>
      </c>
      <c r="I1969" s="748">
        <f>'Part VII-Pro Forma'!I81</f>
        <v>-0.20166860992329161</v>
      </c>
      <c r="J1969" s="748">
        <f>'Part VII-Pro Forma'!J81</f>
        <v>-0.20944602744360916</v>
      </c>
      <c r="K1969" s="748">
        <f>'Part VII-Pro Forma'!K81</f>
        <v>-0.21752338367679011</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f>'Part VII-Pro Forma'!B116</f>
        <v>-0.22591224585980471</v>
      </c>
      <c r="C2004" s="748">
        <f>'Part VII-Pro Forma'!C116</f>
        <v>-0.23462462732399314</v>
      </c>
      <c r="D2004" s="748">
        <f>'Part VII-Pro Forma'!D116</f>
        <v>-0.24367300469884434</v>
      </c>
      <c r="E2004" s="748">
        <f>'Part VII-Pro Forma'!E116</f>
        <v>-0.25307033577924437</v>
      </c>
      <c r="F2004" s="748">
        <f>'Part VII-Pro Forma'!F116</f>
        <v>-0.26283007808178116</v>
      </c>
      <c r="G2004" s="748">
        <f>'Part VII-Pro Forma'!G116</f>
        <v>-0.27296620811667954</v>
      </c>
      <c r="H2004" s="748">
        <f>'Part VII-Pro Forma'!H116</f>
        <v>-0.2834932414029645</v>
      </c>
      <c r="I2004" s="748">
        <f>'Part VII-Pro Forma'!I116</f>
        <v>-0.29442625325551647</v>
      </c>
      <c r="J2004" s="748">
        <f>'Part VII-Pro Forma'!J116</f>
        <v>-0.30578090037378591</v>
      </c>
      <c r="K2004" s="748">
        <f>'Part VII-Pro Forma'!K116</f>
        <v>-0.31757344326308412</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0</v>
      </c>
      <c r="C2023" s="748">
        <f>'Part VII-Pro Forma'!C135</f>
        <v>0</v>
      </c>
      <c r="D2023" s="748">
        <f>'Part VII-Pro Forma'!D135</f>
        <v>0</v>
      </c>
      <c r="E2023" s="748">
        <f>'Part VII-Pro Forma'!E135</f>
        <v>0</v>
      </c>
      <c r="F2023" s="748">
        <f>'Part VII-Pro Forma'!F135</f>
        <v>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f>'Part VII-Pro Forma'!B151</f>
        <v>-0.3298207695205585</v>
      </c>
      <c r="C2039" s="748">
        <f>'Part VII-Pro Forma'!C151</f>
        <v>-0.34254041801919949</v>
      </c>
      <c r="D2039" s="748">
        <f>'Part VII-Pro Forma'!D151</f>
        <v>-0.35575060402451164</v>
      </c>
      <c r="E2039" s="748">
        <f>'Part VII-Pro Forma'!E151</f>
        <v>-0.36947024527981759</v>
      </c>
      <c r="F2039" s="748">
        <f>'Part VII-Pro Forma'!F151</f>
        <v>-0.38371898909755042</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2011-023 The Village at Winding Road,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2889</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Senior (HFOP)</v>
      </c>
      <c r="P2095" s="748" t="str">
        <f>'Part VIII-Threshold Criteria'!P47</f>
        <v>Yes</v>
      </c>
      <c r="Q2095" s="748">
        <f>'Part VIII-Threshold Criteria'!Q47</f>
        <v>0</v>
      </c>
    </row>
    <row r="2096" spans="1:17">
      <c r="B2096" s="748" t="s">
        <v>2921</v>
      </c>
      <c r="K2096" s="748" t="s">
        <v>2922</v>
      </c>
    </row>
    <row r="2097" spans="1:17">
      <c r="A2097" s="748" t="str">
        <f>'Part VIII-Threshold Criteria'!A49</f>
        <v>2. This project is designtaed as Senior Housing for Older Persons with a target market of tenants age 55 and over</v>
      </c>
      <c r="K2097" s="748">
        <f>'Part VIII-Threshold Criteria'!K49</f>
        <v>0</v>
      </c>
    </row>
    <row r="2099" spans="1:17">
      <c r="A2099" s="748">
        <v>3</v>
      </c>
      <c r="B2099" s="748" t="s">
        <v>682</v>
      </c>
      <c r="O2099" s="748" t="s">
        <v>2923</v>
      </c>
      <c r="P2099" s="748">
        <f>'Part VIII-Threshold Criteria'!P51</f>
        <v>0</v>
      </c>
    </row>
    <row r="2101" spans="1:17">
      <c r="B2101" s="748" t="s">
        <v>3060</v>
      </c>
      <c r="C2101" s="748" t="s">
        <v>4076</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2845</v>
      </c>
      <c r="O2104" s="748" t="s">
        <v>2766</v>
      </c>
      <c r="P2104" s="748" t="str">
        <f>'Part VIII-Threshold Criteria'!P56</f>
        <v>Yes</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t="str">
        <f>'Part VIII-Threshold Criteria'!A59</f>
        <v xml:space="preserve">A. The applicant agrees that all selected services will meet QAP policies. </v>
      </c>
    </row>
    <row r="2108" spans="1:17">
      <c r="A2108" s="748" t="str">
        <f>'Part VIII-Threshold Criteria'!A60</f>
        <v>B. The Village at Winding Road will provide social and recreational programs planned &amp; overseen by the project manager, such as semi-monthly birthday/holiday parties or parties/potluck dinners, and will also conduct semi-monthly classes on-site.</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Novogradac &amp; Company LLP</v>
      </c>
      <c r="Q2115" s="748">
        <f>'Part VIII-Threshold Criteria'!Q67</f>
        <v>0</v>
      </c>
    </row>
    <row r="2116" spans="1:17">
      <c r="B2116" s="748" t="s">
        <v>3063</v>
      </c>
      <c r="C2116" s="748" t="s">
        <v>3118</v>
      </c>
      <c r="L2116" s="748" t="s">
        <v>3063</v>
      </c>
      <c r="M2116" s="748" t="str">
        <f>'Part VIII-Threshold Criteria'!M68</f>
        <v>6 months</v>
      </c>
      <c r="Q2116" s="748">
        <f>'Part VIII-Threshold Criteria'!Q68</f>
        <v>0</v>
      </c>
    </row>
    <row r="2117" spans="1:17">
      <c r="B2117" s="748" t="s">
        <v>1239</v>
      </c>
      <c r="C2117" s="748" t="s">
        <v>3731</v>
      </c>
      <c r="L2117" s="748" t="s">
        <v>1239</v>
      </c>
      <c r="M2117" s="748" t="str">
        <f>'Part VIII-Threshold Criteria'!M69</f>
        <v>6 months</v>
      </c>
      <c r="Q2117" s="748">
        <f>'Part VIII-Threshold Criteria'!Q69</f>
        <v>0</v>
      </c>
    </row>
    <row r="2118" spans="1:17">
      <c r="B2118" s="748" t="s">
        <v>3212</v>
      </c>
      <c r="C2118" s="748" t="s">
        <v>3732</v>
      </c>
      <c r="L2118" s="748" t="s">
        <v>3212</v>
      </c>
      <c r="M2118" s="748">
        <f>'Part VIII-Threshold Criteria'!M70</f>
        <v>0.182</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t="str">
        <f>'Part VIII-Threshold Criteria'!D73</f>
        <v>2010-30</v>
      </c>
      <c r="E2121" s="748" t="str">
        <f>'Part VIII-Threshold Criteria'!E73</f>
        <v>Caney Heights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Caney Heights will be a single family home LIHTC development in Kingsland, GA.  Caney Heights and the subject property are two different builidng types and will serve to two different tenancy types.</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Yes</v>
      </c>
      <c r="Q2133" s="748">
        <f>'Part VIII-Threshold Criteria'!Q85</f>
        <v>0</v>
      </c>
    </row>
    <row r="2134" spans="1:17">
      <c r="B2134" s="748" t="s">
        <v>3063</v>
      </c>
      <c r="C2134" s="748" t="s">
        <v>2006</v>
      </c>
      <c r="O2134" s="748" t="s">
        <v>3063</v>
      </c>
      <c r="P2134" s="748" t="str">
        <f>'Part VIII-Threshold Criteria'!P86</f>
        <v>Yes</v>
      </c>
      <c r="Q2134" s="748">
        <f>'Part VIII-Threshold Criteria'!Q86</f>
        <v>0</v>
      </c>
    </row>
    <row r="2135" spans="1:17">
      <c r="D2135" s="748" t="s">
        <v>850</v>
      </c>
      <c r="K2135" s="748" t="s">
        <v>851</v>
      </c>
      <c r="M2135" s="748" t="str">
        <f>'Part VIII-Threshold Criteria'!M87</f>
        <v>Lewis Appraisal Company</v>
      </c>
      <c r="Q2135" s="748">
        <f>'Part VIII-Threshold Criteria'!Q87</f>
        <v>0</v>
      </c>
    </row>
    <row r="2136" spans="1:17">
      <c r="C2136" s="748" t="s">
        <v>2765</v>
      </c>
      <c r="D2136" s="748" t="s">
        <v>679</v>
      </c>
      <c r="O2136" s="748" t="s">
        <v>2765</v>
      </c>
      <c r="P2136" s="748" t="str">
        <f>'Part VIII-Threshold Criteria'!P88</f>
        <v>Yes</v>
      </c>
      <c r="Q2136" s="748">
        <f>'Part VIII-Threshold Criteria'!Q88</f>
        <v>0</v>
      </c>
    </row>
    <row r="2137" spans="1:17">
      <c r="C2137" s="748" t="s">
        <v>2766</v>
      </c>
      <c r="D2137" s="748" t="s">
        <v>187</v>
      </c>
      <c r="O2137" s="748" t="s">
        <v>2766</v>
      </c>
      <c r="P2137" s="748" t="str">
        <f>'Part VIII-Threshold Criteria'!P89</f>
        <v>Yes</v>
      </c>
      <c r="Q2137" s="748">
        <f>'Part VIII-Threshold Criteria'!Q89</f>
        <v>0</v>
      </c>
    </row>
    <row r="2138" spans="1:17">
      <c r="C2138" s="748" t="s">
        <v>2767</v>
      </c>
      <c r="D2138" s="748" t="s">
        <v>188</v>
      </c>
      <c r="O2138" s="748" t="s">
        <v>2767</v>
      </c>
      <c r="P2138" s="748" t="str">
        <f>'Part VIII-Threshold Criteria'!P90</f>
        <v>No</v>
      </c>
      <c r="Q2138" s="748">
        <f>'Part VIII-Threshold Criteria'!Q90</f>
        <v>0</v>
      </c>
    </row>
    <row r="2139" spans="1:17">
      <c r="B2139" s="748" t="s">
        <v>1239</v>
      </c>
      <c r="C2139" s="748" t="s">
        <v>191</v>
      </c>
      <c r="O2139" s="748" t="s">
        <v>1239</v>
      </c>
      <c r="P2139" s="748" t="str">
        <f>'Part VIII-Threshold Criteria'!P91</f>
        <v>No</v>
      </c>
      <c r="Q2139" s="748">
        <f>'Part VIII-Threshold Criteria'!Q91</f>
        <v>0</v>
      </c>
    </row>
    <row r="2140" spans="1:17">
      <c r="B2140" s="748" t="s">
        <v>3212</v>
      </c>
      <c r="C2140" s="748" t="s">
        <v>2149</v>
      </c>
    </row>
    <row r="2141" spans="1:17">
      <c r="C2141" s="748" t="s">
        <v>2765</v>
      </c>
      <c r="D2141" s="748" t="s">
        <v>2150</v>
      </c>
      <c r="O2141" s="748" t="s">
        <v>2765</v>
      </c>
      <c r="P2141" s="748" t="str">
        <f>'Part VIII-Threshold Criteria'!P93</f>
        <v>No</v>
      </c>
      <c r="Q2141" s="748">
        <f>'Part VIII-Threshold Criteria'!Q93</f>
        <v>0</v>
      </c>
    </row>
    <row r="2142" spans="1:17">
      <c r="C2142" s="748" t="s">
        <v>2766</v>
      </c>
      <c r="D2142" s="748" t="s">
        <v>2151</v>
      </c>
      <c r="O2142" s="748" t="s">
        <v>2766</v>
      </c>
      <c r="P2142" s="748" t="str">
        <f>'Part VIII-Threshold Criteria'!P94</f>
        <v>No</v>
      </c>
      <c r="Q2142" s="748">
        <f>'Part VIII-Threshold Criteria'!Q94</f>
        <v>0</v>
      </c>
    </row>
    <row r="2143" spans="1:17">
      <c r="C2143" s="748" t="s">
        <v>2767</v>
      </c>
      <c r="D2143" s="748" t="s">
        <v>2152</v>
      </c>
      <c r="O2143" s="748" t="s">
        <v>2767</v>
      </c>
      <c r="P2143" s="748" t="str">
        <f>'Part VIII-Threshold Criteria'!P95</f>
        <v>No</v>
      </c>
      <c r="Q2143" s="748">
        <f>'Part VIII-Threshold Criteria'!Q95</f>
        <v>0</v>
      </c>
    </row>
    <row r="2144" spans="1:17">
      <c r="B2144" s="748" t="s">
        <v>2921</v>
      </c>
    </row>
    <row r="2145" spans="1:17">
      <c r="A2145" s="748" t="str">
        <f>'Part VIII-Threshold Criteria'!A97</f>
        <v>Please see the appraisal performed by Lewis Appraisal Company located in Tab 10 of the Core Application</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Geotechnical &amp; Environmental Consultants, Inc. (GEC)</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2842</v>
      </c>
      <c r="P2156" s="748">
        <f>'Part VIII-Threshold Criteria'!P108</f>
        <v>0</v>
      </c>
      <c r="Q2156" s="748">
        <f>'Part VIII-Threshold Criteria'!Q108</f>
        <v>0</v>
      </c>
    </row>
    <row r="2157" spans="1:17">
      <c r="C2157" s="748" t="s">
        <v>2090</v>
      </c>
    </row>
    <row r="2158" spans="1:17">
      <c r="C2158" s="748" t="str">
        <f>'Part VIII-Threshold Criteria'!C110</f>
        <v>less than 65 dnl; no mitigation of noise level is requred.</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Yes</v>
      </c>
      <c r="Q2165" s="748">
        <f>'Part VIII-Threshold Criteria'!Q117</f>
        <v>0</v>
      </c>
    </row>
    <row r="2166" spans="2:17">
      <c r="D2166" s="748" t="s">
        <v>1408</v>
      </c>
      <c r="P2166" s="748">
        <f>'Part VIII-Threshold Criteria'!P118</f>
        <v>0.124</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t="str">
        <f>'Part VIII-Threshold Criteria'!P120</f>
        <v>No</v>
      </c>
      <c r="Q2168" s="748">
        <f>'Part VIII-Threshold Criteria'!Q120</f>
        <v>0</v>
      </c>
    </row>
    <row r="2169" spans="2:17">
      <c r="C2169" s="748" t="s">
        <v>3571</v>
      </c>
      <c r="D2169" s="748" t="s">
        <v>727</v>
      </c>
      <c r="O2169" s="748" t="s">
        <v>3571</v>
      </c>
      <c r="P2169" s="748">
        <f>'Part VIII-Threshold Criteria'!P121</f>
        <v>0</v>
      </c>
      <c r="Q2169" s="748">
        <f>'Part VIII-Threshold Criteria'!Q121</f>
        <v>0</v>
      </c>
    </row>
    <row r="2170" spans="2:17">
      <c r="B2170" s="748" t="s">
        <v>2763</v>
      </c>
      <c r="C2170" s="748" t="s">
        <v>3658</v>
      </c>
      <c r="O2170" s="748" t="s">
        <v>2763</v>
      </c>
      <c r="P2170" s="748">
        <f>'Part VIII-Threshold Criteria'!P122</f>
        <v>0</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2764</v>
      </c>
      <c r="C2174" s="748" t="s">
        <v>1984</v>
      </c>
      <c r="O2174" s="748" t="s">
        <v>2764</v>
      </c>
      <c r="P2174" s="748" t="str">
        <f>'Part VIII-Threshold Criteria'!P126</f>
        <v>N/A</v>
      </c>
      <c r="Q2174" s="748">
        <f>'Part VIII-Threshold Criteria'!Q126</f>
        <v>0</v>
      </c>
    </row>
    <row r="2175" spans="2:17">
      <c r="C2175" s="748" t="s">
        <v>2765</v>
      </c>
      <c r="D2175" s="748" t="s">
        <v>1080</v>
      </c>
      <c r="O2175" s="748" t="s">
        <v>2765</v>
      </c>
      <c r="P2175" s="748">
        <f>'Part VIII-Threshold Criteria'!P127</f>
        <v>0</v>
      </c>
      <c r="Q2175" s="748">
        <f>'Part VIII-Threshold Criteria'!Q127</f>
        <v>0</v>
      </c>
    </row>
    <row r="2176" spans="2:17">
      <c r="C2176" s="748" t="s">
        <v>2766</v>
      </c>
      <c r="D2176" s="748" t="s">
        <v>726</v>
      </c>
      <c r="O2176" s="748" t="s">
        <v>2766</v>
      </c>
      <c r="P2176" s="748">
        <f>'Part VIII-Threshold Criteria'!P128</f>
        <v>0</v>
      </c>
      <c r="Q2176" s="748">
        <f>'Part VIII-Threshold Criteria'!Q128</f>
        <v>0</v>
      </c>
    </row>
    <row r="2177" spans="1:17">
      <c r="C2177" s="748" t="s">
        <v>2767</v>
      </c>
      <c r="D2177" s="748" t="s">
        <v>1032</v>
      </c>
      <c r="O2177" s="748" t="s">
        <v>2767</v>
      </c>
      <c r="P2177" s="748">
        <f>'Part VIII-Threshold Criteria'!P129</f>
        <v>0</v>
      </c>
      <c r="Q2177" s="748">
        <f>'Part VIII-Threshold Criteria'!Q129</f>
        <v>0</v>
      </c>
    </row>
    <row r="2178" spans="1:17">
      <c r="B2178" s="748" t="s">
        <v>3020</v>
      </c>
      <c r="C2178" s="748" t="s">
        <v>2782</v>
      </c>
      <c r="O2178" s="748" t="s">
        <v>3020</v>
      </c>
      <c r="P2178" s="748">
        <f>'Part VIII-Threshold Criteria'!P130</f>
        <v>0</v>
      </c>
      <c r="Q2178" s="748">
        <f>'Part VIII-Threshold Criteria'!Q130</f>
        <v>0</v>
      </c>
    </row>
    <row r="2180" spans="1:17">
      <c r="B2180" s="748" t="s">
        <v>2921</v>
      </c>
    </row>
    <row r="2181" spans="1:17">
      <c r="A2181" s="748">
        <f>'Part VIII-Threshold Criteria'!A133</f>
        <v>0</v>
      </c>
    </row>
    <row r="2182" spans="1:17">
      <c r="A2182" s="748">
        <f>'Part VIII-Threshold Criteria'!A134</f>
        <v>0</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The Village at Winding Road, L.P.</v>
      </c>
      <c r="P2192" s="748" t="str">
        <f>'Part VIII-Threshold Criteria'!P144</f>
        <v>Yes</v>
      </c>
      <c r="Q2192" s="748">
        <f>'Part VIII-Threshold Criteria'!Q144</f>
        <v>0</v>
      </c>
    </row>
    <row r="2193" spans="1:17">
      <c r="B2193" s="748" t="s">
        <v>2921</v>
      </c>
    </row>
    <row r="2194" spans="1:17">
      <c r="A2194" s="748" t="str">
        <f>'Part VIII-Threshold Criteria'!A146</f>
        <v>Please refer to Tab 12 of the Application Binder for a copy of the sales option contracts</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 xml:space="preserve">Site access is available from Krayons Court. Please refer to Tab 13 of the Application Binder for photos, drawings and surveys documenting site access. </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t="str">
        <f>'Part VIII-Threshold Criteria'!A169</f>
        <v>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&lt;&lt;Enter Provider Name Here&gt;&gt;</v>
      </c>
      <c r="O2224" s="748" t="s">
        <v>2765</v>
      </c>
      <c r="P2224" s="748">
        <f>'Part VIII-Threshold Criteria'!P176</f>
        <v>0</v>
      </c>
      <c r="Q2224" s="748">
        <f>'Part VIII-Threshold Criteria'!Q176</f>
        <v>0</v>
      </c>
    </row>
    <row r="2225" spans="1:17">
      <c r="H2225" s="748" t="s">
        <v>2766</v>
      </c>
      <c r="I2225" s="748" t="s">
        <v>2358</v>
      </c>
      <c r="J2225" s="748" t="str">
        <f>'Part VIII-Threshold Criteria'!J177</f>
        <v>Georgia Power</v>
      </c>
      <c r="O2225" s="748" t="s">
        <v>2766</v>
      </c>
      <c r="P2225" s="748" t="str">
        <f>'Part VIII-Threshold Criteria'!P177</f>
        <v>Yes</v>
      </c>
      <c r="Q2225" s="748">
        <f>'Part VIII-Threshold Criteria'!Q177</f>
        <v>0</v>
      </c>
    </row>
    <row r="2226" spans="1:17">
      <c r="B2226" s="748" t="s">
        <v>2921</v>
      </c>
    </row>
    <row r="2227" spans="1:17">
      <c r="A2227" s="748" t="str">
        <f>'Part VIII-Threshold Criteria'!A179</f>
        <v xml:space="preserve">Please find the operating utility letters, confirming availability and capacity of the utilities, in Tab 15 of The Application Binder. </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St. Marys</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St. Marys</v>
      </c>
      <c r="O2236" s="748" t="s">
        <v>2766</v>
      </c>
      <c r="P2236" s="748" t="str">
        <f>'Part VIII-Threshold Criteria'!P188</f>
        <v>Yes</v>
      </c>
      <c r="Q2236" s="748">
        <f>'Part VIII-Threshold Criteria'!Q188</f>
        <v>0</v>
      </c>
    </row>
    <row r="2237" spans="1:17">
      <c r="B2237" s="748" t="s">
        <v>2921</v>
      </c>
    </row>
    <row r="2238" spans="1:17">
      <c r="A2238" s="748" t="str">
        <f>'Part VIII-Threshold Criteria'!A190</f>
        <v xml:space="preserve">Please find the oOperating utility letters, confirming availability and capacity of the utilities, in Tab 15 of The Application Binder. </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f>'Part VIII-Threshold Criteria'!A201</f>
        <v>0</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Washer and dryer in each unit</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4077</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Equipped Computer Center</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Furnished Exercise / Fitness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f>'Part VIII-Threshold Criteria'!P227</f>
        <v>0</v>
      </c>
      <c r="Q2275" s="748">
        <f>'Part VIII-Threshold Criteria'!Q227</f>
        <v>0</v>
      </c>
    </row>
    <row r="2277" spans="1:17">
      <c r="B2277" s="748" t="s">
        <v>3212</v>
      </c>
      <c r="C2277" s="748" t="s">
        <v>2345</v>
      </c>
      <c r="O2277" s="748" t="s">
        <v>3212</v>
      </c>
      <c r="P2277" s="748" t="str">
        <f>'Part VIII-Threshold Criteria'!P229</f>
        <v>Agree</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t="str">
        <f>'Part VIII-Threshold Criteria'!P232</f>
        <v>Yes</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t="str">
        <f>'Part VIII-Threshold Criteria'!A235</f>
        <v>The Village at Winding Road will have a community building. An equipped computer center and a furnished exercise/fitness center will be available to the tenants as well.</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4078</v>
      </c>
      <c r="O2295" s="748" t="s">
        <v>2763</v>
      </c>
      <c r="P2295" s="748">
        <f>'Part VIII-Threshold Criteria'!P247</f>
        <v>0</v>
      </c>
      <c r="Q2295" s="748">
        <f>'Part VIII-Threshold Criteria'!Q247</f>
        <v>0</v>
      </c>
    </row>
    <row r="2296" spans="1:17">
      <c r="B2296" s="748" t="s">
        <v>2921</v>
      </c>
    </row>
    <row r="2297" spans="1:17">
      <c r="A2297" s="748" t="str">
        <f>'Part VIII-Threshold Criteria'!A249</f>
        <v>This project will not be a rehabilitation and therefore does not need a physical needs assessment</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t="str">
        <f>'Part VIII-Threshold Criteria'!A260</f>
        <v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t="str">
        <f>'Part VIII-Threshold Criteria'!A272</f>
        <v>This project will achieve a minimum standard for energy efficiency and sustainable building practices upon construction completion as set forth in the QAP and Manual</v>
      </c>
    </row>
    <row r="2321" spans="1:17">
      <c r="A2321" s="748" t="str">
        <f>'Part VIII-Threshold Criteria'!A273</f>
        <v>The construction documents will clearly indicate all components of the building envelope and all materials and equipment that meet the requirements set forth in the QAP and Architectural Manual</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2887</v>
      </c>
      <c r="O2329" s="748" t="s">
        <v>1239</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t="str">
        <f>'Part VIII-Threshold Criteria'!A285</f>
        <v xml:space="preserve">This project will comply with all applicable Federal &amp; State accessibility laws &amp; will comply with applicable DCA requirements. 3 units (6%) will be equipped for the mobility disabled </v>
      </c>
    </row>
    <row r="2334" spans="1:17">
      <c r="A2334" s="748" t="str">
        <f>'Part VIII-Threshold Criteria'!A286</f>
        <v>(one of which will have a roll in shower) and 1 unit (2%) will be equipped for hearing and sight imparied residents. Applicant agrres to arrange for 3 accessibility inspections</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f>'Part VIII-Threshold Criteria'!P294</f>
        <v>0</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For single story buildings, the total building envelope will have 35% minimum brick coverage; remaining 65% will be fiber cement siding or stucco</v>
      </c>
      <c r="O2345" s="748" t="s">
        <v>2765</v>
      </c>
      <c r="P2345" s="748" t="str">
        <f>'Part VIII-Threshold Criteria'!P297</f>
        <v>Yes</v>
      </c>
      <c r="Q2345" s="748">
        <f>'Part VIII-Threshold Criteria'!Q297</f>
        <v>0</v>
      </c>
    </row>
    <row r="2346" spans="1:17" ht="13.15" customHeight="1">
      <c r="C2346" s="748" t="s">
        <v>2766</v>
      </c>
      <c r="D2346" s="748" t="s">
        <v>4079</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3571</v>
      </c>
      <c r="D2349" s="748" t="s">
        <v>4080</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t="str">
        <f>'Part VIII-Threshold Criteria'!A305</f>
        <v>This application meets Architectural Standards for quality &amp; longevity. All construction will meet requirements set forth in the manual.</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Yes</v>
      </c>
      <c r="Q2362" s="748">
        <f>'Part VIII-Threshold Criteria'!Q314</f>
        <v>0</v>
      </c>
    </row>
    <row r="2363" spans="1:17">
      <c r="B2363" s="748" t="s">
        <v>925</v>
      </c>
      <c r="L2363" s="748" t="str">
        <f>'Part VIII-Threshold Criteria'!L315</f>
        <v>Qualified with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 xml:space="preserve">DCA's Pre-Application Qualification of the Project's participants can be found in Tab 19 of the Application Binder. </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No</v>
      </c>
      <c r="Q2380" s="748">
        <f>'Part VIII-Threshold Criteria'!Q332</f>
        <v>0</v>
      </c>
    </row>
    <row r="2381" spans="1:17">
      <c r="B2381" s="748" t="s">
        <v>2921</v>
      </c>
    </row>
    <row r="2382" spans="1:17">
      <c r="A2382" s="748" t="str">
        <f>'Part VIII-Threshold Criteria'!A334</f>
        <v>A. 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1239</v>
      </c>
      <c r="C2392" s="748" t="s">
        <v>1555</v>
      </c>
      <c r="O2392" s="748" t="s">
        <v>1239</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f>'Part VIII-Threshold Criteria'!P347</f>
        <v>0</v>
      </c>
      <c r="Q2395" s="748">
        <f>'Part VIII-Threshold Criteria'!Q347</f>
        <v>0</v>
      </c>
    </row>
    <row r="2396" spans="1:17">
      <c r="B2396" s="748" t="s">
        <v>2921</v>
      </c>
    </row>
    <row r="2397" spans="1:17">
      <c r="A2397" s="748" t="str">
        <f>'Part VIII-Threshold Criteria'!A349</f>
        <v xml:space="preserve">The Village at Winding Road will not apply for LIHTC under the nonprofit set-aside. </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f>'Part VIII-Threshold Criteria'!K354</f>
        <v>0</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t="str">
        <f>'Part VIII-Threshold Criteria'!A362</f>
        <v xml:space="preserve">The Village at Winding Road will not apply for LIHTC under the CHDO set-aside. </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4081</v>
      </c>
      <c r="M2415" s="748" t="s">
        <v>3060</v>
      </c>
      <c r="N2415" s="748" t="str">
        <f>'Part VIII-Threshold Criteria'!N367</f>
        <v>&lt;&lt;Select&gt;&gt;</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2921</v>
      </c>
    </row>
    <row r="2419" spans="1:17">
      <c r="A2419" s="748" t="str">
        <f>'Part VIII-Threshold Criteria'!A371</f>
        <v>The project is not competing for HOME or HUD funding.  Tab 20 of the Application Binder is N/A.</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t="str">
        <f>'Part VIII-Threshold Criteria'!P379</f>
        <v>No</v>
      </c>
      <c r="Q2427" s="748">
        <f>'Part VIII-Threshold Criteria'!Q379</f>
        <v>0</v>
      </c>
    </row>
    <row r="2428" spans="1:17">
      <c r="B2428" s="748" t="s">
        <v>3063</v>
      </c>
      <c r="C2428" s="748" t="s">
        <v>1242</v>
      </c>
      <c r="O2428" s="748" t="s">
        <v>3063</v>
      </c>
      <c r="P2428" s="748" t="str">
        <f>'Part VIII-Threshold Criteria'!P380</f>
        <v>No</v>
      </c>
      <c r="Q2428" s="748">
        <f>'Part VIII-Threshold Criteria'!Q380</f>
        <v>0</v>
      </c>
    </row>
    <row r="2429" spans="1:17">
      <c r="B2429" s="748" t="s">
        <v>1239</v>
      </c>
      <c r="C2429" s="748" t="s">
        <v>1243</v>
      </c>
      <c r="O2429" s="748" t="s">
        <v>1239</v>
      </c>
      <c r="P2429" s="748" t="str">
        <f>'Part VIII-Threshold Criteria'!P381</f>
        <v>No</v>
      </c>
      <c r="Q2429" s="748">
        <f>'Part VIII-Threshold Criteria'!Q381</f>
        <v>0</v>
      </c>
    </row>
    <row r="2430" spans="1:17">
      <c r="B2430" s="748" t="s">
        <v>3212</v>
      </c>
      <c r="C2430" s="748" t="s">
        <v>878</v>
      </c>
      <c r="O2430" s="748" t="s">
        <v>3212</v>
      </c>
      <c r="P2430" s="748" t="str">
        <f>'Part VIII-Threshold Criteria'!P382</f>
        <v>No</v>
      </c>
      <c r="Q2430" s="748">
        <f>'Part VIII-Threshold Criteria'!Q382</f>
        <v>0</v>
      </c>
    </row>
    <row r="2431" spans="1:17">
      <c r="B2431" s="748" t="s">
        <v>2763</v>
      </c>
      <c r="C2431" s="748" t="s">
        <v>3175</v>
      </c>
      <c r="G2431" s="748" t="s">
        <v>2763</v>
      </c>
      <c r="H2431" s="748">
        <f>'Part VIII-Threshold Criteria'!H383</f>
        <v>0</v>
      </c>
      <c r="P2431" s="748" t="str">
        <f>'Part VIII-Threshold Criteria'!P383</f>
        <v>No</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4082</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t="str">
        <f>'Part VIII-Threshold Criteria'!A393</f>
        <v xml:space="preserve">The applicant agrees to list this project if funded &amp; all available affordable units funded by DCA are registered. </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f>'Part VIII-Threshold Criteria'!P396</f>
        <v>0</v>
      </c>
      <c r="Q2444" s="748">
        <f>'Part VIII-Threshold Criteria'!Q396</f>
        <v>0</v>
      </c>
    </row>
    <row r="2445" spans="1:17">
      <c r="B2445" s="748" t="s">
        <v>3063</v>
      </c>
      <c r="C2445" s="748" t="s">
        <v>3314</v>
      </c>
      <c r="O2445" s="748" t="s">
        <v>2171</v>
      </c>
      <c r="P2445" s="748">
        <f>'Part VIII-Threshold Criteria'!P397</f>
        <v>0</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 xml:space="preserve">This project will be new construction, and therefore there will be no displacement nor relocation of existing tenants. </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t="str">
        <f>'Part VIII-Threshold Criteria'!P421</f>
        <v>Agree</v>
      </c>
      <c r="Q2469" s="748">
        <f>'Part VIII-Threshold Criteria'!Q421</f>
        <v>0</v>
      </c>
    </row>
    <row r="2470" spans="1:17">
      <c r="B2470" s="748" t="s">
        <v>3063</v>
      </c>
      <c r="C2470" s="748" t="s">
        <v>889</v>
      </c>
      <c r="O2470" s="748" t="s">
        <v>3063</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2921</v>
      </c>
    </row>
    <row r="2473" spans="1:17">
      <c r="A2473" s="748" t="str">
        <f>'Part VIII-Threshold Criteria'!A425</f>
        <v>The Village at Winding Road will demonstrate a willingness and will then initiate maketing to these populations once it has been selected for funding.</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2011-023 The Village at Winding Road,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60</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4083</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t="str">
        <f>'Part IX A-Scoring Criteria'!A14</f>
        <v xml:space="preserve">This application is complete and organized. All backup documentation can be found in the Application Binder. </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8</v>
      </c>
      <c r="L2524" s="748" t="s">
        <v>1940</v>
      </c>
      <c r="M2524" s="748">
        <f>IF(OR('Part VI-Revenues &amp; Expenses'!$M$61="", 'Part VI-Revenues &amp; Expenses'!$M$61=0),"",J2524/'Part VI-Revenues &amp; Expenses'!$M$61)</f>
        <v>0.16</v>
      </c>
    </row>
    <row r="2525" spans="1:18">
      <c r="B2525" s="748" t="s">
        <v>333</v>
      </c>
    </row>
    <row r="2526" spans="1:18">
      <c r="A2526" s="748" t="str">
        <f>'Part IX A-Scoring Criteria'!A34</f>
        <v xml:space="preserve">Eight (8) units,16% of the total units, at The Village at Winding Road will be limited to 50% Gross Rent / 50% Income Restrictions. The Villge at Winding Road will claim 3 points for Deeper Targeting </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 xml:space="preserve">A. The Village at Winding Road will claim 12 points for Desirable Sites. Please see Tab 24 of the Application Binder for the Desirable / Undesirable Form &amp; pictures of the Desirable Characteristics.   </v>
      </c>
      <c r="Q2538" s="748" t="s">
        <v>1933</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0</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0</v>
      </c>
      <c r="P2549" s="748">
        <f>'Part IX A-Scoring Criteria'!P57</f>
        <v>0</v>
      </c>
    </row>
    <row r="2550" spans="1:17">
      <c r="B2550" s="748" t="s">
        <v>333</v>
      </c>
    </row>
    <row r="2551" spans="1:17">
      <c r="A2551" s="748">
        <f>'Part IX A-Scoring Criteria'!A59</f>
        <v>0</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Communities</v>
      </c>
      <c r="M2574" s="748">
        <v>3</v>
      </c>
      <c r="O2574" s="748">
        <f>'Part IX A-Scoring Criteria'!O82</f>
        <v>3</v>
      </c>
      <c r="P2574" s="748">
        <f>'Part IX A-Scoring Criteria'!P82</f>
        <v>0</v>
      </c>
      <c r="Q2574" s="748" t="s">
        <v>652</v>
      </c>
      <c r="R2574" s="748" t="str">
        <f>IF(OR($O2574=$M2574,$O2574=0,$O2574=""),"","* * Check Score! * *")</f>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A. The Village at Winding Road will educate tenats and provide them with a projected manual upon move-in and will conduct at least 1 clas on green building features of the units prior to the submission of LIHTC final allocation application.</v>
      </c>
    </row>
    <row r="2580" spans="1:17">
      <c r="A2580" s="748" t="str">
        <f>'Part IX A-Scoring Criteria'!A88</f>
        <v>B. The Village at Winding Road will educate management and maintenance staff with an orientation and produce a green operations and maintenance manual detailing sustainable features, the staff's role in maintaining those features, and a replacement parts source guide.</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Stable Communities &lt; 10%</v>
      </c>
      <c r="M2585" s="748">
        <v>6</v>
      </c>
      <c r="O2585" s="748">
        <f>'Part IX A-Scoring Criteria'!O93</f>
        <v>4</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X</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Yes</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Yes</v>
      </c>
      <c r="P2590" s="748">
        <f>'Part IX A-Scoring Criteria'!P98</f>
        <v>0</v>
      </c>
    </row>
    <row r="2591" spans="1:17">
      <c r="B2591" s="748" t="s">
        <v>3686</v>
      </c>
      <c r="C2591" s="748" t="s">
        <v>2191</v>
      </c>
      <c r="M2591" s="748" t="str">
        <f>IF(AND($I$89="Stable Communities &lt; 10%",O2591=""), "X","")</f>
        <v/>
      </c>
      <c r="N2591" s="748" t="s">
        <v>3686</v>
      </c>
      <c r="O2591" s="748" t="str">
        <f>'Part IX A-Scoring Criteria'!O99</f>
        <v>Yes</v>
      </c>
      <c r="P2591" s="748">
        <f>'Part IX A-Scoring Criteria'!P99</f>
        <v>0</v>
      </c>
    </row>
    <row r="2592" spans="1:17">
      <c r="A2592" s="748" t="str">
        <f>'Part IX A-Scoring Criteria'!A100</f>
        <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f>'Part IX A-Scoring Criteria'!O101</f>
        <v>0</v>
      </c>
      <c r="P2593" s="748">
        <f>'Part IX A-Scoring Criteria'!P101</f>
        <v>0</v>
      </c>
    </row>
    <row r="2594" spans="1:16">
      <c r="B2594" s="748" t="s">
        <v>3683</v>
      </c>
      <c r="C2594" s="748" t="s">
        <v>3624</v>
      </c>
      <c r="G2594" s="748" t="s">
        <v>3625</v>
      </c>
      <c r="M2594" s="748" t="str">
        <f>IF(AND($I$89="Stable Communities &lt; 20%",O2594=""), "X","")</f>
        <v/>
      </c>
      <c r="N2594" s="748" t="s">
        <v>3683</v>
      </c>
      <c r="O2594" s="748">
        <f>'Part IX A-Scoring Criteria'!O102</f>
        <v>0</v>
      </c>
      <c r="P2594" s="748">
        <f>'Part IX A-Scoring Criteria'!P102</f>
        <v>0</v>
      </c>
    </row>
    <row r="2595" spans="1:16">
      <c r="B2595" s="748" t="s">
        <v>3686</v>
      </c>
      <c r="C2595" s="748" t="s">
        <v>2191</v>
      </c>
      <c r="M2595" s="748" t="str">
        <f>IF(AND($I$89="Stable Communities &lt; 20%",O2595=""), "X","")</f>
        <v/>
      </c>
      <c r="N2595" s="748" t="s">
        <v>3686</v>
      </c>
      <c r="O2595" s="748">
        <f>'Part IX A-Scoring Criteria'!O103</f>
        <v>0</v>
      </c>
      <c r="P2595" s="748">
        <f>'Part IX A-Scoring Criteria'!P103</f>
        <v>0</v>
      </c>
    </row>
    <row r="2596" spans="1:16">
      <c r="A2596" s="748" t="s">
        <v>3063</v>
      </c>
      <c r="B2596" s="748" t="s">
        <v>346</v>
      </c>
      <c r="M2596" s="748">
        <v>6</v>
      </c>
    </row>
    <row r="2597" spans="1:16">
      <c r="A2597" s="748" t="str">
        <f>'Part IX A-Scoring Criteria'!A105</f>
        <v/>
      </c>
      <c r="B2597" s="748" t="s">
        <v>3064</v>
      </c>
      <c r="C2597" s="748" t="s">
        <v>4084</v>
      </c>
      <c r="O2597" s="748" t="s">
        <v>3795</v>
      </c>
      <c r="P2597" s="748" t="s">
        <v>3795</v>
      </c>
    </row>
    <row r="2598" spans="1:16">
      <c r="B2598" s="748" t="s">
        <v>3682</v>
      </c>
      <c r="C2598" s="748" t="s">
        <v>914</v>
      </c>
      <c r="M2598" s="748" t="str">
        <f>IF(AND($I$89="HOPE VI Initiative",O2598=""), "X","")</f>
        <v/>
      </c>
      <c r="N2598" s="748" t="s">
        <v>3682</v>
      </c>
      <c r="O2598" s="748">
        <f>'Part IX A-Scoring Criteria'!O106</f>
        <v>0</v>
      </c>
      <c r="P2598" s="748">
        <f>'Part IX A-Scoring Criteria'!P106</f>
        <v>0</v>
      </c>
    </row>
    <row r="2599" spans="1:16">
      <c r="B2599" s="748" t="s">
        <v>3683</v>
      </c>
      <c r="C2599" s="748" t="s">
        <v>915</v>
      </c>
      <c r="M2599" s="748" t="str">
        <f>IF(AND($I$89="HOPE VI Initiative",O2599=""), "X","")</f>
        <v/>
      </c>
      <c r="N2599" s="748" t="s">
        <v>3683</v>
      </c>
      <c r="O2599" s="748">
        <f>'Part IX A-Scoring Criteria'!O107</f>
        <v>0</v>
      </c>
      <c r="P2599" s="748">
        <f>'Part IX A-Scoring Criteria'!P107</f>
        <v>0</v>
      </c>
    </row>
    <row r="2600" spans="1:16">
      <c r="B2600" s="748" t="s">
        <v>3684</v>
      </c>
      <c r="C2600" s="748" t="s">
        <v>916</v>
      </c>
      <c r="M2600" s="748" t="str">
        <f>IF(AND($I$89="HOPE VI Initiative",O2600=""), "X","")</f>
        <v/>
      </c>
      <c r="N2600" s="748" t="s">
        <v>3684</v>
      </c>
      <c r="O2600" s="748">
        <f>'Part IX A-Scoring Criteria'!O108</f>
        <v>0</v>
      </c>
      <c r="P2600" s="748">
        <f>'Part IX A-Scoring Criteria'!P108</f>
        <v>0</v>
      </c>
    </row>
    <row r="2601" spans="1:16">
      <c r="B2601" s="748" t="s">
        <v>3685</v>
      </c>
      <c r="C2601" s="748" t="s">
        <v>917</v>
      </c>
      <c r="M2601" s="748" t="str">
        <f>IF(AND($I$89="HOPE VI Initiative",O2601=""), "X","")</f>
        <v/>
      </c>
      <c r="N2601" s="748" t="s">
        <v>3685</v>
      </c>
      <c r="O2601" s="748">
        <f>'Part IX A-Scoring Criteria'!O109</f>
        <v>0</v>
      </c>
      <c r="P2601" s="748">
        <f>'Part IX A-Scoring Criteria'!P109</f>
        <v>0</v>
      </c>
    </row>
    <row r="2602" spans="1:16">
      <c r="B2602" s="748" t="s">
        <v>3066</v>
      </c>
      <c r="C2602" s="748" t="s">
        <v>540</v>
      </c>
      <c r="G2602" s="748" t="s">
        <v>921</v>
      </c>
      <c r="N2602" s="748" t="s">
        <v>3066</v>
      </c>
      <c r="O2602" s="748">
        <f>'Part IX A-Scoring Criteria'!O110</f>
        <v>0</v>
      </c>
      <c r="P2602" s="748">
        <f>'Part IX A-Scoring Criteria'!P110</f>
        <v>0</v>
      </c>
    </row>
    <row r="2603" spans="1:16">
      <c r="A2603" s="748" t="str">
        <f>'Part IX A-Scoring Criteria'!A111</f>
        <v/>
      </c>
      <c r="B2603" s="748" t="s">
        <v>3823</v>
      </c>
      <c r="C2603" s="748" t="s">
        <v>541</v>
      </c>
      <c r="G2603" s="748" t="s">
        <v>1651</v>
      </c>
      <c r="H2603" s="748" t="str">
        <f>'Part IX A-Scoring Criteria'!H111</f>
        <v>&lt;&lt;Select&gt;&gt;</v>
      </c>
      <c r="I2603" s="748" t="s">
        <v>1563</v>
      </c>
      <c r="J2603" s="748">
        <f>'Part IX A-Scoring Criteria'!J111</f>
        <v>0</v>
      </c>
      <c r="N2603" s="748" t="s">
        <v>3823</v>
      </c>
      <c r="O2603" s="748">
        <f>'Part IX A-Scoring Criteria'!O111</f>
        <v>0</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f>'Part IX A-Scoring Criteria'!O112</f>
        <v>0</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919</v>
      </c>
      <c r="C2616" s="748" t="s">
        <v>3724</v>
      </c>
      <c r="M2616" s="748" t="str">
        <f t="shared" si="374"/>
        <v/>
      </c>
      <c r="N2616" s="748" t="s">
        <v>919</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t="str">
        <f>'Part IX A-Scoring Criteria'!A142</f>
        <v xml:space="preserve">There has not been a LIHTC nor HOME award within the boundaries of the local government within the last 4 DCA Funding Cycles. </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The Applicant agrees to forego the cancellation option for at least 5 years after the close of the compliance period. Please See Tab 39 for evidence of the agreement. </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3060</v>
      </c>
      <c r="B2692" s="748" t="s">
        <v>4085</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4086</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Caney Heights 2010-030, Kings Grant 2007-032, Ware Hotel 2009-017</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f>'Part IX A-Scoring Criteria'!D209</f>
        <v>0</v>
      </c>
      <c r="I2701" s="748" t="s">
        <v>1573</v>
      </c>
      <c r="J2701" s="748">
        <f>'Part IX A-Scoring Criteria'!J209</f>
        <v>0</v>
      </c>
      <c r="L2701" s="748" t="s">
        <v>4087</v>
      </c>
      <c r="M2701" s="748">
        <f>'Part IX A-Scoring Criteria'!M209</f>
        <v>3</v>
      </c>
    </row>
    <row r="2702" spans="1:18">
      <c r="B2702" s="748" t="s">
        <v>333</v>
      </c>
      <c r="J2702" s="748" t="s">
        <v>2922</v>
      </c>
    </row>
    <row r="2703" spans="1:18">
      <c r="A2703" s="748" t="str">
        <f>'Part IX A-Scoring Criteria'!A211</f>
        <v>No other applications claim rural points.</v>
      </c>
      <c r="J2703" s="748">
        <f>'Part IX A-Scoring Criteria'!J211</f>
        <v>0</v>
      </c>
    </row>
    <row r="2705" spans="1:17">
      <c r="A2705" s="748" t="s">
        <v>2679</v>
      </c>
      <c r="B2705" s="748" t="s">
        <v>2678</v>
      </c>
      <c r="L2705" s="748" t="str">
        <f>IF(OR($O2705=$M2705,$O2705=0,$O2705=""),"","* * Check Score! * *")</f>
        <v/>
      </c>
      <c r="M2705" s="748">
        <v>1</v>
      </c>
      <c r="O2705" s="748">
        <f>'Part IX A-Scoring Criteria'!O213</f>
        <v>1</v>
      </c>
      <c r="P2705" s="748">
        <f>'Part IX A-Scoring Criteria'!P213</f>
        <v>0</v>
      </c>
      <c r="Q2705" s="748" t="s">
        <v>652</v>
      </c>
    </row>
    <row r="2706" spans="1:17">
      <c r="B2706" s="748" t="s">
        <v>2893</v>
      </c>
      <c r="E2706" s="748" t="str">
        <f>'Part IX A-Scoring Criteria'!E214</f>
        <v>Georgia Institute for Community Housing Community</v>
      </c>
      <c r="I2706" s="748" t="s">
        <v>2892</v>
      </c>
      <c r="O2706" s="748" t="s">
        <v>3795</v>
      </c>
      <c r="P2706" s="748" t="s">
        <v>3795</v>
      </c>
    </row>
    <row r="2707" spans="1:17">
      <c r="B2707" s="748" t="s">
        <v>3682</v>
      </c>
      <c r="C2707" s="748" t="s">
        <v>2680</v>
      </c>
      <c r="G2707" s="748" t="str">
        <f>'Part IX A-Scoring Criteria'!G215</f>
        <v>Camden County</v>
      </c>
      <c r="J2707" s="748" t="str">
        <f>'Part IX A-Scoring Criteria'!J215</f>
        <v>&lt;Select Community of Opportunity&gt;</v>
      </c>
      <c r="N2707" s="748" t="s">
        <v>3682</v>
      </c>
      <c r="O2707" s="748" t="str">
        <f>'Part IX A-Scoring Criteria'!O215</f>
        <v>Yes</v>
      </c>
      <c r="P2707" s="748">
        <f>'Part IX A-Scoring Criteria'!P215</f>
        <v>0</v>
      </c>
    </row>
    <row r="2708" spans="1:17">
      <c r="B2708" s="748" t="s">
        <v>3683</v>
      </c>
      <c r="C2708" s="748" t="s">
        <v>506</v>
      </c>
      <c r="N2708" s="748" t="s">
        <v>3683</v>
      </c>
      <c r="O2708" s="748" t="str">
        <f>'Part IX A-Scoring Criteria'!O216</f>
        <v>Yes</v>
      </c>
      <c r="P2708" s="748">
        <f>'Part IX A-Scoring Criteria'!P216</f>
        <v>0</v>
      </c>
    </row>
    <row r="2709" spans="1:17">
      <c r="B2709" s="748" t="s">
        <v>3684</v>
      </c>
      <c r="C2709" s="748" t="s">
        <v>2625</v>
      </c>
      <c r="N2709" s="748" t="s">
        <v>3684</v>
      </c>
      <c r="O2709" s="748" t="str">
        <f>'Part IX A-Scoring Criteria'!O217</f>
        <v>Yes</v>
      </c>
      <c r="P2709" s="748">
        <f>'Part IX A-Scoring Criteria'!P217</f>
        <v>0</v>
      </c>
    </row>
    <row r="2710" spans="1:17">
      <c r="B2710" s="748" t="s">
        <v>3685</v>
      </c>
      <c r="C2710" s="748" t="s">
        <v>3491</v>
      </c>
      <c r="N2710" s="748" t="s">
        <v>3685</v>
      </c>
      <c r="O2710" s="748" t="str">
        <f>'Part IX A-Scoring Criteria'!O218</f>
        <v>Yes</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f>'Part IX A-Scoring Criteria'!O229</f>
        <v>0</v>
      </c>
      <c r="P2721" s="748">
        <f>'Part IX A-Scoring Criteria'!P229</f>
        <v>0</v>
      </c>
    </row>
    <row r="2722" spans="1:18">
      <c r="B2722" s="748" t="s">
        <v>3066</v>
      </c>
      <c r="C2722" s="748" t="s">
        <v>871</v>
      </c>
      <c r="N2722" s="748" t="s">
        <v>3066</v>
      </c>
      <c r="O2722" s="748">
        <f>'Part IX A-Scoring Criteria'!O230</f>
        <v>0</v>
      </c>
      <c r="P2722" s="748">
        <f>'Part IX A-Scoring Criteria'!P230</f>
        <v>0</v>
      </c>
    </row>
    <row r="2723" spans="1:18">
      <c r="B2723" s="748" t="s">
        <v>3823</v>
      </c>
      <c r="C2723" s="748" t="s">
        <v>872</v>
      </c>
      <c r="N2723" s="748" t="s">
        <v>3823</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 xml:space="preserve">This project will be claiming 6 points for superior project concept, and has included the required narrative in Tab IX-B of this core application as well as a printed copy in the Tab 39 of the </v>
      </c>
    </row>
    <row r="2756" spans="1:18">
      <c r="A2756" s="748" t="str">
        <f>'Part IX A-Scoring Criteria'!A264</f>
        <v>Application Binder.</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t="str">
        <f>'Part IX A-Scoring Criteria'!O281</f>
        <v>Yes</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A. A complete performance workbook with compliance history scoring for the owner and developer can be found in Tab 3 of the Application Binder.</v>
      </c>
      <c r="Q2780" s="748" t="s">
        <v>1933</v>
      </c>
    </row>
    <row r="2781" spans="1:17">
      <c r="A2781" s="748" t="str">
        <f>'Part IX A-Scoring Criteria'!A289</f>
        <v>B. A Compliance History Pre-Determination letter from DCA for the management company, along with the completed performance workbook, showing that they have passed DCA threshold requirements is included in Tab 3 of the Application Binder.</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60</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8" workbookViewId="0">
      <selection activeCell="D144" sqref="D144"/>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The Village at Winding Road</v>
      </c>
    </row>
    <row r="3" spans="1:6" ht="16.5">
      <c r="A3" s="1147" t="str">
        <f>CONCATENATE('Part I-Project Information'!F24,", ", 'Part I-Project Information'!J25," County")</f>
        <v>St. Marys, Camden County</v>
      </c>
    </row>
    <row r="4" spans="1:6" ht="12" customHeight="1"/>
    <row r="5" spans="1:6" ht="111" customHeight="1">
      <c r="A5" s="1148" t="s">
        <v>4001</v>
      </c>
      <c r="B5" s="774" t="s">
        <v>1592</v>
      </c>
      <c r="C5" s="774"/>
      <c r="D5" s="774"/>
      <c r="E5" s="774"/>
      <c r="F5" s="774"/>
    </row>
    <row r="6" spans="1:6" ht="6.6" customHeight="1">
      <c r="A6" s="1149"/>
      <c r="B6" s="774"/>
      <c r="C6" s="774"/>
      <c r="D6" s="774"/>
      <c r="E6" s="774"/>
      <c r="F6" s="774"/>
    </row>
    <row r="7" spans="1:6" ht="111" customHeight="1">
      <c r="A7" s="1148" t="s">
        <v>4002</v>
      </c>
    </row>
    <row r="8" spans="1:6" ht="6.6" customHeight="1">
      <c r="A8" s="1149"/>
    </row>
    <row r="9" spans="1:6" ht="111" customHeight="1">
      <c r="A9" s="1148" t="s">
        <v>4049</v>
      </c>
    </row>
    <row r="10" spans="1:6" ht="6.6" customHeight="1">
      <c r="A10" s="1149"/>
    </row>
    <row r="11" spans="1:6" ht="111" customHeight="1">
      <c r="A11" s="1148" t="s">
        <v>4003</v>
      </c>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workbookViewId="0">
      <selection activeCell="K20" sqref="K20"/>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- 2011-023 The Village at Winding Road, St. Marys, Camden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83" t="s">
        <v>2730</v>
      </c>
      <c r="N3" s="783"/>
      <c r="O3" s="783"/>
      <c r="P3" s="783"/>
    </row>
    <row r="4" spans="1:16" s="458" customFormat="1" ht="12" customHeight="1" thickBot="1">
      <c r="A4" s="735"/>
      <c r="B4" s="461"/>
      <c r="C4" s="461"/>
      <c r="D4" s="462"/>
      <c r="E4" s="401" t="s">
        <v>655</v>
      </c>
      <c r="H4" s="719"/>
      <c r="I4" s="719"/>
      <c r="J4" s="719"/>
      <c r="M4" s="719"/>
      <c r="O4" s="1524" t="s">
        <v>4054</v>
      </c>
      <c r="P4" s="1525"/>
    </row>
    <row r="5" spans="1:16" s="458" customFormat="1" ht="12" customHeight="1">
      <c r="A5" s="735"/>
      <c r="B5" s="461"/>
      <c r="C5" s="461"/>
      <c r="D5" s="461"/>
      <c r="E5" s="719"/>
      <c r="H5" s="719"/>
      <c r="I5" s="719"/>
      <c r="J5" s="719"/>
      <c r="K5" s="395"/>
      <c r="M5" s="719"/>
    </row>
    <row r="6" spans="1:16" s="458" customFormat="1" ht="13.15" customHeight="1">
      <c r="A6" s="461" t="s">
        <v>951</v>
      </c>
      <c r="C6" s="461" t="s">
        <v>3590</v>
      </c>
      <c r="D6" s="418"/>
      <c r="E6" s="463"/>
      <c r="F6" s="464" t="s">
        <v>2741</v>
      </c>
      <c r="J6" s="784">
        <f>'Part IV-Uses of Funds'!J165</f>
        <v>731171</v>
      </c>
      <c r="K6" s="785"/>
    </row>
    <row r="7" spans="1:16" s="2" customFormat="1" ht="13.15" customHeight="1">
      <c r="A7" s="5"/>
      <c r="C7" s="5"/>
      <c r="D7" s="31"/>
      <c r="E7" s="563"/>
      <c r="F7" s="458" t="s">
        <v>1983</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3986</v>
      </c>
      <c r="G9" s="1171"/>
      <c r="H9" s="1172"/>
      <c r="I9" s="1526" t="s">
        <v>1231</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3" t="s">
        <v>3920</v>
      </c>
      <c r="G13" s="1444"/>
      <c r="H13" s="1444"/>
      <c r="I13" s="1444"/>
      <c r="J13" s="1444"/>
      <c r="K13" s="1444"/>
      <c r="L13" s="1445"/>
      <c r="M13" s="714" t="s">
        <v>3057</v>
      </c>
      <c r="N13" s="1443"/>
      <c r="O13" s="1444"/>
      <c r="P13" s="1445"/>
    </row>
    <row r="14" spans="1:16" s="458" customFormat="1" ht="13.15" customHeight="1">
      <c r="C14" s="464" t="s">
        <v>3058</v>
      </c>
      <c r="F14" s="1443" t="s">
        <v>3921</v>
      </c>
      <c r="G14" s="1444"/>
      <c r="H14" s="1444"/>
      <c r="I14" s="1444"/>
      <c r="J14" s="1444"/>
      <c r="K14" s="1444"/>
      <c r="L14" s="1445"/>
      <c r="M14" s="714" t="s">
        <v>2747</v>
      </c>
      <c r="O14" s="1527">
        <v>9127293584</v>
      </c>
      <c r="P14" s="1528"/>
    </row>
    <row r="15" spans="1:16" s="458" customFormat="1" ht="13.15" customHeight="1">
      <c r="C15" s="464" t="s">
        <v>954</v>
      </c>
      <c r="F15" s="1458" t="s">
        <v>704</v>
      </c>
      <c r="G15" s="1394"/>
      <c r="H15" s="1395"/>
      <c r="M15" s="714" t="s">
        <v>2833</v>
      </c>
      <c r="O15" s="1474"/>
      <c r="P15" s="1476"/>
    </row>
    <row r="16" spans="1:16" s="458" customFormat="1" ht="13.15" customHeight="1">
      <c r="C16" s="464" t="s">
        <v>2830</v>
      </c>
      <c r="F16" s="1529" t="s">
        <v>1439</v>
      </c>
      <c r="I16" s="719" t="s">
        <v>3354</v>
      </c>
      <c r="J16" s="1477">
        <v>315480000</v>
      </c>
      <c r="K16" s="1530"/>
      <c r="M16" s="714" t="s">
        <v>3056</v>
      </c>
      <c r="O16" s="1474">
        <v>9123221148</v>
      </c>
      <c r="P16" s="1476"/>
    </row>
    <row r="17" spans="1:16" s="458" customFormat="1" ht="13.15" customHeight="1">
      <c r="B17" s="721"/>
      <c r="C17" s="464" t="s">
        <v>2746</v>
      </c>
      <c r="F17" s="1474">
        <v>9127293584</v>
      </c>
      <c r="G17" s="1475"/>
      <c r="H17" s="1476"/>
      <c r="I17" s="713" t="s">
        <v>2745</v>
      </c>
      <c r="J17" s="1440"/>
      <c r="K17" s="719" t="s">
        <v>3061</v>
      </c>
      <c r="L17" s="1443" t="s">
        <v>3922</v>
      </c>
      <c r="M17" s="1444"/>
      <c r="N17" s="1444"/>
      <c r="O17" s="1444"/>
      <c r="P17" s="1445"/>
    </row>
    <row r="18" spans="1:16" s="458" customFormat="1" ht="13.15" customHeight="1">
      <c r="A18" s="461"/>
      <c r="B18" s="463"/>
      <c r="C18" s="441" t="s">
        <v>998</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2823</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1" t="s">
        <v>3923</v>
      </c>
      <c r="G22" s="1482"/>
      <c r="H22" s="1482"/>
      <c r="I22" s="1482"/>
      <c r="J22" s="1482"/>
      <c r="K22" s="1482"/>
      <c r="L22" s="1483"/>
      <c r="M22" s="714" t="s">
        <v>3300</v>
      </c>
      <c r="O22" s="1443" t="s">
        <v>3925</v>
      </c>
      <c r="P22" s="1445"/>
    </row>
    <row r="23" spans="1:16" s="458" customFormat="1" ht="13.15" customHeight="1">
      <c r="A23" s="471"/>
      <c r="B23" s="461"/>
      <c r="C23" s="458" t="s">
        <v>953</v>
      </c>
      <c r="D23" s="472"/>
      <c r="F23" s="1443" t="s">
        <v>3989</v>
      </c>
      <c r="G23" s="1444"/>
      <c r="H23" s="1444"/>
      <c r="I23" s="1444"/>
      <c r="J23" s="1444"/>
      <c r="K23" s="1444"/>
      <c r="L23" s="1445"/>
      <c r="M23" s="714" t="s">
        <v>3146</v>
      </c>
      <c r="O23" s="1443" t="s">
        <v>3926</v>
      </c>
      <c r="P23" s="1445"/>
    </row>
    <row r="24" spans="1:16" s="458" customFormat="1" ht="13.15" customHeight="1">
      <c r="A24" s="735"/>
      <c r="B24" s="461"/>
      <c r="C24" s="458" t="s">
        <v>954</v>
      </c>
      <c r="F24" s="1443" t="s">
        <v>1399</v>
      </c>
      <c r="G24" s="1444"/>
      <c r="H24" s="1445"/>
      <c r="I24" s="719" t="s">
        <v>446</v>
      </c>
      <c r="J24" s="1477">
        <v>315480000</v>
      </c>
      <c r="K24" s="1530"/>
      <c r="L24" s="550" t="str">
        <f>IF(AND(NOT(F22=""),NOT(F24="Select from list"),J24=""),"Enter Zip!","")</f>
        <v/>
      </c>
      <c r="M24" s="714" t="s">
        <v>3416</v>
      </c>
      <c r="O24" s="1443">
        <v>10.43</v>
      </c>
      <c r="P24" s="1445"/>
    </row>
    <row r="25" spans="1:16" s="458" customFormat="1" ht="13.15" customHeight="1">
      <c r="A25" s="735"/>
      <c r="B25" s="461"/>
      <c r="C25" s="776" t="s">
        <v>3145</v>
      </c>
      <c r="D25" s="776"/>
      <c r="F25" s="1531" t="s">
        <v>3924</v>
      </c>
      <c r="I25" s="504" t="s">
        <v>955</v>
      </c>
      <c r="J25" s="1532" t="str">
        <f>IF($F$24="","",VLOOKUP($F$24,$N$183:$O$786,2,FALSE))</f>
        <v>Camden</v>
      </c>
      <c r="K25" s="1533"/>
      <c r="M25" s="474" t="s">
        <v>3435</v>
      </c>
      <c r="O25" s="1443">
        <v>104</v>
      </c>
      <c r="P25" s="1534"/>
    </row>
    <row r="26" spans="1:16" s="458" customFormat="1" ht="13.15" customHeight="1">
      <c r="A26" s="735"/>
      <c r="B26" s="461"/>
      <c r="C26" s="458" t="s">
        <v>2314</v>
      </c>
      <c r="F26" s="1535" t="s">
        <v>3924</v>
      </c>
      <c r="G26" s="475"/>
      <c r="I26" s="466" t="s">
        <v>886</v>
      </c>
      <c r="J26" s="1536" t="str">
        <f>IF($F$24="","",VLOOKUP($J$25,$C$183:$H$342,3,FALSE))</f>
        <v>Camden Co.</v>
      </c>
      <c r="K26" s="1537"/>
      <c r="L26" s="1538"/>
      <c r="M26" s="714" t="s">
        <v>666</v>
      </c>
      <c r="N26" s="1539" t="s">
        <v>3926</v>
      </c>
      <c r="O26" s="466" t="s">
        <v>667</v>
      </c>
      <c r="P26" s="1539" t="s">
        <v>3926</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447</v>
      </c>
      <c r="G28" s="782"/>
      <c r="H28" s="782" t="s">
        <v>1226</v>
      </c>
      <c r="I28" s="782"/>
      <c r="J28" s="782" t="s">
        <v>1227</v>
      </c>
      <c r="K28" s="782"/>
      <c r="L28" s="468"/>
    </row>
    <row r="29" spans="1:16" s="458" customFormat="1" ht="13.15" customHeight="1">
      <c r="A29" s="735"/>
      <c r="B29" s="461"/>
      <c r="C29" s="458" t="s">
        <v>956</v>
      </c>
      <c r="D29" s="461"/>
      <c r="F29" s="1540">
        <v>1</v>
      </c>
      <c r="G29" s="1541"/>
      <c r="H29" s="1540">
        <v>3</v>
      </c>
      <c r="I29" s="1541"/>
      <c r="J29" s="1540">
        <v>3</v>
      </c>
      <c r="K29" s="1541"/>
    </row>
    <row r="30" spans="1:16" s="458" customFormat="1" ht="13.15" customHeight="1">
      <c r="A30" s="735"/>
      <c r="B30" s="461"/>
      <c r="C30" s="464" t="s">
        <v>1228</v>
      </c>
      <c r="F30" s="1540"/>
      <c r="G30" s="1541"/>
      <c r="H30" s="1540"/>
      <c r="I30" s="1541"/>
      <c r="J30" s="1540"/>
      <c r="K30" s="1541"/>
    </row>
    <row r="31" spans="1:16" s="458" customFormat="1" ht="3" customHeight="1">
      <c r="A31" s="735"/>
      <c r="B31" s="461"/>
      <c r="I31" s="733"/>
      <c r="J31" s="733"/>
      <c r="K31" s="733"/>
      <c r="M31" s="721"/>
      <c r="N31" s="721"/>
      <c r="O31" s="721"/>
      <c r="P31" s="721"/>
    </row>
    <row r="32" spans="1:16" s="458" customFormat="1" ht="13.15" customHeight="1">
      <c r="A32" s="735"/>
      <c r="B32" s="735"/>
      <c r="C32" s="461" t="s">
        <v>974</v>
      </c>
      <c r="F32" s="1542" t="s">
        <v>3927</v>
      </c>
      <c r="G32" s="1543"/>
      <c r="H32" s="1543"/>
      <c r="I32" s="1543"/>
      <c r="J32" s="1543"/>
      <c r="K32" s="1544"/>
      <c r="L32" s="476"/>
      <c r="M32" s="476"/>
      <c r="N32" s="476"/>
    </row>
    <row r="33" spans="1:19" s="458" customFormat="1" ht="13.15" customHeight="1">
      <c r="A33" s="735"/>
      <c r="B33" s="735"/>
      <c r="C33" s="458" t="s">
        <v>975</v>
      </c>
      <c r="F33" s="1545" t="s">
        <v>3928</v>
      </c>
      <c r="G33" s="1546"/>
      <c r="H33" s="1546"/>
      <c r="I33" s="1546"/>
      <c r="J33" s="1547"/>
      <c r="K33" s="477" t="s">
        <v>3057</v>
      </c>
      <c r="L33" s="1542" t="s">
        <v>3930</v>
      </c>
      <c r="M33" s="1543"/>
      <c r="N33" s="1544"/>
    </row>
    <row r="34" spans="1:19" s="458" customFormat="1" ht="13.15" customHeight="1">
      <c r="A34" s="735"/>
      <c r="B34" s="735"/>
      <c r="C34" s="458" t="s">
        <v>3058</v>
      </c>
      <c r="F34" s="1542" t="s">
        <v>3929</v>
      </c>
      <c r="G34" s="1543"/>
      <c r="H34" s="1543"/>
      <c r="I34" s="1543"/>
      <c r="J34" s="1544"/>
      <c r="K34" s="478" t="s">
        <v>954</v>
      </c>
      <c r="L34" s="1443" t="s">
        <v>1399</v>
      </c>
      <c r="M34" s="1444"/>
      <c r="N34" s="1445"/>
    </row>
    <row r="35" spans="1:19" s="458" customFormat="1" ht="13.15" customHeight="1">
      <c r="A35" s="735"/>
      <c r="B35" s="735"/>
      <c r="C35" s="714" t="s">
        <v>3354</v>
      </c>
      <c r="F35" s="1548">
        <v>315480000</v>
      </c>
      <c r="G35" s="1549"/>
      <c r="H35" s="713" t="s">
        <v>3059</v>
      </c>
      <c r="I35" s="1480">
        <v>9125104041</v>
      </c>
      <c r="J35" s="1550"/>
      <c r="K35" s="1551"/>
      <c r="L35" s="713" t="s">
        <v>2833</v>
      </c>
      <c r="M35" s="1480">
        <v>9125104013</v>
      </c>
      <c r="N35" s="1551"/>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2825</v>
      </c>
      <c r="C37" s="461" t="s">
        <v>2209</v>
      </c>
      <c r="F37" s="481"/>
      <c r="I37" s="464"/>
      <c r="J37" s="683" t="s">
        <v>1975</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3060</v>
      </c>
      <c r="C39" s="461" t="s">
        <v>3437</v>
      </c>
      <c r="F39" s="1440" t="s">
        <v>3926</v>
      </c>
      <c r="J39" s="605" t="s">
        <v>1972</v>
      </c>
      <c r="K39" s="721"/>
      <c r="L39" s="792" t="s">
        <v>1973</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3063</v>
      </c>
      <c r="C41" s="461" t="s">
        <v>1084</v>
      </c>
      <c r="J41" s="608" t="s">
        <v>1976</v>
      </c>
      <c r="K41" s="609"/>
      <c r="L41" s="795" t="s">
        <v>1971</v>
      </c>
      <c r="M41" s="795"/>
      <c r="N41" s="795"/>
      <c r="O41" s="795"/>
      <c r="P41" s="796"/>
      <c r="Q41" s="719"/>
    </row>
    <row r="42" spans="1:19" ht="13.15" customHeight="1">
      <c r="B42" s="735"/>
      <c r="C42" s="458" t="s">
        <v>3436</v>
      </c>
      <c r="D42" s="458"/>
      <c r="E42" s="458"/>
      <c r="F42" s="483">
        <f>'Part VI-Revenues &amp; Expenses'!$M$75</f>
        <v>50</v>
      </c>
      <c r="J42" s="398"/>
      <c r="L42" s="458"/>
      <c r="Q42" s="719"/>
    </row>
    <row r="43" spans="1:19" s="458" customFormat="1" ht="13.15" customHeight="1">
      <c r="A43" s="735"/>
      <c r="B43" s="735"/>
      <c r="C43" s="464" t="s">
        <v>469</v>
      </c>
      <c r="D43" s="721"/>
      <c r="F43" s="483">
        <f>'Part VI-Revenues &amp; Expenses'!$M$82</f>
        <v>0</v>
      </c>
      <c r="Q43" s="719"/>
    </row>
    <row r="44" spans="1:19" s="458" customFormat="1" ht="13.15" customHeight="1">
      <c r="A44" s="735"/>
      <c r="B44" s="735"/>
      <c r="C44" s="464" t="s">
        <v>443</v>
      </c>
      <c r="D44" s="721"/>
      <c r="F44" s="483">
        <f>'Part VI-Revenues &amp; Expenses'!$M$78</f>
        <v>0</v>
      </c>
      <c r="G44" s="458" t="s">
        <v>445</v>
      </c>
      <c r="L44" s="1552"/>
      <c r="M44" s="482"/>
      <c r="N44" s="482"/>
      <c r="O44" s="482"/>
      <c r="P44" s="482"/>
      <c r="Q44" s="719"/>
    </row>
    <row r="45" spans="1:19" s="458" customFormat="1" ht="13.15" customHeight="1">
      <c r="A45" s="735"/>
      <c r="B45" s="735"/>
      <c r="C45" s="484" t="s">
        <v>444</v>
      </c>
      <c r="F45" s="483">
        <f>'Part VI-Revenues &amp; Expenses'!$M$81</f>
        <v>0</v>
      </c>
      <c r="L45" s="482"/>
    </row>
    <row r="46" spans="1:19" s="458" customFormat="1" ht="13.15" customHeight="1">
      <c r="A46" s="735"/>
      <c r="B46" s="735"/>
      <c r="C46" s="484" t="s">
        <v>470</v>
      </c>
      <c r="F46" s="483">
        <f>'Part VI-Revenues &amp; Expenses'!$M$83</f>
        <v>0</v>
      </c>
      <c r="P46" s="721"/>
    </row>
    <row r="47" spans="1:19" s="458" customFormat="1" ht="3.6" customHeight="1">
      <c r="A47" s="735"/>
      <c r="P47" s="721"/>
    </row>
    <row r="48" spans="1:19" s="458" customFormat="1" ht="13.15" customHeight="1">
      <c r="A48" s="735"/>
      <c r="B48" s="471" t="s">
        <v>1239</v>
      </c>
      <c r="C48" s="470" t="s">
        <v>3408</v>
      </c>
      <c r="D48" s="721"/>
      <c r="I48" s="777" t="s">
        <v>2131</v>
      </c>
      <c r="J48" s="471" t="s">
        <v>3212</v>
      </c>
      <c r="K48" s="485" t="s">
        <v>3443</v>
      </c>
      <c r="M48" s="721"/>
      <c r="N48" s="721"/>
      <c r="O48" s="721"/>
      <c r="P48" s="719"/>
      <c r="Q48" s="719"/>
      <c r="R48" s="719"/>
      <c r="S48" s="721"/>
    </row>
    <row r="49" spans="1:16" s="458" customFormat="1" ht="13.15" customHeight="1">
      <c r="A49" s="735"/>
      <c r="B49" s="716"/>
      <c r="C49" s="468" t="s">
        <v>3409</v>
      </c>
      <c r="D49" s="721"/>
      <c r="E49" s="721"/>
      <c r="H49" s="486">
        <f>SUM(H50:H51)</f>
        <v>50</v>
      </c>
      <c r="I49" s="778"/>
      <c r="J49" s="735"/>
      <c r="K49" s="468" t="s">
        <v>3444</v>
      </c>
      <c r="M49" s="721"/>
      <c r="N49" s="721"/>
      <c r="O49" s="721"/>
      <c r="P49" s="486">
        <f>'Part VI-Revenues &amp; Expenses'!$M$94</f>
        <v>49800</v>
      </c>
    </row>
    <row r="50" spans="1:16" s="458" customFormat="1" ht="13.15" customHeight="1">
      <c r="A50" s="735"/>
      <c r="B50" s="482"/>
      <c r="D50" s="487" t="s">
        <v>490</v>
      </c>
      <c r="E50" s="487"/>
      <c r="H50" s="486">
        <f>'Part VI-Revenues &amp; Expenses'!$M$58</f>
        <v>8</v>
      </c>
      <c r="I50" s="486">
        <f>'Part VI-Revenues &amp; Expenses'!$M$66</f>
        <v>0</v>
      </c>
      <c r="K50" s="468" t="s">
        <v>326</v>
      </c>
      <c r="M50" s="721"/>
      <c r="N50" s="721"/>
      <c r="O50" s="721"/>
      <c r="P50" s="486">
        <f>'Part VI-Revenues &amp; Expenses'!$M$95</f>
        <v>0</v>
      </c>
    </row>
    <row r="51" spans="1:16" s="458" customFormat="1" ht="13.15" customHeight="1">
      <c r="A51" s="735"/>
      <c r="D51" s="487" t="s">
        <v>2863</v>
      </c>
      <c r="E51" s="487"/>
      <c r="H51" s="486">
        <f>'Part VI-Revenues &amp; Expenses'!$M$57</f>
        <v>42</v>
      </c>
      <c r="I51" s="486">
        <f>'Part VI-Revenues &amp; Expenses'!$M$65</f>
        <v>0</v>
      </c>
      <c r="K51" s="468" t="s">
        <v>3445</v>
      </c>
      <c r="M51" s="721"/>
      <c r="N51" s="721"/>
      <c r="O51" s="721"/>
      <c r="P51" s="486">
        <f>+P49+P50</f>
        <v>49800</v>
      </c>
    </row>
    <row r="52" spans="1:16" s="458" customFormat="1" ht="13.15" customHeight="1">
      <c r="A52" s="735"/>
      <c r="C52" s="468" t="s">
        <v>327</v>
      </c>
      <c r="D52" s="721"/>
      <c r="E52" s="721"/>
      <c r="H52" s="486">
        <f>'Part VI-Revenues &amp; Expenses'!$M$60</f>
        <v>0</v>
      </c>
      <c r="J52" s="735"/>
      <c r="K52" s="468" t="s">
        <v>2134</v>
      </c>
      <c r="M52" s="721"/>
      <c r="N52" s="721"/>
      <c r="O52" s="721"/>
      <c r="P52" s="486">
        <f>'Part VI-Revenues &amp; Expenses'!$M$97</f>
        <v>0</v>
      </c>
    </row>
    <row r="53" spans="1:16" s="458" customFormat="1" ht="13.15" customHeight="1">
      <c r="A53" s="735"/>
      <c r="C53" s="468" t="s">
        <v>3650</v>
      </c>
      <c r="D53" s="721"/>
      <c r="E53" s="721"/>
      <c r="H53" s="486">
        <f>+H49+H52</f>
        <v>50</v>
      </c>
      <c r="J53" s="735"/>
      <c r="K53" s="468" t="s">
        <v>2133</v>
      </c>
      <c r="M53" s="721"/>
      <c r="N53" s="721"/>
      <c r="O53" s="721"/>
      <c r="P53" s="486">
        <f>+P51+P52</f>
        <v>49800</v>
      </c>
    </row>
    <row r="54" spans="1:16" s="458" customFormat="1" ht="13.15" customHeight="1">
      <c r="A54" s="735"/>
      <c r="C54" s="468" t="s">
        <v>3651</v>
      </c>
      <c r="D54" s="721"/>
      <c r="E54" s="721"/>
      <c r="H54" s="486">
        <f>'Part VI-Revenues &amp; Expenses'!$M$62</f>
        <v>0</v>
      </c>
      <c r="J54" s="735"/>
    </row>
    <row r="55" spans="1:16" s="458" customFormat="1" ht="13.15" customHeight="1">
      <c r="A55" s="735"/>
      <c r="C55" s="468" t="s">
        <v>2824</v>
      </c>
      <c r="D55" s="721"/>
      <c r="E55" s="721"/>
      <c r="H55" s="486">
        <f>+H53+H54</f>
        <v>50</v>
      </c>
      <c r="J55" s="721"/>
    </row>
    <row r="56" spans="1:16" s="458" customFormat="1" ht="3" customHeight="1">
      <c r="A56" s="735"/>
      <c r="I56" s="719"/>
      <c r="L56" s="719"/>
      <c r="M56" s="719"/>
      <c r="N56" s="721"/>
      <c r="P56" s="469"/>
    </row>
    <row r="57" spans="1:16" s="458" customFormat="1" ht="13.15" customHeight="1">
      <c r="A57" s="735"/>
      <c r="B57" s="735" t="s">
        <v>2763</v>
      </c>
      <c r="C57" s="470" t="s">
        <v>3438</v>
      </c>
      <c r="D57" s="487" t="s">
        <v>3074</v>
      </c>
      <c r="G57" s="721"/>
      <c r="H57" s="1553">
        <v>13</v>
      </c>
      <c r="K57" s="468" t="s">
        <v>1760</v>
      </c>
      <c r="O57" s="721"/>
      <c r="P57" s="1553">
        <v>2200</v>
      </c>
    </row>
    <row r="58" spans="1:16" s="458" customFormat="1" ht="13.15" customHeight="1">
      <c r="A58" s="735"/>
      <c r="B58" s="735"/>
      <c r="D58" s="716" t="s">
        <v>3075</v>
      </c>
      <c r="H58" s="1553">
        <v>1</v>
      </c>
      <c r="I58" s="721"/>
      <c r="K58" s="468" t="s">
        <v>325</v>
      </c>
      <c r="O58" s="721"/>
      <c r="P58" s="486">
        <f>+P53+P57</f>
        <v>52000</v>
      </c>
    </row>
    <row r="59" spans="1:16" s="458" customFormat="1" ht="13.15" customHeight="1">
      <c r="A59" s="735"/>
      <c r="B59" s="735"/>
      <c r="D59" s="716" t="s">
        <v>3076</v>
      </c>
      <c r="H59" s="486">
        <f>+H57+H58</f>
        <v>14</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2764</v>
      </c>
      <c r="C61" s="470" t="s">
        <v>1085</v>
      </c>
      <c r="D61" s="721"/>
      <c r="E61" s="721"/>
      <c r="F61" s="721"/>
      <c r="G61" s="721"/>
      <c r="H61" s="1553">
        <v>75</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823</v>
      </c>
      <c r="C63" s="488" t="s">
        <v>1837</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3060</v>
      </c>
      <c r="C65" s="395" t="s">
        <v>2273</v>
      </c>
      <c r="D65" s="715"/>
      <c r="E65" s="715"/>
      <c r="F65" s="721"/>
      <c r="G65" s="719"/>
      <c r="H65" s="1554" t="s">
        <v>3931</v>
      </c>
      <c r="I65" s="1555"/>
      <c r="K65" s="776" t="s">
        <v>2802</v>
      </c>
      <c r="L65" s="776"/>
      <c r="N65" s="1443"/>
      <c r="O65" s="1444"/>
      <c r="P65" s="1445"/>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3063</v>
      </c>
      <c r="C67" s="470" t="s">
        <v>2122</v>
      </c>
      <c r="D67" s="721"/>
      <c r="E67" s="487"/>
      <c r="G67" s="489" t="s">
        <v>1379</v>
      </c>
      <c r="H67" s="1553">
        <v>3</v>
      </c>
      <c r="K67" s="776" t="s">
        <v>813</v>
      </c>
      <c r="L67" s="776"/>
      <c r="P67" s="490">
        <f>IF('Part VI-Revenues &amp; Expenses'!$M$63=0,0,$H67/'Part VI-Revenues &amp; Expenses'!$M$63)</f>
        <v>0.06</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1239</v>
      </c>
      <c r="C69" s="470" t="s">
        <v>2891</v>
      </c>
      <c r="D69" s="487"/>
      <c r="E69" s="487"/>
      <c r="G69" s="489" t="s">
        <v>1379</v>
      </c>
      <c r="H69" s="1553">
        <v>1</v>
      </c>
      <c r="K69" s="776" t="s">
        <v>813</v>
      </c>
      <c r="L69" s="776"/>
      <c r="P69" s="490">
        <f>IF('Part VI-Revenues &amp; Expenses'!$M$63=0,0,$H69/'Part VI-Revenues &amp; Expenses'!$M$63)</f>
        <v>0.02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3212</v>
      </c>
      <c r="C71" s="470" t="s">
        <v>1978</v>
      </c>
      <c r="D71" s="487"/>
      <c r="E71" s="487"/>
      <c r="G71" s="489" t="s">
        <v>1979</v>
      </c>
      <c r="H71" s="1553"/>
      <c r="K71" s="776" t="s">
        <v>813</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1348</v>
      </c>
      <c r="B73" s="735"/>
      <c r="C73" s="715" t="s">
        <v>3592</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3060</v>
      </c>
      <c r="C75" s="395" t="s">
        <v>3591</v>
      </c>
      <c r="D75" s="716"/>
      <c r="E75" s="716"/>
      <c r="F75" s="716"/>
      <c r="H75" s="1556" t="s">
        <v>1461</v>
      </c>
      <c r="I75" s="1557"/>
      <c r="J75" s="1558"/>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3063</v>
      </c>
      <c r="C77" s="461" t="s">
        <v>2286</v>
      </c>
      <c r="K77" s="464" t="s">
        <v>1460</v>
      </c>
      <c r="N77" s="492"/>
      <c r="P77" s="1440" t="s">
        <v>3926</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386</v>
      </c>
      <c r="B79" s="735"/>
      <c r="C79" s="715" t="s">
        <v>3133</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40" t="s">
        <v>3926</v>
      </c>
      <c r="F81" s="487" t="s">
        <v>3914</v>
      </c>
      <c r="H81" s="1440" t="s">
        <v>3924</v>
      </c>
      <c r="I81" s="714" t="s">
        <v>3913</v>
      </c>
      <c r="K81" s="1440" t="s">
        <v>3926</v>
      </c>
      <c r="L81" s="458" t="s">
        <v>144</v>
      </c>
    </row>
    <row r="82" spans="1:16" s="458" customFormat="1" ht="13.15" customHeight="1">
      <c r="A82" s="735"/>
      <c r="B82" s="735"/>
      <c r="D82" s="480"/>
      <c r="E82" s="1440" t="s">
        <v>3926</v>
      </c>
      <c r="F82" s="714" t="s">
        <v>651</v>
      </c>
      <c r="H82" s="1440" t="s">
        <v>3926</v>
      </c>
      <c r="I82" s="716" t="s">
        <v>3233</v>
      </c>
      <c r="K82" s="1440" t="s">
        <v>3926</v>
      </c>
      <c r="L82" s="458" t="s">
        <v>364</v>
      </c>
    </row>
    <row r="83" spans="1:16" s="458" customFormat="1" ht="9" customHeight="1">
      <c r="A83" s="735"/>
      <c r="B83" s="735"/>
      <c r="D83" s="480"/>
      <c r="E83" s="721"/>
      <c r="I83" s="480"/>
      <c r="J83" s="468"/>
      <c r="K83" s="721"/>
      <c r="P83" s="469"/>
    </row>
    <row r="84" spans="1:16" s="458" customFormat="1" ht="13.15" customHeight="1">
      <c r="A84" s="491" t="s">
        <v>542</v>
      </c>
      <c r="B84" s="735"/>
      <c r="C84" s="485" t="s">
        <v>1835</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848</v>
      </c>
      <c r="D86" s="721"/>
      <c r="E86" s="1443"/>
      <c r="F86" s="1444"/>
      <c r="G86" s="1444"/>
      <c r="H86" s="1444"/>
      <c r="I86" s="1444"/>
      <c r="J86" s="1444"/>
      <c r="K86" s="1444"/>
      <c r="L86" s="1445"/>
      <c r="M86" s="789" t="s">
        <v>849</v>
      </c>
      <c r="N86" s="789"/>
      <c r="O86" s="1559"/>
      <c r="P86" s="1560"/>
    </row>
    <row r="87" spans="1:16" s="458" customFormat="1" ht="13.15" customHeight="1">
      <c r="C87" s="464" t="s">
        <v>1642</v>
      </c>
      <c r="D87" s="472"/>
      <c r="E87" s="1443"/>
      <c r="F87" s="1444"/>
      <c r="G87" s="1444"/>
      <c r="H87" s="1444"/>
      <c r="I87" s="1444"/>
      <c r="J87" s="1444"/>
      <c r="K87" s="1444"/>
      <c r="L87" s="1445"/>
      <c r="M87" s="789" t="s">
        <v>1391</v>
      </c>
      <c r="N87" s="789"/>
      <c r="O87" s="1481"/>
      <c r="P87" s="1483"/>
    </row>
    <row r="88" spans="1:16" s="458" customFormat="1" ht="13.15" customHeight="1">
      <c r="C88" s="464" t="s">
        <v>954</v>
      </c>
      <c r="E88" s="1443"/>
      <c r="F88" s="1190"/>
      <c r="G88" s="1191"/>
      <c r="H88" s="713" t="s">
        <v>2830</v>
      </c>
      <c r="I88" s="1440"/>
      <c r="J88" s="493" t="s">
        <v>3354</v>
      </c>
      <c r="K88" s="1477"/>
      <c r="L88" s="1191"/>
      <c r="M88" s="418"/>
      <c r="N88" s="418"/>
      <c r="O88" s="418"/>
      <c r="P88" s="418"/>
    </row>
    <row r="89" spans="1:16" s="458" customFormat="1" ht="13.15" customHeight="1">
      <c r="C89" s="458" t="s">
        <v>3302</v>
      </c>
      <c r="E89" s="1443"/>
      <c r="F89" s="1190"/>
      <c r="G89" s="1191"/>
      <c r="H89" s="719" t="s">
        <v>3057</v>
      </c>
      <c r="I89" s="1443"/>
      <c r="J89" s="1190"/>
      <c r="K89" s="1191"/>
      <c r="L89" s="732" t="s">
        <v>3061</v>
      </c>
      <c r="M89" s="1443"/>
      <c r="N89" s="1190"/>
      <c r="O89" s="1190"/>
      <c r="P89" s="1191"/>
    </row>
    <row r="90" spans="1:16" s="458" customFormat="1" ht="13.15" customHeight="1">
      <c r="C90" s="464" t="s">
        <v>3301</v>
      </c>
      <c r="E90" s="1474"/>
      <c r="F90" s="1475"/>
      <c r="G90" s="1476"/>
      <c r="H90" s="719" t="s">
        <v>2833</v>
      </c>
      <c r="I90" s="1480"/>
      <c r="J90" s="1191"/>
      <c r="K90" s="493" t="s">
        <v>2834</v>
      </c>
      <c r="L90" s="1480"/>
      <c r="M90" s="1191"/>
      <c r="N90" s="493" t="s">
        <v>3056</v>
      </c>
      <c r="O90" s="1480"/>
      <c r="P90" s="1191"/>
    </row>
    <row r="91" spans="1:16" s="458" customFormat="1" ht="3" customHeight="1">
      <c r="A91" s="735"/>
      <c r="B91" s="735"/>
      <c r="G91" s="480"/>
      <c r="H91" s="719"/>
      <c r="I91" s="719"/>
      <c r="M91" s="469"/>
    </row>
    <row r="92" spans="1:16" s="458" customFormat="1" ht="13.15" customHeight="1">
      <c r="A92" s="491" t="s">
        <v>464</v>
      </c>
      <c r="B92" s="735"/>
      <c r="C92" s="715" t="s">
        <v>2666</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3060</v>
      </c>
      <c r="C96" s="715" t="s">
        <v>2123</v>
      </c>
      <c r="D96" s="716"/>
      <c r="E96" s="716"/>
      <c r="F96" s="719"/>
      <c r="G96" s="719"/>
      <c r="H96" s="1478">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3063</v>
      </c>
      <c r="C98" s="715" t="s">
        <v>526</v>
      </c>
      <c r="D98" s="716"/>
      <c r="E98" s="716"/>
      <c r="F98" s="719"/>
      <c r="G98" s="719"/>
      <c r="H98" s="1561">
        <v>1656171</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1239</v>
      </c>
      <c r="C100" s="715" t="s">
        <v>396</v>
      </c>
      <c r="D100" s="716"/>
      <c r="E100" s="716"/>
      <c r="F100" s="719"/>
      <c r="G100" s="719"/>
      <c r="H100" s="719"/>
      <c r="I100" s="719"/>
      <c r="J100" s="480"/>
      <c r="K100" s="719"/>
      <c r="L100" s="719"/>
      <c r="N100" s="721"/>
      <c r="O100" s="721"/>
    </row>
    <row r="101" spans="1:16" s="458" customFormat="1" ht="13.15" customHeight="1">
      <c r="B101" s="735"/>
      <c r="C101" s="716" t="s">
        <v>3235</v>
      </c>
      <c r="D101" s="716"/>
      <c r="F101" s="716" t="s">
        <v>1774</v>
      </c>
      <c r="G101" s="719"/>
      <c r="H101" s="719"/>
      <c r="I101" s="719"/>
      <c r="J101" s="716" t="s">
        <v>3235</v>
      </c>
      <c r="K101" s="716"/>
      <c r="M101" s="716" t="s">
        <v>1774</v>
      </c>
      <c r="N101" s="719"/>
      <c r="O101" s="719"/>
      <c r="P101" s="719"/>
    </row>
    <row r="102" spans="1:16" s="458" customFormat="1" ht="13.15" customHeight="1">
      <c r="A102" s="735"/>
      <c r="B102" s="735"/>
      <c r="C102" s="1562" t="s">
        <v>4034</v>
      </c>
      <c r="D102" s="1563"/>
      <c r="E102" s="1563"/>
      <c r="F102" s="1563" t="s">
        <v>3923</v>
      </c>
      <c r="G102" s="1563"/>
      <c r="H102" s="1563"/>
      <c r="I102" s="1564"/>
      <c r="J102" s="1562">
        <v>8</v>
      </c>
      <c r="K102" s="1563"/>
      <c r="L102" s="1563"/>
      <c r="M102" s="1563"/>
      <c r="N102" s="1563"/>
      <c r="O102" s="1563"/>
      <c r="P102" s="1564"/>
    </row>
    <row r="103" spans="1:16" s="458" customFormat="1" ht="13.15" customHeight="1">
      <c r="A103" s="735"/>
      <c r="B103" s="735"/>
      <c r="C103" s="1565" t="s">
        <v>4033</v>
      </c>
      <c r="D103" s="1566"/>
      <c r="E103" s="1566"/>
      <c r="F103" s="1566" t="s">
        <v>4032</v>
      </c>
      <c r="G103" s="1566"/>
      <c r="H103" s="1566"/>
      <c r="I103" s="1567"/>
      <c r="J103" s="1565">
        <v>9</v>
      </c>
      <c r="K103" s="1566"/>
      <c r="L103" s="1566"/>
      <c r="M103" s="1566"/>
      <c r="N103" s="1566"/>
      <c r="O103" s="1566"/>
      <c r="P103" s="1567"/>
    </row>
    <row r="104" spans="1:16" s="458" customFormat="1" ht="13.15" customHeight="1">
      <c r="A104" s="735"/>
      <c r="B104" s="735"/>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5"/>
      <c r="B105" s="735"/>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5"/>
      <c r="B106" s="735"/>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5"/>
      <c r="B107" s="735"/>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5"/>
      <c r="B108" s="735"/>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3235</v>
      </c>
      <c r="D112" s="716"/>
      <c r="F112" s="716" t="s">
        <v>1774</v>
      </c>
      <c r="G112" s="719"/>
      <c r="H112" s="719"/>
      <c r="I112" s="719"/>
      <c r="J112" s="716" t="s">
        <v>3235</v>
      </c>
      <c r="K112" s="716"/>
      <c r="M112" s="716" t="s">
        <v>1774</v>
      </c>
      <c r="N112" s="719"/>
      <c r="O112" s="719"/>
      <c r="P112" s="719"/>
    </row>
    <row r="113" spans="1:16" s="458" customFormat="1" ht="13.15" customHeight="1">
      <c r="A113" s="735"/>
      <c r="B113" s="735"/>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5"/>
      <c r="B114" s="735"/>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5"/>
      <c r="B115" s="735"/>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5"/>
      <c r="B116" s="735"/>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5"/>
      <c r="B117" s="735"/>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5"/>
      <c r="B118" s="735"/>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5"/>
      <c r="B119" s="735"/>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465</v>
      </c>
      <c r="B121" s="735"/>
      <c r="C121" s="488" t="s">
        <v>3665</v>
      </c>
      <c r="D121" s="488"/>
      <c r="E121" s="488"/>
      <c r="F121" s="488"/>
      <c r="H121" s="1440"/>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3060</v>
      </c>
      <c r="C123" s="465" t="s">
        <v>2732</v>
      </c>
      <c r="H123" s="1440"/>
      <c r="M123" s="719"/>
      <c r="N123" s="721"/>
      <c r="O123" s="721"/>
      <c r="P123" s="469"/>
    </row>
    <row r="124" spans="1:16" s="458" customFormat="1" ht="13.15" customHeight="1">
      <c r="A124" s="735"/>
      <c r="B124" s="735"/>
      <c r="C124" s="716" t="s">
        <v>3667</v>
      </c>
      <c r="D124" s="716"/>
      <c r="E124" s="716"/>
      <c r="F124" s="719"/>
      <c r="H124" s="1571"/>
      <c r="N124" s="721"/>
      <c r="O124" s="721"/>
      <c r="P124" s="469"/>
    </row>
    <row r="125" spans="1:16" s="458" customFormat="1" ht="13.15" customHeight="1">
      <c r="A125" s="735"/>
      <c r="B125" s="735"/>
      <c r="C125" s="496" t="s">
        <v>2731</v>
      </c>
      <c r="D125" s="464"/>
      <c r="H125" s="1443"/>
      <c r="I125" s="1445"/>
      <c r="P125" s="469"/>
    </row>
    <row r="126" spans="1:16" s="458" customFormat="1" ht="13.15" customHeight="1">
      <c r="A126" s="735"/>
      <c r="B126" s="735"/>
      <c r="C126" s="716" t="s">
        <v>3668</v>
      </c>
      <c r="D126" s="716"/>
      <c r="E126" s="716"/>
      <c r="F126" s="719"/>
      <c r="H126" s="1571"/>
      <c r="K126" s="418" t="s">
        <v>3375</v>
      </c>
      <c r="O126" s="1443" t="s">
        <v>715</v>
      </c>
      <c r="P126" s="1445"/>
    </row>
    <row r="127" spans="1:16" s="458" customFormat="1" ht="13.15" customHeight="1">
      <c r="A127" s="735"/>
      <c r="B127" s="735"/>
      <c r="C127" s="716" t="s">
        <v>3666</v>
      </c>
      <c r="F127" s="719"/>
      <c r="H127" s="1478"/>
      <c r="K127" s="418" t="s">
        <v>3376</v>
      </c>
      <c r="O127" s="1443" t="s">
        <v>715</v>
      </c>
      <c r="P127" s="1445"/>
    </row>
    <row r="128" spans="1:16" s="458" customFormat="1" ht="13.15" customHeight="1">
      <c r="A128" s="735"/>
      <c r="B128" s="735"/>
      <c r="C128" s="716" t="s">
        <v>3273</v>
      </c>
      <c r="D128" s="716"/>
      <c r="E128" s="716"/>
      <c r="F128" s="719"/>
      <c r="H128" s="1559"/>
      <c r="I128" s="1560"/>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3063</v>
      </c>
      <c r="C130" s="715" t="s">
        <v>3770</v>
      </c>
      <c r="D130" s="716"/>
      <c r="E130" s="716"/>
      <c r="F130" s="719"/>
      <c r="H130" s="1478"/>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1239</v>
      </c>
      <c r="C132" s="715" t="s">
        <v>982</v>
      </c>
      <c r="D132" s="716"/>
      <c r="E132" s="716"/>
      <c r="F132" s="719"/>
      <c r="G132" s="719"/>
      <c r="N132" s="721"/>
      <c r="O132" s="721"/>
      <c r="P132" s="469"/>
    </row>
    <row r="133" spans="1:16" s="458" customFormat="1" ht="13.15" customHeight="1">
      <c r="A133" s="735"/>
      <c r="B133" s="735"/>
      <c r="C133" s="716" t="s">
        <v>1086</v>
      </c>
      <c r="D133" s="716"/>
      <c r="E133" s="716"/>
      <c r="F133" s="719"/>
      <c r="G133" s="719"/>
      <c r="H133" s="1478"/>
      <c r="K133" s="716" t="s">
        <v>2287</v>
      </c>
      <c r="L133" s="716"/>
      <c r="M133" s="719"/>
      <c r="N133" s="719"/>
      <c r="O133" s="1478"/>
      <c r="P133" s="469"/>
    </row>
    <row r="134" spans="1:16" s="458" customFormat="1" ht="13.15" customHeight="1">
      <c r="A134" s="735"/>
      <c r="B134" s="735"/>
      <c r="C134" s="716" t="s">
        <v>1087</v>
      </c>
      <c r="D134" s="716"/>
      <c r="E134" s="716"/>
      <c r="F134" s="719"/>
      <c r="G134" s="719"/>
      <c r="H134" s="1478"/>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466</v>
      </c>
      <c r="B136" s="735"/>
      <c r="C136" s="488" t="s">
        <v>1836</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3060</v>
      </c>
      <c r="C138" s="479" t="s">
        <v>2864</v>
      </c>
      <c r="F138" s="719"/>
      <c r="G138" s="719"/>
      <c r="H138" s="719"/>
      <c r="I138" s="719"/>
      <c r="J138" s="480"/>
      <c r="K138" s="719"/>
      <c r="L138" s="719"/>
      <c r="N138" s="721"/>
      <c r="O138" s="721"/>
      <c r="P138" s="469"/>
    </row>
    <row r="139" spans="1:16" s="458" customFormat="1" ht="12.6" customHeight="1">
      <c r="A139" s="735"/>
      <c r="B139" s="735"/>
      <c r="C139" s="487" t="s">
        <v>2279</v>
      </c>
      <c r="D139" s="480"/>
      <c r="E139" s="480"/>
      <c r="F139" s="719"/>
      <c r="G139" s="719"/>
      <c r="H139" s="719"/>
      <c r="I139" s="719"/>
      <c r="K139" s="1478" t="s">
        <v>3926</v>
      </c>
      <c r="N139" s="721"/>
      <c r="O139" s="721"/>
      <c r="P139" s="469"/>
    </row>
    <row r="140" spans="1:16" s="458" customFormat="1" ht="12.6" customHeight="1">
      <c r="A140" s="735"/>
      <c r="B140" s="735"/>
      <c r="C140" s="458" t="s">
        <v>950</v>
      </c>
      <c r="K140" s="1553"/>
      <c r="L140" s="464" t="s">
        <v>2826</v>
      </c>
      <c r="P140" s="497">
        <f>IF('Part VI-Revenues &amp; Expenses'!$M$61=0,0,$K140/'Part VI-Revenues &amp; Expenses'!$M$61)</f>
        <v>0</v>
      </c>
    </row>
    <row r="141" spans="1:16" s="458" customFormat="1" ht="12.6" customHeight="1">
      <c r="A141" s="735"/>
      <c r="B141" s="735"/>
      <c r="C141" s="458" t="s">
        <v>3274</v>
      </c>
      <c r="K141" s="1553"/>
      <c r="L141" s="464" t="s">
        <v>2826</v>
      </c>
      <c r="P141" s="497">
        <f>IF('Part VI-Revenues &amp; Expenses'!$M$61=0,0,$K141/'Part VI-Revenues &amp; Expenses'!$M$61)</f>
        <v>0</v>
      </c>
    </row>
    <row r="142" spans="1:16" s="458" customFormat="1" ht="12.6" customHeight="1">
      <c r="A142" s="735"/>
      <c r="B142" s="735"/>
      <c r="C142" s="458" t="s">
        <v>2827</v>
      </c>
      <c r="E142" s="1443"/>
      <c r="F142" s="1444"/>
      <c r="G142" s="1444"/>
      <c r="H142" s="1444"/>
      <c r="I142" s="1444"/>
      <c r="J142" s="1444"/>
      <c r="K142" s="1445"/>
      <c r="L142" s="498" t="s">
        <v>2828</v>
      </c>
      <c r="M142" s="1443"/>
      <c r="N142" s="1444"/>
      <c r="O142" s="1444"/>
      <c r="P142" s="1445"/>
    </row>
    <row r="143" spans="1:16" s="458" customFormat="1" ht="12.6" customHeight="1">
      <c r="A143" s="735"/>
      <c r="B143" s="735"/>
      <c r="C143" s="464" t="s">
        <v>2829</v>
      </c>
      <c r="D143" s="472"/>
      <c r="E143" s="1443"/>
      <c r="F143" s="1444"/>
      <c r="G143" s="1444"/>
      <c r="H143" s="1444"/>
      <c r="I143" s="1444"/>
      <c r="J143" s="1444"/>
      <c r="K143" s="1572"/>
      <c r="L143" s="714" t="s">
        <v>2831</v>
      </c>
      <c r="M143" s="1481"/>
      <c r="N143" s="1482"/>
      <c r="O143" s="1482"/>
      <c r="P143" s="1483"/>
    </row>
    <row r="144" spans="1:16" s="458" customFormat="1" ht="12.6" customHeight="1">
      <c r="A144" s="735"/>
      <c r="B144" s="735"/>
      <c r="C144" s="464" t="s">
        <v>954</v>
      </c>
      <c r="E144" s="1443"/>
      <c r="F144" s="1444"/>
      <c r="G144" s="1444"/>
      <c r="H144" s="1445"/>
      <c r="I144" s="493" t="s">
        <v>3354</v>
      </c>
      <c r="J144" s="1477"/>
      <c r="K144" s="1530"/>
      <c r="L144" s="498" t="s">
        <v>2834</v>
      </c>
      <c r="M144" s="1474"/>
      <c r="N144" s="1475"/>
      <c r="O144" s="1476"/>
    </row>
    <row r="145" spans="1:16" s="458" customFormat="1" ht="12.6" customHeight="1">
      <c r="A145" s="735"/>
      <c r="B145" s="735"/>
      <c r="C145" s="464" t="s">
        <v>2832</v>
      </c>
      <c r="E145" s="1474"/>
      <c r="F145" s="1475"/>
      <c r="G145" s="1476"/>
      <c r="H145" s="499" t="s">
        <v>2833</v>
      </c>
      <c r="I145" s="1474"/>
      <c r="J145" s="1475"/>
      <c r="K145" s="1476"/>
      <c r="L145" s="500" t="s">
        <v>3056</v>
      </c>
      <c r="M145" s="1474"/>
      <c r="N145" s="1475"/>
      <c r="O145" s="1476"/>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3063</v>
      </c>
      <c r="C147" s="715" t="s">
        <v>2373</v>
      </c>
      <c r="D147" s="715"/>
      <c r="E147" s="715"/>
      <c r="F147" s="715"/>
      <c r="G147" s="715"/>
      <c r="I147" s="1478" t="s">
        <v>3926</v>
      </c>
      <c r="J147" s="800" t="s">
        <v>1254</v>
      </c>
      <c r="K147" s="801"/>
      <c r="L147" s="1478"/>
      <c r="M147" s="797" t="s">
        <v>3471</v>
      </c>
      <c r="N147" s="798"/>
      <c r="O147" s="799"/>
      <c r="P147" s="1571"/>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1239</v>
      </c>
      <c r="C149" s="715" t="s">
        <v>2786</v>
      </c>
      <c r="D149" s="715"/>
      <c r="E149" s="715"/>
      <c r="F149" s="715"/>
      <c r="G149" s="715"/>
      <c r="I149" s="1478" t="s">
        <v>3926</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3212</v>
      </c>
      <c r="C151" s="791" t="s">
        <v>3055</v>
      </c>
      <c r="D151" s="791"/>
      <c r="E151" s="791"/>
      <c r="F151" s="791"/>
      <c r="G151" s="715"/>
      <c r="I151" s="1478" t="s">
        <v>3926</v>
      </c>
    </row>
    <row r="152" spans="1:16" s="458" customFormat="1" ht="12.6" customHeight="1">
      <c r="B152" s="735"/>
      <c r="C152" s="790" t="s">
        <v>2210</v>
      </c>
      <c r="D152" s="790"/>
      <c r="E152" s="715"/>
      <c r="F152" s="715"/>
      <c r="G152" s="715"/>
      <c r="I152" s="1573"/>
    </row>
    <row r="153" spans="1:16" s="458" customFormat="1" ht="12.6" customHeight="1">
      <c r="A153" s="735"/>
      <c r="B153" s="735"/>
      <c r="C153" s="776" t="s">
        <v>1380</v>
      </c>
      <c r="D153" s="776"/>
      <c r="E153" s="461"/>
      <c r="F153" s="715"/>
      <c r="G153" s="715"/>
      <c r="I153" s="1573"/>
      <c r="K153" s="468"/>
      <c r="P153" s="469"/>
    </row>
    <row r="154" spans="1:16" s="458" customFormat="1" ht="12.6" customHeight="1">
      <c r="B154" s="735"/>
      <c r="C154" s="776" t="s">
        <v>2822</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2763</v>
      </c>
      <c r="C156" s="395" t="s">
        <v>2374</v>
      </c>
      <c r="D156" s="716"/>
      <c r="E156" s="716"/>
      <c r="F156" s="716"/>
      <c r="G156" s="716"/>
      <c r="H156" s="719"/>
      <c r="J156" s="468"/>
      <c r="K156" s="480"/>
      <c r="M156" s="721"/>
      <c r="O156" s="719"/>
      <c r="P156" s="469"/>
    </row>
    <row r="157" spans="1:16" s="458" customFormat="1" ht="12.6" customHeight="1">
      <c r="A157" s="735"/>
      <c r="B157" s="735"/>
      <c r="C157" s="721" t="s">
        <v>3328</v>
      </c>
      <c r="D157" s="470"/>
      <c r="E157" s="721"/>
      <c r="F157" s="721"/>
      <c r="I157" s="1478" t="s">
        <v>3926</v>
      </c>
      <c r="L157" s="721" t="s">
        <v>3327</v>
      </c>
      <c r="P157" s="1478" t="s">
        <v>3926</v>
      </c>
    </row>
    <row r="158" spans="1:16" s="458" customFormat="1" ht="12.6" customHeight="1">
      <c r="A158" s="735"/>
      <c r="B158" s="735"/>
      <c r="C158" s="721" t="s">
        <v>3330</v>
      </c>
      <c r="I158" s="1478" t="s">
        <v>3926</v>
      </c>
      <c r="L158" s="721" t="s">
        <v>2376</v>
      </c>
      <c r="P158" s="1478" t="s">
        <v>3926</v>
      </c>
    </row>
    <row r="159" spans="1:16" s="458" customFormat="1" ht="12.6" customHeight="1">
      <c r="A159" s="735"/>
      <c r="C159" s="721" t="s">
        <v>1980</v>
      </c>
      <c r="D159" s="505"/>
      <c r="I159" s="1478" t="s">
        <v>3926</v>
      </c>
      <c r="L159" s="721" t="s">
        <v>2545</v>
      </c>
      <c r="P159" s="1478" t="s">
        <v>3926</v>
      </c>
    </row>
    <row r="160" spans="1:16" s="458" customFormat="1" ht="12.6" customHeight="1">
      <c r="A160" s="735"/>
      <c r="B160" s="735"/>
      <c r="C160" s="721" t="s">
        <v>2375</v>
      </c>
      <c r="D160" s="470"/>
      <c r="E160" s="721"/>
      <c r="F160" s="721"/>
      <c r="I160" s="1478" t="s">
        <v>3924</v>
      </c>
      <c r="K160" s="470"/>
      <c r="L160" s="721" t="s">
        <v>2290</v>
      </c>
      <c r="M160" s="721"/>
      <c r="P160" s="1478" t="s">
        <v>3926</v>
      </c>
    </row>
    <row r="161" spans="1:16" s="458" customFormat="1" ht="12.6" customHeight="1">
      <c r="A161" s="735"/>
      <c r="B161" s="735"/>
      <c r="C161" s="721" t="s">
        <v>2377</v>
      </c>
      <c r="D161" s="470"/>
      <c r="E161" s="721"/>
      <c r="F161" s="721"/>
      <c r="I161" s="1478" t="s">
        <v>3924</v>
      </c>
      <c r="K161" s="470"/>
      <c r="L161" s="721"/>
      <c r="M161" s="721"/>
    </row>
    <row r="162" spans="1:16" s="458" customFormat="1" ht="12.6" customHeight="1">
      <c r="A162" s="735"/>
      <c r="B162" s="461"/>
      <c r="C162" s="721" t="s">
        <v>2844</v>
      </c>
      <c r="D162" s="470"/>
      <c r="I162" s="1478" t="s">
        <v>3926</v>
      </c>
      <c r="J162" s="504" t="s">
        <v>3374</v>
      </c>
      <c r="O162" s="1574"/>
      <c r="P162" s="1575"/>
    </row>
    <row r="163" spans="1:16" s="458" customFormat="1" ht="12.6" customHeight="1">
      <c r="A163" s="735"/>
      <c r="B163" s="735"/>
      <c r="C163" s="721" t="s">
        <v>3410</v>
      </c>
      <c r="E163" s="1554"/>
      <c r="F163" s="1576"/>
      <c r="G163" s="1576"/>
      <c r="H163" s="1555"/>
      <c r="I163" s="1478" t="s">
        <v>3926</v>
      </c>
    </row>
    <row r="164" spans="1:16" s="458" customFormat="1" ht="1.9" customHeight="1">
      <c r="A164" s="735"/>
      <c r="B164" s="735"/>
      <c r="P164" s="468"/>
    </row>
    <row r="165" spans="1:16" s="458" customFormat="1" ht="13.15" customHeight="1">
      <c r="B165" s="735" t="s">
        <v>2764</v>
      </c>
      <c r="C165" s="465" t="s">
        <v>1229</v>
      </c>
    </row>
    <row r="166" spans="1:16" s="458" customFormat="1" ht="12.6" customHeight="1">
      <c r="A166" s="735"/>
      <c r="B166" s="735"/>
      <c r="C166" s="464" t="s">
        <v>976</v>
      </c>
      <c r="D166" s="716"/>
      <c r="E166" s="716"/>
      <c r="F166" s="719"/>
      <c r="G166" s="719"/>
      <c r="I166" s="1559"/>
      <c r="J166" s="1560"/>
      <c r="N166" s="721"/>
      <c r="O166" s="721"/>
      <c r="P166" s="469"/>
    </row>
    <row r="167" spans="1:16" s="458" customFormat="1" ht="12.6" customHeight="1">
      <c r="A167" s="735"/>
      <c r="B167" s="735"/>
      <c r="C167" s="464" t="s">
        <v>368</v>
      </c>
      <c r="D167" s="716"/>
      <c r="E167" s="716"/>
      <c r="F167" s="719"/>
      <c r="G167" s="719"/>
      <c r="I167" s="1559"/>
      <c r="J167" s="1560"/>
      <c r="N167" s="721"/>
      <c r="O167" s="721"/>
      <c r="P167" s="469"/>
    </row>
    <row r="168" spans="1:16" s="458" customFormat="1" ht="12.6" customHeight="1">
      <c r="A168" s="735"/>
      <c r="B168" s="735"/>
      <c r="C168" s="464" t="s">
        <v>3436</v>
      </c>
      <c r="D168" s="716"/>
      <c r="E168" s="716"/>
      <c r="F168" s="719"/>
      <c r="G168" s="719"/>
      <c r="I168" s="1559">
        <v>41395</v>
      </c>
      <c r="J168" s="1560"/>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2852</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2865</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7"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7"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78"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7"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78"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78"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78"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2814</v>
      </c>
      <c r="H300" s="632" t="s">
        <v>537</v>
      </c>
      <c r="I300" s="633"/>
      <c r="J300" s="634" t="s">
        <v>94</v>
      </c>
      <c r="K300" s="635"/>
      <c r="L300" s="626"/>
      <c r="M300" s="627"/>
      <c r="N300" s="636" t="s">
        <v>1894</v>
      </c>
      <c r="O300" s="636" t="s">
        <v>1739</v>
      </c>
      <c r="P300" s="1577"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2815</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2816</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7"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2817</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2818</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78"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7"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78"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7"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78"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78"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78"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78"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78"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8"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8"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8"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8"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8"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7"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8"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78"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78"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78"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78"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78"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8"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8"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8"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78"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78"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7"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7"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78"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78"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7"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8"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78"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78"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7"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8"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8"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8"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2860</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1420</v>
      </c>
      <c r="O586" s="636" t="s">
        <v>3283</v>
      </c>
      <c r="P586" s="1577"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8"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78"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8" t="s">
        <v>3242</v>
      </c>
      <c r="Q602" s="611"/>
      <c r="R602" s="507" t="s">
        <v>3867</v>
      </c>
      <c r="S602" s="507" t="s">
        <v>415</v>
      </c>
      <c r="T602" s="1578"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78"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78"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78"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78"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78"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78"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78"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78"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78"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78"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78"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78"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78"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2852</v>
      </c>
      <c r="O616" s="636" t="s">
        <v>124</v>
      </c>
      <c r="P616" s="1577" t="s">
        <v>1413</v>
      </c>
      <c r="Q616" s="611"/>
      <c r="R616" s="507" t="s">
        <v>3880</v>
      </c>
      <c r="S616" s="507" t="s">
        <v>3087</v>
      </c>
      <c r="T616" s="1578"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1731</v>
      </c>
      <c r="O617" s="636" t="s">
        <v>1221</v>
      </c>
      <c r="P617" s="627" t="s">
        <v>1179</v>
      </c>
      <c r="Q617" s="611"/>
      <c r="R617" s="507" t="s">
        <v>1673</v>
      </c>
      <c r="S617" s="507" t="s">
        <v>2182</v>
      </c>
      <c r="T617" s="1578"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1693</v>
      </c>
      <c r="O618" s="507" t="s">
        <v>1552</v>
      </c>
      <c r="P618" s="1578" t="s">
        <v>3242</v>
      </c>
      <c r="Q618" s="611"/>
      <c r="R618" s="507" t="s">
        <v>1499</v>
      </c>
      <c r="S618" s="507" t="s">
        <v>1735</v>
      </c>
      <c r="T618" s="1578"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1735</v>
      </c>
      <c r="O619" s="636" t="s">
        <v>2026</v>
      </c>
      <c r="P619" s="627" t="s">
        <v>1180</v>
      </c>
      <c r="Q619" s="611"/>
      <c r="R619" s="507" t="s">
        <v>1674</v>
      </c>
      <c r="S619" s="507" t="s">
        <v>965</v>
      </c>
      <c r="T619" s="1578"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78"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8" t="s">
        <v>3242</v>
      </c>
      <c r="Q621" s="611"/>
      <c r="R621" s="507" t="s">
        <v>1676</v>
      </c>
      <c r="S621" s="507" t="s">
        <v>3085</v>
      </c>
      <c r="T621" s="1578"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8"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79"/>
      <c r="R623" s="507" t="s">
        <v>1678</v>
      </c>
      <c r="S623" s="507" t="s">
        <v>2271</v>
      </c>
      <c r="T623" s="1578"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78"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8" t="s">
        <v>3242</v>
      </c>
      <c r="Q625" s="611"/>
      <c r="R625" s="507" t="s">
        <v>1680</v>
      </c>
      <c r="S625" s="507" t="s">
        <v>215</v>
      </c>
      <c r="T625" s="1578"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78" t="s">
        <v>3242</v>
      </c>
      <c r="Q626" s="611"/>
      <c r="R626" s="507" t="s">
        <v>1681</v>
      </c>
      <c r="S626" s="507" t="s">
        <v>2036</v>
      </c>
      <c r="T626" s="1578"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78"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78"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78"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78"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78"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78"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78"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8"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8"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78"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8"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8"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8"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8"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78"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78"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78"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8" t="s">
        <v>3242</v>
      </c>
      <c r="Q644" s="611"/>
      <c r="R644" s="507" t="s">
        <v>1695</v>
      </c>
      <c r="S644" s="507" t="s">
        <v>965</v>
      </c>
      <c r="T644" s="1578"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78"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8"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78"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78"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78"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78"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78"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78"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7" t="s">
        <v>1413</v>
      </c>
      <c r="Q653" s="611"/>
      <c r="R653" s="507" t="s">
        <v>1703</v>
      </c>
      <c r="S653" s="507" t="s">
        <v>2982</v>
      </c>
      <c r="T653" s="1578"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8" t="s">
        <v>3242</v>
      </c>
      <c r="Q654" s="611"/>
      <c r="R654" s="507" t="s">
        <v>1704</v>
      </c>
      <c r="S654" s="507" t="s">
        <v>3085</v>
      </c>
      <c r="T654" s="1578"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78"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8"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8" t="s">
        <v>3242</v>
      </c>
      <c r="Q657" s="611"/>
      <c r="R657" s="507" t="s">
        <v>1707</v>
      </c>
      <c r="S657" s="507" t="s">
        <v>3762</v>
      </c>
      <c r="T657" s="1578"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78"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8"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78"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8"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8"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78"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78"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78"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7"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8"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8"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7"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78"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7"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8"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8"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144" sqref="D144"/>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2011-023 The Village at Winding Road, St. Marys, Camden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3" t="s">
        <v>3966</v>
      </c>
      <c r="I5" s="1190"/>
      <c r="J5" s="1190"/>
      <c r="K5" s="1190"/>
      <c r="L5" s="1190"/>
      <c r="M5" s="1190"/>
      <c r="N5" s="1191"/>
      <c r="O5" s="714" t="s">
        <v>3067</v>
      </c>
      <c r="P5" s="714"/>
      <c r="Q5" s="1443" t="s">
        <v>3967</v>
      </c>
      <c r="R5" s="1190"/>
      <c r="S5" s="1191"/>
    </row>
    <row r="6" spans="1:19" s="458" customFormat="1" ht="12.6" customHeight="1">
      <c r="D6" s="508"/>
      <c r="E6" s="464" t="s">
        <v>1642</v>
      </c>
      <c r="F6" s="472"/>
      <c r="H6" s="1443" t="s">
        <v>3971</v>
      </c>
      <c r="I6" s="1190"/>
      <c r="J6" s="1190"/>
      <c r="K6" s="1190"/>
      <c r="L6" s="1190"/>
      <c r="M6" s="1190"/>
      <c r="N6" s="1191"/>
      <c r="O6" s="714" t="s">
        <v>2776</v>
      </c>
      <c r="Q6" s="1443" t="s">
        <v>3968</v>
      </c>
      <c r="R6" s="1190"/>
      <c r="S6" s="1191"/>
    </row>
    <row r="7" spans="1:19" s="458" customFormat="1" ht="12.6" customHeight="1">
      <c r="D7" s="508"/>
      <c r="E7" s="464" t="s">
        <v>954</v>
      </c>
      <c r="H7" s="1443" t="s">
        <v>704</v>
      </c>
      <c r="I7" s="1190"/>
      <c r="J7" s="1191"/>
      <c r="K7" s="1473" t="s">
        <v>1255</v>
      </c>
      <c r="L7" s="1443"/>
      <c r="M7" s="1190"/>
      <c r="N7" s="1191"/>
      <c r="O7" s="714" t="s">
        <v>2834</v>
      </c>
      <c r="Q7" s="1474">
        <v>9127293564</v>
      </c>
      <c r="R7" s="1475"/>
      <c r="S7" s="1476"/>
    </row>
    <row r="8" spans="1:19" s="458" customFormat="1" ht="12.6" customHeight="1">
      <c r="D8" s="508"/>
      <c r="E8" s="464" t="s">
        <v>2830</v>
      </c>
      <c r="H8" s="1440" t="s">
        <v>1439</v>
      </c>
      <c r="I8" s="719" t="s">
        <v>1974</v>
      </c>
      <c r="J8" s="1477">
        <v>315486820</v>
      </c>
      <c r="K8" s="1191"/>
      <c r="L8" s="398" t="s">
        <v>1977</v>
      </c>
      <c r="N8" s="1478" t="s">
        <v>3969</v>
      </c>
      <c r="O8" s="714" t="s">
        <v>3056</v>
      </c>
      <c r="Q8" s="1474">
        <v>9123221148</v>
      </c>
      <c r="R8" s="1475"/>
      <c r="S8" s="1476"/>
    </row>
    <row r="9" spans="1:19" s="458" customFormat="1" ht="12.6" customHeight="1">
      <c r="D9" s="508"/>
      <c r="E9" s="464" t="s">
        <v>3062</v>
      </c>
      <c r="H9" s="1474">
        <v>9127293564</v>
      </c>
      <c r="I9" s="1476"/>
      <c r="J9" s="1479"/>
      <c r="K9" s="719" t="s">
        <v>2833</v>
      </c>
      <c r="L9" s="1480">
        <v>9127291325</v>
      </c>
      <c r="M9" s="1191"/>
      <c r="N9" s="466" t="s">
        <v>3061</v>
      </c>
      <c r="O9" s="1481" t="s">
        <v>3922</v>
      </c>
      <c r="P9" s="1482"/>
      <c r="Q9" s="1482"/>
      <c r="R9" s="1482"/>
      <c r="S9" s="1483"/>
    </row>
    <row r="10" spans="1:19" s="458" customFormat="1" ht="13.15" customHeight="1">
      <c r="D10" s="508"/>
      <c r="E10" s="441" t="s">
        <v>998</v>
      </c>
      <c r="H10" s="501"/>
      <c r="L10" s="550" t="s">
        <v>1975</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4" t="s">
        <v>1973</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5" t="s">
        <v>1971</v>
      </c>
      <c r="P14" s="1485"/>
      <c r="Q14" s="1485"/>
      <c r="R14" s="1485"/>
      <c r="S14" s="1485"/>
    </row>
    <row r="15" spans="1:19" s="458" customFormat="1" ht="4.1500000000000004" customHeight="1">
      <c r="D15" s="510"/>
      <c r="E15" s="511"/>
      <c r="H15" s="1486"/>
      <c r="I15" s="1486"/>
      <c r="J15" s="1486"/>
      <c r="K15" s="717"/>
      <c r="L15" s="1486"/>
      <c r="M15" s="1486"/>
      <c r="N15" s="717"/>
      <c r="O15" s="1487"/>
      <c r="P15" s="1487"/>
      <c r="Q15" s="719"/>
      <c r="R15" s="1487"/>
      <c r="S15" s="1487"/>
    </row>
    <row r="16" spans="1:19" s="458" customFormat="1" ht="12.6" customHeight="1">
      <c r="D16" s="461" t="s">
        <v>3213</v>
      </c>
      <c r="E16" s="458" t="s">
        <v>2911</v>
      </c>
      <c r="H16" s="1443" t="s">
        <v>3970</v>
      </c>
      <c r="I16" s="1190"/>
      <c r="J16" s="1190"/>
      <c r="K16" s="1190"/>
      <c r="L16" s="1190"/>
      <c r="M16" s="1190"/>
      <c r="N16" s="1191"/>
      <c r="O16" s="714" t="s">
        <v>3067</v>
      </c>
      <c r="P16" s="714"/>
      <c r="Q16" s="1443" t="s">
        <v>3972</v>
      </c>
      <c r="R16" s="1190"/>
      <c r="S16" s="1191"/>
    </row>
    <row r="17" spans="4:19" s="458" customFormat="1" ht="12.6" customHeight="1">
      <c r="D17" s="508"/>
      <c r="E17" s="464" t="s">
        <v>1642</v>
      </c>
      <c r="F17" s="472"/>
      <c r="H17" s="1443" t="s">
        <v>3971</v>
      </c>
      <c r="I17" s="1190"/>
      <c r="J17" s="1190"/>
      <c r="K17" s="1190"/>
      <c r="L17" s="1190"/>
      <c r="M17" s="1190"/>
      <c r="N17" s="1191"/>
      <c r="O17" s="714" t="s">
        <v>2776</v>
      </c>
      <c r="Q17" s="1443" t="s">
        <v>3968</v>
      </c>
      <c r="R17" s="1190"/>
      <c r="S17" s="1191"/>
    </row>
    <row r="18" spans="4:19" s="458" customFormat="1" ht="12.6" customHeight="1">
      <c r="D18" s="508"/>
      <c r="E18" s="464" t="s">
        <v>954</v>
      </c>
      <c r="H18" s="1443" t="s">
        <v>704</v>
      </c>
      <c r="I18" s="1190"/>
      <c r="J18" s="1191"/>
      <c r="O18" s="714" t="s">
        <v>2834</v>
      </c>
      <c r="Q18" s="1474">
        <v>9127293564</v>
      </c>
      <c r="R18" s="1475"/>
      <c r="S18" s="1476"/>
    </row>
    <row r="19" spans="4:19" s="458" customFormat="1" ht="12.6" customHeight="1">
      <c r="D19" s="461"/>
      <c r="E19" s="464" t="s">
        <v>2830</v>
      </c>
      <c r="H19" s="1440" t="s">
        <v>1439</v>
      </c>
      <c r="I19" s="719" t="s">
        <v>1974</v>
      </c>
      <c r="J19" s="1477">
        <v>315486820</v>
      </c>
      <c r="K19" s="1191"/>
      <c r="L19" s="398" t="s">
        <v>1977</v>
      </c>
      <c r="N19" s="1478" t="s">
        <v>3969</v>
      </c>
      <c r="O19" s="714" t="s">
        <v>3056</v>
      </c>
      <c r="Q19" s="1474">
        <v>9123221148</v>
      </c>
      <c r="R19" s="1475"/>
      <c r="S19" s="1476"/>
    </row>
    <row r="20" spans="4:19" s="458" customFormat="1" ht="12.6" customHeight="1">
      <c r="D20" s="508"/>
      <c r="E20" s="464" t="s">
        <v>3062</v>
      </c>
      <c r="H20" s="1474">
        <v>9127293564</v>
      </c>
      <c r="I20" s="1476"/>
      <c r="J20" s="1479"/>
      <c r="K20" s="719" t="s">
        <v>2833</v>
      </c>
      <c r="L20" s="1480">
        <v>9127291325</v>
      </c>
      <c r="M20" s="1191"/>
      <c r="N20" s="466" t="s">
        <v>3061</v>
      </c>
      <c r="O20" s="1481" t="s">
        <v>3922</v>
      </c>
      <c r="P20" s="1482"/>
      <c r="Q20" s="1482"/>
      <c r="R20" s="1482"/>
      <c r="S20" s="1483"/>
    </row>
    <row r="21" spans="4:19" ht="4.1500000000000004" customHeight="1">
      <c r="D21" s="491"/>
      <c r="H21" s="1488"/>
      <c r="I21" s="1488"/>
      <c r="J21" s="1488"/>
      <c r="K21" s="719"/>
      <c r="L21" s="1488"/>
      <c r="M21" s="1488"/>
      <c r="N21" s="717"/>
      <c r="O21" s="1487"/>
      <c r="P21" s="1487"/>
      <c r="Q21" s="719"/>
      <c r="R21" s="1487"/>
      <c r="S21" s="1487"/>
    </row>
    <row r="22" spans="4:19" s="458" customFormat="1" ht="12.6" customHeight="1">
      <c r="D22" s="461" t="s">
        <v>3214</v>
      </c>
      <c r="E22" s="458" t="s">
        <v>2912</v>
      </c>
      <c r="F22" s="721"/>
      <c r="H22" s="1443"/>
      <c r="I22" s="1190"/>
      <c r="J22" s="1190"/>
      <c r="K22" s="1190"/>
      <c r="L22" s="1190"/>
      <c r="M22" s="1190"/>
      <c r="N22" s="1191"/>
      <c r="O22" s="714" t="s">
        <v>3067</v>
      </c>
      <c r="P22" s="714"/>
      <c r="Q22" s="1443"/>
      <c r="R22" s="1190"/>
      <c r="S22" s="1191"/>
    </row>
    <row r="23" spans="4:19" s="458" customFormat="1" ht="12.6" customHeight="1">
      <c r="D23" s="508"/>
      <c r="E23" s="464" t="s">
        <v>1642</v>
      </c>
      <c r="F23" s="472"/>
      <c r="H23" s="1443"/>
      <c r="I23" s="1190"/>
      <c r="J23" s="1190"/>
      <c r="K23" s="1190"/>
      <c r="L23" s="1190"/>
      <c r="M23" s="1190"/>
      <c r="N23" s="1191"/>
      <c r="O23" s="714" t="s">
        <v>2776</v>
      </c>
      <c r="Q23" s="1443"/>
      <c r="R23" s="1190"/>
      <c r="S23" s="1191"/>
    </row>
    <row r="24" spans="4:19" s="458" customFormat="1" ht="12.6" customHeight="1">
      <c r="D24" s="508"/>
      <c r="E24" s="464" t="s">
        <v>954</v>
      </c>
      <c r="H24" s="1443"/>
      <c r="I24" s="1190"/>
      <c r="J24" s="1191"/>
      <c r="O24" s="714" t="s">
        <v>2834</v>
      </c>
      <c r="Q24" s="1474"/>
      <c r="R24" s="1475"/>
      <c r="S24" s="1476"/>
    </row>
    <row r="25" spans="4:19" s="458" customFormat="1" ht="12.6" customHeight="1">
      <c r="E25" s="464" t="s">
        <v>2830</v>
      </c>
      <c r="H25" s="1440"/>
      <c r="I25" s="493" t="s">
        <v>3354</v>
      </c>
      <c r="J25" s="1477"/>
      <c r="K25" s="1191"/>
      <c r="O25" s="714" t="s">
        <v>3056</v>
      </c>
      <c r="Q25" s="1474"/>
      <c r="R25" s="1475"/>
      <c r="S25" s="1476"/>
    </row>
    <row r="26" spans="4:19" s="458" customFormat="1" ht="12.6" customHeight="1">
      <c r="D26" s="508"/>
      <c r="E26" s="464" t="s">
        <v>3062</v>
      </c>
      <c r="H26" s="1474"/>
      <c r="I26" s="1476"/>
      <c r="J26" s="1479"/>
      <c r="K26" s="719" t="s">
        <v>2833</v>
      </c>
      <c r="L26" s="1480"/>
      <c r="M26" s="1191"/>
      <c r="N26" s="466" t="s">
        <v>3061</v>
      </c>
      <c r="O26" s="1481"/>
      <c r="P26" s="1482"/>
      <c r="Q26" s="1482"/>
      <c r="R26" s="1482"/>
      <c r="S26" s="1483"/>
    </row>
    <row r="27" spans="4:19" s="458" customFormat="1" ht="4.1500000000000004" customHeight="1">
      <c r="D27" s="508"/>
      <c r="E27" s="721"/>
      <c r="F27" s="721"/>
      <c r="G27" s="714"/>
      <c r="H27" s="1488"/>
      <c r="I27" s="1488"/>
      <c r="J27" s="1488"/>
      <c r="K27" s="719"/>
      <c r="L27" s="1488"/>
      <c r="M27" s="1488"/>
      <c r="N27" s="717"/>
      <c r="O27" s="1487"/>
      <c r="P27" s="1487"/>
      <c r="Q27" s="719"/>
      <c r="R27" s="1487"/>
      <c r="S27" s="1487"/>
    </row>
    <row r="28" spans="4:19" s="458" customFormat="1" ht="12.6" customHeight="1">
      <c r="D28" s="461" t="s">
        <v>2762</v>
      </c>
      <c r="E28" s="458" t="s">
        <v>2912</v>
      </c>
      <c r="F28" s="721"/>
      <c r="H28" s="1443"/>
      <c r="I28" s="1190"/>
      <c r="J28" s="1190"/>
      <c r="K28" s="1190"/>
      <c r="L28" s="1190"/>
      <c r="M28" s="1190"/>
      <c r="N28" s="1191"/>
      <c r="O28" s="714" t="s">
        <v>3067</v>
      </c>
      <c r="P28" s="714"/>
      <c r="Q28" s="1443"/>
      <c r="R28" s="1190"/>
      <c r="S28" s="1191"/>
    </row>
    <row r="29" spans="4:19" s="458" customFormat="1" ht="12.6" customHeight="1">
      <c r="D29" s="508"/>
      <c r="E29" s="464" t="s">
        <v>1642</v>
      </c>
      <c r="F29" s="472"/>
      <c r="H29" s="1443"/>
      <c r="I29" s="1190"/>
      <c r="J29" s="1190"/>
      <c r="K29" s="1190"/>
      <c r="L29" s="1190"/>
      <c r="M29" s="1190"/>
      <c r="N29" s="1191"/>
      <c r="O29" s="714" t="s">
        <v>2776</v>
      </c>
      <c r="Q29" s="1443"/>
      <c r="R29" s="1190"/>
      <c r="S29" s="1191"/>
    </row>
    <row r="30" spans="4:19" s="458" customFormat="1" ht="12.6" customHeight="1">
      <c r="D30" s="508"/>
      <c r="E30" s="464" t="s">
        <v>954</v>
      </c>
      <c r="H30" s="1443"/>
      <c r="I30" s="1190"/>
      <c r="J30" s="1191"/>
      <c r="O30" s="714" t="s">
        <v>2834</v>
      </c>
      <c r="Q30" s="1474"/>
      <c r="R30" s="1475"/>
      <c r="S30" s="1476"/>
    </row>
    <row r="31" spans="4:19" s="458" customFormat="1" ht="12.6" customHeight="1">
      <c r="E31" s="464" t="s">
        <v>2830</v>
      </c>
      <c r="H31" s="1440"/>
      <c r="I31" s="493" t="s">
        <v>3354</v>
      </c>
      <c r="J31" s="1477"/>
      <c r="K31" s="1191"/>
      <c r="O31" s="714" t="s">
        <v>3056</v>
      </c>
      <c r="Q31" s="1474"/>
      <c r="R31" s="1475"/>
      <c r="S31" s="1476"/>
    </row>
    <row r="32" spans="4:19" s="458" customFormat="1" ht="12.6" customHeight="1">
      <c r="D32" s="508"/>
      <c r="E32" s="464" t="s">
        <v>3062</v>
      </c>
      <c r="H32" s="1474"/>
      <c r="I32" s="1476"/>
      <c r="J32" s="1479"/>
      <c r="K32" s="719" t="s">
        <v>2833</v>
      </c>
      <c r="L32" s="1480"/>
      <c r="M32" s="1191"/>
      <c r="N32" s="466" t="s">
        <v>3061</v>
      </c>
      <c r="O32" s="1481"/>
      <c r="P32" s="1482"/>
      <c r="Q32" s="1482"/>
      <c r="R32" s="1482"/>
      <c r="S32" s="1483"/>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6"/>
      <c r="I35" s="1486"/>
      <c r="J35" s="1486"/>
      <c r="K35" s="717"/>
      <c r="L35" s="1486"/>
      <c r="M35" s="1486"/>
      <c r="N35" s="717"/>
      <c r="O35" s="1487"/>
      <c r="P35" s="1487"/>
      <c r="Q35" s="719"/>
      <c r="R35" s="1487"/>
      <c r="S35" s="1487"/>
    </row>
    <row r="36" spans="3:19" s="458" customFormat="1" ht="12.6" customHeight="1">
      <c r="D36" s="461" t="s">
        <v>3213</v>
      </c>
      <c r="E36" s="458" t="s">
        <v>1240</v>
      </c>
      <c r="H36" s="1443" t="s">
        <v>3932</v>
      </c>
      <c r="I36" s="1190"/>
      <c r="J36" s="1190"/>
      <c r="K36" s="1190"/>
      <c r="L36" s="1190"/>
      <c r="M36" s="1190"/>
      <c r="N36" s="1191"/>
      <c r="O36" s="714" t="s">
        <v>3067</v>
      </c>
      <c r="P36" s="714"/>
      <c r="Q36" s="1443" t="s">
        <v>3934</v>
      </c>
      <c r="R36" s="1190"/>
      <c r="S36" s="1191"/>
    </row>
    <row r="37" spans="3:19" s="458" customFormat="1" ht="12.6" customHeight="1">
      <c r="D37" s="508"/>
      <c r="E37" s="464" t="s">
        <v>1642</v>
      </c>
      <c r="F37" s="472"/>
      <c r="H37" s="1443" t="s">
        <v>3933</v>
      </c>
      <c r="I37" s="1190"/>
      <c r="J37" s="1190"/>
      <c r="K37" s="1190"/>
      <c r="L37" s="1190"/>
      <c r="M37" s="1190"/>
      <c r="N37" s="1191"/>
      <c r="O37" s="714" t="s">
        <v>2776</v>
      </c>
      <c r="Q37" s="1443" t="s">
        <v>3935</v>
      </c>
      <c r="R37" s="1190"/>
      <c r="S37" s="1191"/>
    </row>
    <row r="38" spans="3:19" s="458" customFormat="1" ht="12.6" customHeight="1">
      <c r="D38" s="508"/>
      <c r="E38" s="464" t="s">
        <v>954</v>
      </c>
      <c r="H38" s="1443" t="s">
        <v>3817</v>
      </c>
      <c r="I38" s="1190"/>
      <c r="J38" s="1191"/>
      <c r="O38" s="714" t="s">
        <v>2834</v>
      </c>
      <c r="Q38" s="1474">
        <v>5734432021</v>
      </c>
      <c r="R38" s="1475"/>
      <c r="S38" s="1476"/>
    </row>
    <row r="39" spans="3:19" s="458" customFormat="1" ht="12.6" customHeight="1">
      <c r="E39" s="464" t="s">
        <v>2830</v>
      </c>
      <c r="H39" s="1440" t="s">
        <v>2044</v>
      </c>
      <c r="I39" s="493" t="s">
        <v>3354</v>
      </c>
      <c r="J39" s="1477">
        <v>652030000</v>
      </c>
      <c r="K39" s="1191"/>
      <c r="O39" s="714" t="s">
        <v>3056</v>
      </c>
      <c r="Q39" s="1474"/>
      <c r="R39" s="1475"/>
      <c r="S39" s="1476"/>
    </row>
    <row r="40" spans="3:19" s="458" customFormat="1" ht="12.6" customHeight="1">
      <c r="D40" s="508"/>
      <c r="E40" s="464" t="s">
        <v>3062</v>
      </c>
      <c r="H40" s="1474">
        <v>5734432021</v>
      </c>
      <c r="I40" s="1476"/>
      <c r="J40" s="1479"/>
      <c r="K40" s="719" t="s">
        <v>2833</v>
      </c>
      <c r="L40" s="1480">
        <v>5738747116</v>
      </c>
      <c r="M40" s="1191"/>
      <c r="N40" s="466" t="s">
        <v>3061</v>
      </c>
      <c r="O40" s="1481" t="s">
        <v>3936</v>
      </c>
      <c r="P40" s="1482"/>
      <c r="Q40" s="1482"/>
      <c r="R40" s="1482"/>
      <c r="S40" s="1483"/>
    </row>
    <row r="41" spans="3:19" ht="4.1500000000000004" customHeight="1">
      <c r="H41" s="1488"/>
      <c r="I41" s="1488"/>
      <c r="J41" s="1488"/>
      <c r="K41" s="719"/>
      <c r="L41" s="1488"/>
      <c r="M41" s="1488"/>
      <c r="N41" s="717"/>
      <c r="O41" s="1487"/>
      <c r="P41" s="1487"/>
      <c r="Q41" s="719"/>
      <c r="R41" s="1487"/>
      <c r="S41" s="1487"/>
    </row>
    <row r="42" spans="3:19" s="458" customFormat="1" ht="12.6" customHeight="1">
      <c r="D42" s="461" t="s">
        <v>3214</v>
      </c>
      <c r="E42" s="458" t="s">
        <v>1241</v>
      </c>
      <c r="F42" s="461"/>
      <c r="H42" s="1443" t="s">
        <v>3932</v>
      </c>
      <c r="I42" s="1190"/>
      <c r="J42" s="1190"/>
      <c r="K42" s="1190"/>
      <c r="L42" s="1190"/>
      <c r="M42" s="1190"/>
      <c r="N42" s="1191"/>
      <c r="O42" s="714" t="s">
        <v>3067</v>
      </c>
      <c r="P42" s="714"/>
      <c r="Q42" s="1443" t="s">
        <v>3934</v>
      </c>
      <c r="R42" s="1190"/>
      <c r="S42" s="1191"/>
    </row>
    <row r="43" spans="3:19" s="458" customFormat="1" ht="12.6" customHeight="1">
      <c r="D43" s="508"/>
      <c r="E43" s="464" t="s">
        <v>1642</v>
      </c>
      <c r="F43" s="472"/>
      <c r="H43" s="1443" t="s">
        <v>3933</v>
      </c>
      <c r="I43" s="1190"/>
      <c r="J43" s="1190"/>
      <c r="K43" s="1190"/>
      <c r="L43" s="1190"/>
      <c r="M43" s="1190"/>
      <c r="N43" s="1191"/>
      <c r="O43" s="714" t="s">
        <v>2776</v>
      </c>
      <c r="Q43" s="1443" t="s">
        <v>3935</v>
      </c>
      <c r="R43" s="1190"/>
      <c r="S43" s="1191"/>
    </row>
    <row r="44" spans="3:19" s="458" customFormat="1" ht="12.6" customHeight="1">
      <c r="D44" s="508"/>
      <c r="E44" s="464" t="s">
        <v>954</v>
      </c>
      <c r="H44" s="1443" t="s">
        <v>3817</v>
      </c>
      <c r="I44" s="1190"/>
      <c r="J44" s="1191"/>
      <c r="O44" s="714" t="s">
        <v>2834</v>
      </c>
      <c r="Q44" s="1474">
        <v>5734432021</v>
      </c>
      <c r="R44" s="1475"/>
      <c r="S44" s="1476"/>
    </row>
    <row r="45" spans="3:19" s="458" customFormat="1" ht="12.6" customHeight="1">
      <c r="D45" s="461"/>
      <c r="E45" s="464" t="s">
        <v>2830</v>
      </c>
      <c r="H45" s="1440" t="s">
        <v>2044</v>
      </c>
      <c r="I45" s="493" t="s">
        <v>3354</v>
      </c>
      <c r="J45" s="1477">
        <v>652030000</v>
      </c>
      <c r="K45" s="1191"/>
      <c r="O45" s="714" t="s">
        <v>3056</v>
      </c>
      <c r="Q45" s="1474"/>
      <c r="R45" s="1475"/>
      <c r="S45" s="1476"/>
    </row>
    <row r="46" spans="3:19" s="458" customFormat="1" ht="12.6" customHeight="1">
      <c r="D46" s="508"/>
      <c r="E46" s="464" t="s">
        <v>3062</v>
      </c>
      <c r="H46" s="1474">
        <v>5734432021</v>
      </c>
      <c r="I46" s="1476"/>
      <c r="J46" s="1479"/>
      <c r="K46" s="719" t="s">
        <v>2833</v>
      </c>
      <c r="L46" s="1480">
        <v>5738747116</v>
      </c>
      <c r="M46" s="1191"/>
      <c r="N46" s="466" t="s">
        <v>3061</v>
      </c>
      <c r="O46" s="1481" t="s">
        <v>3936</v>
      </c>
      <c r="P46" s="1482"/>
      <c r="Q46" s="1482"/>
      <c r="R46" s="1482"/>
      <c r="S46" s="1483"/>
    </row>
    <row r="47" spans="3:19" s="458" customFormat="1" ht="4.1500000000000004" customHeight="1">
      <c r="D47" s="508"/>
      <c r="E47" s="464"/>
      <c r="F47" s="461"/>
      <c r="H47" s="501"/>
      <c r="I47" s="501"/>
      <c r="J47" s="1489"/>
      <c r="K47" s="719"/>
      <c r="L47" s="501"/>
      <c r="M47" s="501"/>
      <c r="N47" s="719"/>
      <c r="O47" s="501"/>
      <c r="P47" s="501"/>
      <c r="Q47" s="719"/>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6"/>
      <c r="I49" s="1486"/>
      <c r="J49" s="1486"/>
      <c r="K49" s="717"/>
      <c r="L49" s="1486"/>
      <c r="M49" s="1486"/>
      <c r="N49" s="717"/>
      <c r="O49" s="1487"/>
      <c r="P49" s="1487"/>
      <c r="Q49" s="719"/>
      <c r="R49" s="1487"/>
      <c r="S49" s="1487"/>
    </row>
    <row r="50" spans="1:19" s="458" customFormat="1" ht="12.6" customHeight="1">
      <c r="E50" s="458" t="s">
        <v>103</v>
      </c>
      <c r="H50" s="1443"/>
      <c r="I50" s="1190"/>
      <c r="J50" s="1190"/>
      <c r="K50" s="1190"/>
      <c r="L50" s="1190"/>
      <c r="M50" s="1190"/>
      <c r="N50" s="1191"/>
      <c r="O50" s="714" t="s">
        <v>3067</v>
      </c>
      <c r="P50" s="714"/>
      <c r="Q50" s="1443"/>
      <c r="R50" s="1190"/>
      <c r="S50" s="1191"/>
    </row>
    <row r="51" spans="1:19" s="458" customFormat="1" ht="12.6" customHeight="1">
      <c r="D51" s="508"/>
      <c r="E51" s="464" t="s">
        <v>1642</v>
      </c>
      <c r="F51" s="472"/>
      <c r="H51" s="1443"/>
      <c r="I51" s="1190"/>
      <c r="J51" s="1190"/>
      <c r="K51" s="1190"/>
      <c r="L51" s="1190"/>
      <c r="M51" s="1190"/>
      <c r="N51" s="1191"/>
      <c r="O51" s="714" t="s">
        <v>2776</v>
      </c>
      <c r="Q51" s="1443"/>
      <c r="R51" s="1190"/>
      <c r="S51" s="1191"/>
    </row>
    <row r="52" spans="1:19" s="458" customFormat="1" ht="12.6" customHeight="1">
      <c r="D52" s="508"/>
      <c r="E52" s="464" t="s">
        <v>954</v>
      </c>
      <c r="H52" s="1443"/>
      <c r="I52" s="1190"/>
      <c r="J52" s="1191"/>
      <c r="O52" s="714" t="s">
        <v>2834</v>
      </c>
      <c r="Q52" s="1474"/>
      <c r="R52" s="1475"/>
      <c r="S52" s="1476"/>
    </row>
    <row r="53" spans="1:19" s="458" customFormat="1" ht="12.6" customHeight="1">
      <c r="E53" s="464" t="s">
        <v>2830</v>
      </c>
      <c r="H53" s="1440"/>
      <c r="I53" s="493" t="s">
        <v>3354</v>
      </c>
      <c r="J53" s="1477"/>
      <c r="K53" s="1191"/>
      <c r="O53" s="714" t="s">
        <v>3056</v>
      </c>
      <c r="Q53" s="1474"/>
      <c r="R53" s="1475"/>
      <c r="S53" s="1476"/>
    </row>
    <row r="54" spans="1:19" s="458" customFormat="1" ht="12.6" customHeight="1">
      <c r="D54" s="508"/>
      <c r="E54" s="464" t="s">
        <v>3062</v>
      </c>
      <c r="H54" s="1474"/>
      <c r="I54" s="1476"/>
      <c r="J54" s="1479"/>
      <c r="K54" s="719" t="s">
        <v>2833</v>
      </c>
      <c r="L54" s="1480"/>
      <c r="M54" s="1191"/>
      <c r="N54" s="466" t="s">
        <v>3061</v>
      </c>
      <c r="O54" s="1481"/>
      <c r="P54" s="1482"/>
      <c r="Q54" s="1482"/>
      <c r="R54" s="1482"/>
      <c r="S54" s="1483"/>
    </row>
    <row r="55" spans="1:19" ht="13.15" customHeight="1"/>
    <row r="56" spans="1:19" s="458" customFormat="1" ht="13.15" customHeight="1">
      <c r="A56" s="461" t="s">
        <v>1230</v>
      </c>
      <c r="B56" s="461" t="s">
        <v>996</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6"/>
      <c r="I57" s="1486"/>
      <c r="J57" s="1486"/>
      <c r="K57" s="717"/>
      <c r="L57" s="1486"/>
      <c r="M57" s="1486"/>
      <c r="N57" s="717"/>
      <c r="O57" s="1487"/>
      <c r="P57" s="1487"/>
      <c r="Q57" s="719"/>
      <c r="R57" s="1487"/>
      <c r="S57" s="1487"/>
    </row>
    <row r="58" spans="1:19" s="458" customFormat="1" ht="13.15" customHeight="1">
      <c r="B58" s="461" t="s">
        <v>3060</v>
      </c>
      <c r="C58" s="461" t="s">
        <v>376</v>
      </c>
      <c r="H58" s="1443" t="s">
        <v>3937</v>
      </c>
      <c r="I58" s="1190"/>
      <c r="J58" s="1190"/>
      <c r="K58" s="1190"/>
      <c r="L58" s="1190"/>
      <c r="M58" s="1190"/>
      <c r="N58" s="1191"/>
      <c r="O58" s="714" t="s">
        <v>3067</v>
      </c>
      <c r="P58" s="714"/>
      <c r="Q58" s="1443" t="s">
        <v>3920</v>
      </c>
      <c r="R58" s="1190"/>
      <c r="S58" s="1191"/>
    </row>
    <row r="59" spans="1:19" s="458" customFormat="1" ht="13.15" customHeight="1">
      <c r="D59" s="508"/>
      <c r="E59" s="464" t="s">
        <v>1642</v>
      </c>
      <c r="F59" s="472"/>
      <c r="H59" s="1443" t="s">
        <v>3921</v>
      </c>
      <c r="I59" s="1190"/>
      <c r="J59" s="1190"/>
      <c r="K59" s="1190"/>
      <c r="L59" s="1190"/>
      <c r="M59" s="1190"/>
      <c r="N59" s="1191"/>
      <c r="O59" s="714" t="s">
        <v>2776</v>
      </c>
      <c r="Q59" s="1443" t="s">
        <v>3938</v>
      </c>
      <c r="R59" s="1190"/>
      <c r="S59" s="1191"/>
    </row>
    <row r="60" spans="1:19" s="458" customFormat="1" ht="13.15" customHeight="1">
      <c r="D60" s="508"/>
      <c r="E60" s="464" t="s">
        <v>954</v>
      </c>
      <c r="H60" s="1443" t="s">
        <v>704</v>
      </c>
      <c r="I60" s="1190"/>
      <c r="J60" s="1191"/>
      <c r="O60" s="714" t="s">
        <v>2834</v>
      </c>
      <c r="Q60" s="1474">
        <v>9127293584</v>
      </c>
      <c r="R60" s="1475"/>
      <c r="S60" s="1476"/>
    </row>
    <row r="61" spans="1:19" s="458" customFormat="1" ht="13.15" customHeight="1">
      <c r="E61" s="464" t="s">
        <v>2830</v>
      </c>
      <c r="H61" s="1440" t="s">
        <v>1439</v>
      </c>
      <c r="I61" s="493" t="s">
        <v>3354</v>
      </c>
      <c r="J61" s="1477">
        <v>315480000</v>
      </c>
      <c r="K61" s="1191"/>
      <c r="O61" s="714" t="s">
        <v>3056</v>
      </c>
      <c r="Q61" s="1474">
        <v>9123221148</v>
      </c>
      <c r="R61" s="1475"/>
      <c r="S61" s="1476"/>
    </row>
    <row r="62" spans="1:19" s="458" customFormat="1" ht="13.15" customHeight="1">
      <c r="D62" s="508"/>
      <c r="E62" s="464" t="s">
        <v>3062</v>
      </c>
      <c r="H62" s="1474">
        <v>9127293564</v>
      </c>
      <c r="I62" s="1476"/>
      <c r="J62" s="1479"/>
      <c r="K62" s="719" t="s">
        <v>2833</v>
      </c>
      <c r="L62" s="1480">
        <v>9127291325</v>
      </c>
      <c r="M62" s="1191"/>
      <c r="N62" s="466" t="s">
        <v>3061</v>
      </c>
      <c r="O62" s="1481" t="s">
        <v>3922</v>
      </c>
      <c r="P62" s="1482"/>
      <c r="Q62" s="1482"/>
      <c r="R62" s="1482"/>
      <c r="S62" s="1483"/>
    </row>
    <row r="63" spans="1:19" s="458" customFormat="1" ht="6.6" customHeight="1">
      <c r="D63" s="508"/>
      <c r="E63" s="721"/>
      <c r="F63" s="721"/>
      <c r="G63" s="714"/>
      <c r="H63" s="1488"/>
      <c r="I63" s="1488"/>
      <c r="J63" s="1488"/>
      <c r="K63" s="719"/>
      <c r="L63" s="1488"/>
      <c r="M63" s="1488"/>
      <c r="N63" s="717"/>
      <c r="O63" s="1487"/>
      <c r="P63" s="1487"/>
      <c r="Q63" s="719"/>
      <c r="R63" s="1487"/>
      <c r="S63" s="1487"/>
    </row>
    <row r="64" spans="1:19" s="458" customFormat="1" ht="13.15" customHeight="1">
      <c r="B64" s="461" t="s">
        <v>3063</v>
      </c>
      <c r="C64" s="461" t="s">
        <v>377</v>
      </c>
      <c r="H64" s="1443"/>
      <c r="I64" s="1190"/>
      <c r="J64" s="1190"/>
      <c r="K64" s="1190"/>
      <c r="L64" s="1190"/>
      <c r="M64" s="1190"/>
      <c r="N64" s="1191"/>
      <c r="O64" s="714" t="s">
        <v>3067</v>
      </c>
      <c r="P64" s="714"/>
      <c r="Q64" s="1443"/>
      <c r="R64" s="1190"/>
      <c r="S64" s="1191"/>
    </row>
    <row r="65" spans="2:19" s="458" customFormat="1" ht="13.15" customHeight="1">
      <c r="D65" s="508"/>
      <c r="E65" s="464" t="s">
        <v>1642</v>
      </c>
      <c r="F65" s="472"/>
      <c r="H65" s="1443"/>
      <c r="I65" s="1190"/>
      <c r="J65" s="1190"/>
      <c r="K65" s="1190"/>
      <c r="L65" s="1190"/>
      <c r="M65" s="1190"/>
      <c r="N65" s="1191"/>
      <c r="O65" s="714" t="s">
        <v>2776</v>
      </c>
      <c r="Q65" s="1443"/>
      <c r="R65" s="1190"/>
      <c r="S65" s="1191"/>
    </row>
    <row r="66" spans="2:19" s="458" customFormat="1" ht="13.15" customHeight="1">
      <c r="D66" s="508"/>
      <c r="E66" s="464" t="s">
        <v>954</v>
      </c>
      <c r="H66" s="1443"/>
      <c r="I66" s="1190"/>
      <c r="J66" s="1191"/>
      <c r="O66" s="714" t="s">
        <v>2834</v>
      </c>
      <c r="Q66" s="1474"/>
      <c r="R66" s="1475"/>
      <c r="S66" s="1476"/>
    </row>
    <row r="67" spans="2:19" s="458" customFormat="1" ht="13.15" customHeight="1">
      <c r="E67" s="464" t="s">
        <v>2830</v>
      </c>
      <c r="H67" s="1440"/>
      <c r="I67" s="493" t="s">
        <v>3354</v>
      </c>
      <c r="J67" s="1477"/>
      <c r="K67" s="1191"/>
      <c r="O67" s="714" t="s">
        <v>3056</v>
      </c>
      <c r="Q67" s="1474"/>
      <c r="R67" s="1475"/>
      <c r="S67" s="1476"/>
    </row>
    <row r="68" spans="2:19" s="458" customFormat="1" ht="13.15" customHeight="1">
      <c r="D68" s="508"/>
      <c r="E68" s="464" t="s">
        <v>3062</v>
      </c>
      <c r="H68" s="1474"/>
      <c r="I68" s="1476"/>
      <c r="J68" s="1479"/>
      <c r="K68" s="719" t="s">
        <v>2833</v>
      </c>
      <c r="L68" s="1480"/>
      <c r="M68" s="1191"/>
      <c r="N68" s="466" t="s">
        <v>3061</v>
      </c>
      <c r="O68" s="1481"/>
      <c r="P68" s="1482"/>
      <c r="Q68" s="1482"/>
      <c r="R68" s="1482"/>
      <c r="S68" s="1483"/>
    </row>
    <row r="69" spans="2:19" s="458" customFormat="1" ht="6.6" customHeight="1">
      <c r="D69" s="508"/>
      <c r="E69" s="721"/>
      <c r="F69" s="721"/>
      <c r="G69" s="714"/>
      <c r="H69" s="1488"/>
      <c r="I69" s="1488"/>
      <c r="J69" s="1488"/>
      <c r="K69" s="719"/>
      <c r="L69" s="1488"/>
      <c r="M69" s="1488"/>
      <c r="N69" s="717"/>
      <c r="O69" s="1487"/>
      <c r="P69" s="1487"/>
      <c r="Q69" s="719"/>
      <c r="R69" s="1487"/>
      <c r="S69" s="1487"/>
    </row>
    <row r="70" spans="2:19" s="458" customFormat="1" ht="13.15" customHeight="1">
      <c r="B70" s="461" t="s">
        <v>1239</v>
      </c>
      <c r="C70" s="461" t="s">
        <v>2280</v>
      </c>
      <c r="H70" s="1443"/>
      <c r="I70" s="1190"/>
      <c r="J70" s="1190"/>
      <c r="K70" s="1190"/>
      <c r="L70" s="1190"/>
      <c r="M70" s="1190"/>
      <c r="N70" s="1191"/>
      <c r="O70" s="714" t="s">
        <v>3067</v>
      </c>
      <c r="P70" s="714"/>
      <c r="Q70" s="1443"/>
      <c r="R70" s="1190"/>
      <c r="S70" s="1191"/>
    </row>
    <row r="71" spans="2:19" s="458" customFormat="1" ht="13.15" customHeight="1">
      <c r="D71" s="508"/>
      <c r="E71" s="464" t="s">
        <v>1642</v>
      </c>
      <c r="F71" s="472"/>
      <c r="H71" s="1443"/>
      <c r="I71" s="1190"/>
      <c r="J71" s="1190"/>
      <c r="K71" s="1190"/>
      <c r="L71" s="1190"/>
      <c r="M71" s="1190"/>
      <c r="N71" s="1191"/>
      <c r="O71" s="714" t="s">
        <v>2776</v>
      </c>
      <c r="Q71" s="1443"/>
      <c r="R71" s="1190"/>
      <c r="S71" s="1191"/>
    </row>
    <row r="72" spans="2:19" s="458" customFormat="1" ht="13.15" customHeight="1">
      <c r="D72" s="508"/>
      <c r="E72" s="464" t="s">
        <v>954</v>
      </c>
      <c r="H72" s="1443"/>
      <c r="I72" s="1190"/>
      <c r="J72" s="1191"/>
      <c r="O72" s="714" t="s">
        <v>2834</v>
      </c>
      <c r="Q72" s="1474"/>
      <c r="R72" s="1475"/>
      <c r="S72" s="1476"/>
    </row>
    <row r="73" spans="2:19" s="458" customFormat="1" ht="13.15" customHeight="1">
      <c r="E73" s="464" t="s">
        <v>2830</v>
      </c>
      <c r="H73" s="1440"/>
      <c r="I73" s="493" t="s">
        <v>3354</v>
      </c>
      <c r="J73" s="1477"/>
      <c r="K73" s="1191"/>
      <c r="O73" s="714" t="s">
        <v>3056</v>
      </c>
      <c r="Q73" s="1474"/>
      <c r="R73" s="1475"/>
      <c r="S73" s="1476"/>
    </row>
    <row r="74" spans="2:19" s="458" customFormat="1" ht="13.15" customHeight="1">
      <c r="D74" s="508"/>
      <c r="E74" s="464" t="s">
        <v>3062</v>
      </c>
      <c r="H74" s="1474"/>
      <c r="I74" s="1476"/>
      <c r="J74" s="1479"/>
      <c r="K74" s="719" t="s">
        <v>2833</v>
      </c>
      <c r="L74" s="1480"/>
      <c r="M74" s="1191"/>
      <c r="N74" s="466" t="s">
        <v>3061</v>
      </c>
      <c r="O74" s="1481"/>
      <c r="P74" s="1482"/>
      <c r="Q74" s="1482"/>
      <c r="R74" s="1482"/>
      <c r="S74" s="1483"/>
    </row>
    <row r="75" spans="2:19" ht="6.6" customHeight="1">
      <c r="H75" s="1488"/>
      <c r="I75" s="1488"/>
      <c r="J75" s="1488"/>
      <c r="K75" s="719"/>
      <c r="L75" s="1488"/>
      <c r="M75" s="1488"/>
      <c r="N75" s="717"/>
      <c r="O75" s="1487"/>
      <c r="P75" s="1487"/>
      <c r="Q75" s="719"/>
      <c r="R75" s="1487"/>
      <c r="S75" s="1487"/>
    </row>
    <row r="76" spans="2:19" s="458" customFormat="1" ht="13.15" customHeight="1">
      <c r="B76" s="461" t="s">
        <v>3212</v>
      </c>
      <c r="C76" s="461" t="s">
        <v>378</v>
      </c>
      <c r="H76" s="1443" t="s">
        <v>3952</v>
      </c>
      <c r="I76" s="1190"/>
      <c r="J76" s="1190"/>
      <c r="K76" s="1190"/>
      <c r="L76" s="1190"/>
      <c r="M76" s="1190"/>
      <c r="N76" s="1191"/>
      <c r="O76" s="714" t="s">
        <v>3067</v>
      </c>
      <c r="P76" s="714"/>
      <c r="Q76" s="1443" t="s">
        <v>3953</v>
      </c>
      <c r="R76" s="1190"/>
      <c r="S76" s="1191"/>
    </row>
    <row r="77" spans="2:19" s="458" customFormat="1" ht="13.15" customHeight="1">
      <c r="D77" s="508"/>
      <c r="E77" s="464" t="s">
        <v>1642</v>
      </c>
      <c r="F77" s="472"/>
      <c r="H77" s="1443" t="s">
        <v>3956</v>
      </c>
      <c r="I77" s="1190"/>
      <c r="J77" s="1190"/>
      <c r="K77" s="1190"/>
      <c r="L77" s="1190"/>
      <c r="M77" s="1190"/>
      <c r="N77" s="1191"/>
      <c r="O77" s="714" t="s">
        <v>2776</v>
      </c>
      <c r="Q77" s="1443" t="s">
        <v>3954</v>
      </c>
      <c r="R77" s="1190"/>
      <c r="S77" s="1191"/>
    </row>
    <row r="78" spans="2:19" s="458" customFormat="1" ht="13.15" customHeight="1">
      <c r="D78" s="508"/>
      <c r="E78" s="464" t="s">
        <v>954</v>
      </c>
      <c r="H78" s="1443" t="s">
        <v>1867</v>
      </c>
      <c r="I78" s="1190"/>
      <c r="J78" s="1191"/>
      <c r="O78" s="714" t="s">
        <v>2834</v>
      </c>
      <c r="Q78" s="1474"/>
      <c r="R78" s="1475"/>
      <c r="S78" s="1476"/>
    </row>
    <row r="79" spans="2:19" s="458" customFormat="1" ht="13.15" customHeight="1">
      <c r="E79" s="464" t="s">
        <v>2830</v>
      </c>
      <c r="H79" s="1440" t="s">
        <v>1439</v>
      </c>
      <c r="I79" s="493" t="s">
        <v>3354</v>
      </c>
      <c r="J79" s="1477">
        <v>303270000</v>
      </c>
      <c r="K79" s="1191"/>
      <c r="O79" s="714" t="s">
        <v>3056</v>
      </c>
      <c r="Q79" s="1474">
        <v>5734244587</v>
      </c>
      <c r="R79" s="1475"/>
      <c r="S79" s="1476"/>
    </row>
    <row r="80" spans="2:19" s="458" customFormat="1" ht="13.15" customHeight="1">
      <c r="D80" s="508"/>
      <c r="E80" s="464" t="s">
        <v>3062</v>
      </c>
      <c r="H80" s="1474">
        <v>4048412227</v>
      </c>
      <c r="I80" s="1476"/>
      <c r="J80" s="1479"/>
      <c r="K80" s="719" t="s">
        <v>2833</v>
      </c>
      <c r="L80" s="1480"/>
      <c r="M80" s="1191"/>
      <c r="N80" s="466" t="s">
        <v>3061</v>
      </c>
      <c r="O80" s="1481" t="s">
        <v>3955</v>
      </c>
      <c r="P80" s="1482"/>
      <c r="Q80" s="1482"/>
      <c r="R80" s="1482"/>
      <c r="S80" s="1483"/>
    </row>
    <row r="81" spans="1:19" ht="13.15" customHeight="1"/>
    <row r="82" spans="1:19" s="464" customFormat="1" ht="13.15" customHeight="1">
      <c r="A82" s="465" t="s">
        <v>1232</v>
      </c>
      <c r="B82" s="465" t="s">
        <v>379</v>
      </c>
      <c r="D82" s="465"/>
      <c r="E82" s="714"/>
      <c r="F82" s="395"/>
      <c r="G82" s="395"/>
      <c r="H82" s="395"/>
      <c r="I82" s="395"/>
      <c r="J82" s="395"/>
      <c r="K82" s="395"/>
      <c r="L82" s="395"/>
      <c r="M82" s="395"/>
    </row>
    <row r="83" spans="1:19" s="464" customFormat="1" ht="9" customHeight="1">
      <c r="A83" s="465"/>
      <c r="B83" s="465"/>
      <c r="D83" s="465"/>
      <c r="E83" s="714"/>
      <c r="F83" s="395"/>
      <c r="G83" s="395"/>
      <c r="H83" s="1486"/>
      <c r="I83" s="1486"/>
      <c r="J83" s="1486"/>
      <c r="K83" s="717"/>
      <c r="L83" s="1486"/>
      <c r="M83" s="1486"/>
      <c r="N83" s="717"/>
      <c r="O83" s="1487"/>
      <c r="P83" s="1487"/>
      <c r="Q83" s="719"/>
      <c r="R83" s="1487"/>
      <c r="S83" s="1487"/>
    </row>
    <row r="84" spans="1:19" s="458" customFormat="1" ht="13.15" customHeight="1">
      <c r="B84" s="461" t="s">
        <v>3060</v>
      </c>
      <c r="C84" s="461" t="s">
        <v>380</v>
      </c>
      <c r="H84" s="1443"/>
      <c r="I84" s="1190"/>
      <c r="J84" s="1190"/>
      <c r="K84" s="1190"/>
      <c r="L84" s="1190"/>
      <c r="M84" s="1190"/>
      <c r="N84" s="1191"/>
      <c r="O84" s="714" t="s">
        <v>3067</v>
      </c>
      <c r="P84" s="714"/>
      <c r="Q84" s="1443"/>
      <c r="R84" s="1190"/>
      <c r="S84" s="1191"/>
    </row>
    <row r="85" spans="1:19" s="458" customFormat="1" ht="13.15" customHeight="1">
      <c r="D85" s="508"/>
      <c r="E85" s="464" t="s">
        <v>1642</v>
      </c>
      <c r="F85" s="472"/>
      <c r="H85" s="1443"/>
      <c r="I85" s="1190"/>
      <c r="J85" s="1190"/>
      <c r="K85" s="1190"/>
      <c r="L85" s="1190"/>
      <c r="M85" s="1190"/>
      <c r="N85" s="1191"/>
      <c r="O85" s="714" t="s">
        <v>2776</v>
      </c>
      <c r="Q85" s="1443"/>
      <c r="R85" s="1190"/>
      <c r="S85" s="1191"/>
    </row>
    <row r="86" spans="1:19" s="458" customFormat="1" ht="13.15" customHeight="1">
      <c r="D86" s="508"/>
      <c r="E86" s="464" t="s">
        <v>954</v>
      </c>
      <c r="H86" s="1443"/>
      <c r="I86" s="1190"/>
      <c r="J86" s="1191"/>
      <c r="O86" s="714" t="s">
        <v>2834</v>
      </c>
      <c r="Q86" s="1474"/>
      <c r="R86" s="1475"/>
      <c r="S86" s="1476"/>
    </row>
    <row r="87" spans="1:19" s="458" customFormat="1" ht="13.15" customHeight="1">
      <c r="E87" s="464" t="s">
        <v>2830</v>
      </c>
      <c r="H87" s="1440"/>
      <c r="I87" s="493" t="s">
        <v>3354</v>
      </c>
      <c r="J87" s="1477"/>
      <c r="K87" s="1191"/>
      <c r="O87" s="714" t="s">
        <v>3056</v>
      </c>
      <c r="Q87" s="1474"/>
      <c r="R87" s="1475"/>
      <c r="S87" s="1476"/>
    </row>
    <row r="88" spans="1:19" s="458" customFormat="1" ht="13.15" customHeight="1">
      <c r="D88" s="508"/>
      <c r="E88" s="464" t="s">
        <v>3062</v>
      </c>
      <c r="H88" s="1474"/>
      <c r="I88" s="1476"/>
      <c r="J88" s="1479"/>
      <c r="K88" s="719" t="s">
        <v>2833</v>
      </c>
      <c r="L88" s="1480"/>
      <c r="M88" s="1191"/>
      <c r="N88" s="466" t="s">
        <v>3061</v>
      </c>
      <c r="O88" s="1481"/>
      <c r="P88" s="1482"/>
      <c r="Q88" s="1482"/>
      <c r="R88" s="1482"/>
      <c r="S88" s="1483"/>
    </row>
    <row r="89" spans="1:19" ht="6.6" customHeight="1">
      <c r="H89" s="1488"/>
      <c r="I89" s="1488"/>
      <c r="J89" s="1488"/>
      <c r="K89" s="719"/>
      <c r="L89" s="1488"/>
      <c r="M89" s="1488"/>
      <c r="N89" s="717"/>
      <c r="O89" s="1487"/>
      <c r="P89" s="1487"/>
      <c r="Q89" s="719"/>
      <c r="R89" s="1487"/>
      <c r="S89" s="1487"/>
    </row>
    <row r="90" spans="1:19" s="458" customFormat="1" ht="13.15" customHeight="1">
      <c r="B90" s="461" t="s">
        <v>3063</v>
      </c>
      <c r="C90" s="461" t="s">
        <v>381</v>
      </c>
      <c r="H90" s="1443" t="s">
        <v>3937</v>
      </c>
      <c r="I90" s="1190"/>
      <c r="J90" s="1190"/>
      <c r="K90" s="1190"/>
      <c r="L90" s="1190"/>
      <c r="M90" s="1190"/>
      <c r="N90" s="1191"/>
      <c r="O90" s="714" t="s">
        <v>3067</v>
      </c>
      <c r="P90" s="714"/>
      <c r="Q90" s="1443" t="s">
        <v>3972</v>
      </c>
      <c r="R90" s="1190"/>
      <c r="S90" s="1191"/>
    </row>
    <row r="91" spans="1:19" s="458" customFormat="1" ht="13.15" customHeight="1">
      <c r="D91" s="508"/>
      <c r="E91" s="464" t="s">
        <v>1642</v>
      </c>
      <c r="F91" s="472"/>
      <c r="H91" s="1443" t="s">
        <v>3921</v>
      </c>
      <c r="I91" s="1190"/>
      <c r="J91" s="1190"/>
      <c r="K91" s="1190"/>
      <c r="L91" s="1190"/>
      <c r="M91" s="1190"/>
      <c r="N91" s="1191"/>
      <c r="O91" s="714" t="s">
        <v>2776</v>
      </c>
      <c r="Q91" s="1443" t="s">
        <v>3938</v>
      </c>
      <c r="R91" s="1190"/>
      <c r="S91" s="1191"/>
    </row>
    <row r="92" spans="1:19" s="458" customFormat="1" ht="13.15" customHeight="1">
      <c r="D92" s="508"/>
      <c r="E92" s="464" t="s">
        <v>954</v>
      </c>
      <c r="H92" s="1443" t="s">
        <v>704</v>
      </c>
      <c r="I92" s="1190"/>
      <c r="J92" s="1191"/>
      <c r="O92" s="714" t="s">
        <v>2834</v>
      </c>
      <c r="Q92" s="1474">
        <v>9127293584</v>
      </c>
      <c r="R92" s="1475"/>
      <c r="S92" s="1476"/>
    </row>
    <row r="93" spans="1:19" s="458" customFormat="1" ht="13.15" customHeight="1">
      <c r="E93" s="464" t="s">
        <v>2830</v>
      </c>
      <c r="H93" s="1440" t="s">
        <v>1439</v>
      </c>
      <c r="I93" s="493" t="s">
        <v>3354</v>
      </c>
      <c r="J93" s="1477">
        <v>315480000</v>
      </c>
      <c r="K93" s="1191"/>
      <c r="O93" s="714" t="s">
        <v>3056</v>
      </c>
      <c r="Q93" s="1474">
        <v>9123221148</v>
      </c>
      <c r="R93" s="1475"/>
      <c r="S93" s="1476"/>
    </row>
    <row r="94" spans="1:19" s="458" customFormat="1" ht="13.15" customHeight="1">
      <c r="D94" s="508"/>
      <c r="E94" s="464" t="s">
        <v>3062</v>
      </c>
      <c r="H94" s="1474">
        <v>9127293564</v>
      </c>
      <c r="I94" s="1476"/>
      <c r="J94" s="1479"/>
      <c r="K94" s="719" t="s">
        <v>2833</v>
      </c>
      <c r="L94" s="1480">
        <v>9127291325</v>
      </c>
      <c r="M94" s="1191"/>
      <c r="N94" s="466" t="s">
        <v>3061</v>
      </c>
      <c r="O94" s="1481" t="s">
        <v>3922</v>
      </c>
      <c r="P94" s="1482"/>
      <c r="Q94" s="1482"/>
      <c r="R94" s="1482"/>
      <c r="S94" s="1483"/>
    </row>
    <row r="95" spans="1:19" ht="6.6" customHeight="1">
      <c r="H95" s="1488"/>
      <c r="I95" s="1488"/>
      <c r="J95" s="1488"/>
      <c r="K95" s="719"/>
      <c r="L95" s="1488"/>
      <c r="M95" s="1488"/>
      <c r="N95" s="717"/>
      <c r="O95" s="1487"/>
      <c r="P95" s="1487"/>
      <c r="Q95" s="719"/>
      <c r="R95" s="1487"/>
      <c r="S95" s="1487"/>
    </row>
    <row r="96" spans="1:19" s="458" customFormat="1" ht="13.15" customHeight="1">
      <c r="B96" s="461" t="s">
        <v>1239</v>
      </c>
      <c r="C96" s="461" t="s">
        <v>382</v>
      </c>
      <c r="F96" s="482"/>
      <c r="H96" s="1443" t="s">
        <v>3939</v>
      </c>
      <c r="I96" s="1190"/>
      <c r="J96" s="1190"/>
      <c r="K96" s="1190"/>
      <c r="L96" s="1190"/>
      <c r="M96" s="1190"/>
      <c r="N96" s="1191"/>
      <c r="O96" s="714" t="s">
        <v>3067</v>
      </c>
      <c r="P96" s="714"/>
      <c r="Q96" s="1443" t="s">
        <v>3940</v>
      </c>
      <c r="R96" s="1190"/>
      <c r="S96" s="1191"/>
    </row>
    <row r="97" spans="2:19" s="458" customFormat="1" ht="13.15" customHeight="1">
      <c r="D97" s="508"/>
      <c r="E97" s="464" t="s">
        <v>1642</v>
      </c>
      <c r="F97" s="472"/>
      <c r="H97" s="1443" t="s">
        <v>3933</v>
      </c>
      <c r="I97" s="1190"/>
      <c r="J97" s="1190"/>
      <c r="K97" s="1190"/>
      <c r="L97" s="1190"/>
      <c r="M97" s="1190"/>
      <c r="N97" s="1191"/>
      <c r="O97" s="714" t="s">
        <v>2776</v>
      </c>
      <c r="Q97" s="1443" t="s">
        <v>3942</v>
      </c>
      <c r="R97" s="1190"/>
      <c r="S97" s="1191"/>
    </row>
    <row r="98" spans="2:19" s="458" customFormat="1" ht="13.15" customHeight="1">
      <c r="D98" s="508"/>
      <c r="E98" s="464" t="s">
        <v>954</v>
      </c>
      <c r="H98" s="1443" t="s">
        <v>3817</v>
      </c>
      <c r="I98" s="1190"/>
      <c r="J98" s="1191"/>
      <c r="O98" s="714" t="s">
        <v>2834</v>
      </c>
      <c r="Q98" s="1474">
        <v>5734432021</v>
      </c>
      <c r="R98" s="1475"/>
      <c r="S98" s="1476"/>
    </row>
    <row r="99" spans="2:19" s="458" customFormat="1" ht="13.15" customHeight="1">
      <c r="D99" s="508"/>
      <c r="E99" s="464" t="s">
        <v>2830</v>
      </c>
      <c r="H99" s="1440" t="s">
        <v>2044</v>
      </c>
      <c r="I99" s="493" t="s">
        <v>3354</v>
      </c>
      <c r="J99" s="1477">
        <v>652030000</v>
      </c>
      <c r="K99" s="1191"/>
      <c r="O99" s="714" t="s">
        <v>3056</v>
      </c>
      <c r="Q99" s="1474"/>
      <c r="R99" s="1475"/>
      <c r="S99" s="1476"/>
    </row>
    <row r="100" spans="2:19" s="458" customFormat="1" ht="13.15" customHeight="1">
      <c r="D100" s="508"/>
      <c r="E100" s="464" t="s">
        <v>3062</v>
      </c>
      <c r="H100" s="1474">
        <v>5734432021</v>
      </c>
      <c r="I100" s="1476"/>
      <c r="J100" s="1479"/>
      <c r="K100" s="719" t="s">
        <v>2833</v>
      </c>
      <c r="L100" s="1480">
        <v>5734432725</v>
      </c>
      <c r="M100" s="1191"/>
      <c r="N100" s="466" t="s">
        <v>3061</v>
      </c>
      <c r="O100" s="1481" t="s">
        <v>3941</v>
      </c>
      <c r="P100" s="1482"/>
      <c r="Q100" s="1482"/>
      <c r="R100" s="1482"/>
      <c r="S100" s="1483"/>
    </row>
    <row r="101" spans="2:19" ht="6.6" customHeight="1">
      <c r="H101" s="1488"/>
      <c r="I101" s="1488"/>
      <c r="J101" s="1488"/>
      <c r="K101" s="719"/>
      <c r="L101" s="1488"/>
      <c r="M101" s="1488"/>
      <c r="N101" s="717"/>
      <c r="O101" s="1487"/>
      <c r="P101" s="1487"/>
      <c r="Q101" s="719"/>
      <c r="R101" s="1487"/>
      <c r="S101" s="1487"/>
    </row>
    <row r="102" spans="2:19" s="458" customFormat="1" ht="13.15" customHeight="1">
      <c r="B102" s="461" t="s">
        <v>3212</v>
      </c>
      <c r="C102" s="461" t="s">
        <v>383</v>
      </c>
      <c r="H102" s="1443" t="s">
        <v>3943</v>
      </c>
      <c r="I102" s="1190"/>
      <c r="J102" s="1190"/>
      <c r="K102" s="1190"/>
      <c r="L102" s="1190"/>
      <c r="M102" s="1190"/>
      <c r="N102" s="1191"/>
      <c r="O102" s="714" t="s">
        <v>3067</v>
      </c>
      <c r="P102" s="714"/>
      <c r="Q102" s="1443" t="s">
        <v>3945</v>
      </c>
      <c r="R102" s="1190"/>
      <c r="S102" s="1191"/>
    </row>
    <row r="103" spans="2:19" s="458" customFormat="1" ht="13.15" customHeight="1">
      <c r="D103" s="508"/>
      <c r="E103" s="464" t="s">
        <v>1642</v>
      </c>
      <c r="F103" s="472"/>
      <c r="H103" s="1443" t="s">
        <v>3944</v>
      </c>
      <c r="I103" s="1190"/>
      <c r="J103" s="1190"/>
      <c r="K103" s="1190"/>
      <c r="L103" s="1190"/>
      <c r="M103" s="1190"/>
      <c r="N103" s="1191"/>
      <c r="O103" s="714" t="s">
        <v>2776</v>
      </c>
      <c r="Q103" s="1443" t="s">
        <v>3946</v>
      </c>
      <c r="R103" s="1190"/>
      <c r="S103" s="1191"/>
    </row>
    <row r="104" spans="2:19" s="458" customFormat="1" ht="13.15" customHeight="1">
      <c r="D104" s="508"/>
      <c r="E104" s="464" t="s">
        <v>954</v>
      </c>
      <c r="H104" s="1443" t="s">
        <v>3817</v>
      </c>
      <c r="I104" s="1190"/>
      <c r="J104" s="1191"/>
      <c r="O104" s="714" t="s">
        <v>2834</v>
      </c>
      <c r="Q104" s="1474">
        <v>5738747777</v>
      </c>
      <c r="R104" s="1475"/>
      <c r="S104" s="1476"/>
    </row>
    <row r="105" spans="2:19" s="458" customFormat="1" ht="13.15" customHeight="1">
      <c r="D105" s="508"/>
      <c r="E105" s="464" t="s">
        <v>2830</v>
      </c>
      <c r="H105" s="1440" t="s">
        <v>2044</v>
      </c>
      <c r="I105" s="493" t="s">
        <v>3354</v>
      </c>
      <c r="J105" s="1477">
        <v>652010000</v>
      </c>
      <c r="K105" s="1191"/>
      <c r="O105" s="714" t="s">
        <v>3056</v>
      </c>
      <c r="Q105" s="1474"/>
      <c r="R105" s="1475"/>
      <c r="S105" s="1476"/>
    </row>
    <row r="106" spans="2:19" ht="13.15" customHeight="1">
      <c r="E106" s="464" t="s">
        <v>3062</v>
      </c>
      <c r="F106" s="458"/>
      <c r="G106" s="458"/>
      <c r="H106" s="1474">
        <v>5738747777</v>
      </c>
      <c r="I106" s="1476"/>
      <c r="J106" s="1479"/>
      <c r="K106" s="719" t="s">
        <v>2833</v>
      </c>
      <c r="L106" s="1480">
        <v>5738750017</v>
      </c>
      <c r="M106" s="1191"/>
      <c r="N106" s="466" t="s">
        <v>3061</v>
      </c>
      <c r="O106" s="1481" t="s">
        <v>3947</v>
      </c>
      <c r="P106" s="1482"/>
      <c r="Q106" s="1482"/>
      <c r="R106" s="1482"/>
      <c r="S106" s="1483"/>
    </row>
    <row r="107" spans="2:19" ht="6" customHeight="1">
      <c r="E107" s="464"/>
      <c r="F107" s="458"/>
      <c r="G107" s="458"/>
      <c r="H107" s="458"/>
      <c r="I107" s="458"/>
      <c r="J107" s="458"/>
      <c r="K107" s="458"/>
      <c r="L107" s="458"/>
      <c r="M107" s="458"/>
      <c r="N107" s="458"/>
      <c r="O107" s="458"/>
      <c r="P107" s="458"/>
      <c r="Q107" s="719"/>
      <c r="R107" s="719"/>
      <c r="S107" s="1490"/>
    </row>
    <row r="108" spans="2:19" ht="0.6" customHeight="1">
      <c r="E108" s="464"/>
      <c r="F108" s="458"/>
      <c r="G108" s="721"/>
      <c r="H108" s="1486"/>
      <c r="I108" s="1486"/>
      <c r="J108" s="1486"/>
      <c r="K108" s="717"/>
      <c r="L108" s="1486"/>
      <c r="M108" s="1486"/>
      <c r="N108" s="717"/>
      <c r="O108" s="1487"/>
      <c r="P108" s="1487"/>
      <c r="Q108" s="719"/>
      <c r="R108" s="1487"/>
      <c r="S108" s="1487"/>
    </row>
    <row r="109" spans="2:19" s="458" customFormat="1" ht="13.15" customHeight="1">
      <c r="B109" s="461" t="s">
        <v>2763</v>
      </c>
      <c r="C109" s="461" t="s">
        <v>384</v>
      </c>
      <c r="H109" s="1443" t="s">
        <v>3973</v>
      </c>
      <c r="I109" s="1190"/>
      <c r="J109" s="1190"/>
      <c r="K109" s="1190"/>
      <c r="L109" s="1190"/>
      <c r="M109" s="1190"/>
      <c r="N109" s="1191"/>
      <c r="O109" s="714" t="s">
        <v>3067</v>
      </c>
      <c r="P109" s="714"/>
      <c r="Q109" s="1443"/>
      <c r="R109" s="1190"/>
      <c r="S109" s="1191"/>
    </row>
    <row r="110" spans="2:19" s="458" customFormat="1" ht="13.15" customHeight="1">
      <c r="D110" s="508"/>
      <c r="E110" s="464" t="s">
        <v>1642</v>
      </c>
      <c r="F110" s="472"/>
      <c r="H110" s="1443" t="s">
        <v>3974</v>
      </c>
      <c r="I110" s="1190"/>
      <c r="J110" s="1190"/>
      <c r="K110" s="1190"/>
      <c r="L110" s="1190"/>
      <c r="M110" s="1190"/>
      <c r="N110" s="1191"/>
      <c r="O110" s="714" t="s">
        <v>2776</v>
      </c>
      <c r="Q110" s="1443"/>
      <c r="R110" s="1190"/>
      <c r="S110" s="1191"/>
    </row>
    <row r="111" spans="2:19" s="458" customFormat="1" ht="13.15" customHeight="1">
      <c r="D111" s="508"/>
      <c r="E111" s="464" t="s">
        <v>954</v>
      </c>
      <c r="H111" s="1443" t="s">
        <v>1867</v>
      </c>
      <c r="I111" s="1190"/>
      <c r="J111" s="1191"/>
      <c r="O111" s="714" t="s">
        <v>2834</v>
      </c>
      <c r="Q111" s="1474"/>
      <c r="R111" s="1475"/>
      <c r="S111" s="1476"/>
    </row>
    <row r="112" spans="2:19" s="458" customFormat="1" ht="13.15" customHeight="1">
      <c r="D112" s="508"/>
      <c r="E112" s="464" t="s">
        <v>2830</v>
      </c>
      <c r="H112" s="1440" t="s">
        <v>1439</v>
      </c>
      <c r="I112" s="493" t="s">
        <v>3354</v>
      </c>
      <c r="J112" s="1477">
        <v>313280000</v>
      </c>
      <c r="K112" s="1191"/>
      <c r="O112" s="714" t="s">
        <v>3056</v>
      </c>
      <c r="Q112" s="1474"/>
      <c r="R112" s="1475"/>
      <c r="S112" s="1476"/>
    </row>
    <row r="113" spans="1:19" ht="13.15" customHeight="1">
      <c r="E113" s="464" t="s">
        <v>3062</v>
      </c>
      <c r="F113" s="458"/>
      <c r="G113" s="458"/>
      <c r="H113" s="1474">
        <v>4048929651</v>
      </c>
      <c r="I113" s="1476"/>
      <c r="J113" s="1479"/>
      <c r="K113" s="719" t="s">
        <v>2833</v>
      </c>
      <c r="L113" s="1480"/>
      <c r="M113" s="1191"/>
      <c r="N113" s="466" t="s">
        <v>3061</v>
      </c>
      <c r="O113" s="1481"/>
      <c r="P113" s="1482"/>
      <c r="Q113" s="1482"/>
      <c r="R113" s="1482"/>
      <c r="S113" s="1483"/>
    </row>
    <row r="114" spans="1:19" ht="6.6" customHeight="1">
      <c r="E114" s="464"/>
      <c r="F114" s="458"/>
      <c r="G114" s="721"/>
      <c r="H114" s="1488"/>
      <c r="I114" s="1488"/>
      <c r="J114" s="1488"/>
      <c r="K114" s="719"/>
      <c r="L114" s="1488"/>
      <c r="M114" s="1488"/>
      <c r="N114" s="717"/>
      <c r="O114" s="1487"/>
      <c r="P114" s="1487"/>
      <c r="Q114" s="719"/>
      <c r="R114" s="1487"/>
      <c r="S114" s="1487"/>
    </row>
    <row r="115" spans="1:19" s="458" customFormat="1" ht="13.15" customHeight="1">
      <c r="B115" s="461" t="s">
        <v>2764</v>
      </c>
      <c r="C115" s="461" t="s">
        <v>385</v>
      </c>
      <c r="H115" s="1443" t="s">
        <v>3949</v>
      </c>
      <c r="I115" s="1190"/>
      <c r="J115" s="1190"/>
      <c r="K115" s="1190"/>
      <c r="L115" s="1190"/>
      <c r="M115" s="1190"/>
      <c r="N115" s="1191"/>
      <c r="O115" s="714" t="s">
        <v>3067</v>
      </c>
      <c r="P115" s="714"/>
      <c r="Q115" s="1443" t="s">
        <v>3948</v>
      </c>
      <c r="R115" s="1190"/>
      <c r="S115" s="1191"/>
    </row>
    <row r="116" spans="1:19" s="458" customFormat="1" ht="13.15" customHeight="1">
      <c r="D116" s="508"/>
      <c r="E116" s="464" t="s">
        <v>1642</v>
      </c>
      <c r="F116" s="472"/>
      <c r="H116" s="1443" t="s">
        <v>3950</v>
      </c>
      <c r="I116" s="1190"/>
      <c r="J116" s="1190"/>
      <c r="K116" s="1190"/>
      <c r="L116" s="1190"/>
      <c r="M116" s="1190"/>
      <c r="N116" s="1191"/>
      <c r="O116" s="714" t="s">
        <v>2776</v>
      </c>
      <c r="Q116" s="1443" t="s">
        <v>3942</v>
      </c>
      <c r="R116" s="1190"/>
      <c r="S116" s="1191"/>
    </row>
    <row r="117" spans="1:19" s="458" customFormat="1" ht="13.15" customHeight="1">
      <c r="D117" s="508"/>
      <c r="E117" s="464" t="s">
        <v>954</v>
      </c>
      <c r="H117" s="1443" t="s">
        <v>254</v>
      </c>
      <c r="I117" s="1190"/>
      <c r="J117" s="1191"/>
      <c r="O117" s="714" t="s">
        <v>2834</v>
      </c>
      <c r="Q117" s="1474"/>
      <c r="R117" s="1475"/>
      <c r="S117" s="1476"/>
    </row>
    <row r="118" spans="1:19" s="458" customFormat="1" ht="13.15" customHeight="1">
      <c r="D118" s="513"/>
      <c r="E118" s="464" t="s">
        <v>2830</v>
      </c>
      <c r="H118" s="1440" t="s">
        <v>1439</v>
      </c>
      <c r="I118" s="493" t="s">
        <v>3354</v>
      </c>
      <c r="J118" s="1477">
        <v>300300000</v>
      </c>
      <c r="K118" s="1191"/>
      <c r="O118" s="714" t="s">
        <v>3056</v>
      </c>
      <c r="Q118" s="1474"/>
      <c r="R118" s="1475"/>
      <c r="S118" s="1476"/>
    </row>
    <row r="119" spans="1:19" s="458" customFormat="1" ht="13.15" customHeight="1">
      <c r="D119" s="513"/>
      <c r="E119" s="464" t="s">
        <v>3062</v>
      </c>
      <c r="H119" s="1474">
        <v>4043732800</v>
      </c>
      <c r="I119" s="1476"/>
      <c r="J119" s="1479"/>
      <c r="K119" s="719" t="s">
        <v>2833</v>
      </c>
      <c r="L119" s="1480">
        <v>4043732888</v>
      </c>
      <c r="M119" s="1191"/>
      <c r="N119" s="466" t="s">
        <v>3061</v>
      </c>
      <c r="O119" s="1481" t="s">
        <v>3951</v>
      </c>
      <c r="P119" s="1482"/>
      <c r="Q119" s="1482"/>
      <c r="R119" s="1482"/>
      <c r="S119" s="1483"/>
    </row>
    <row r="120" spans="1:19" ht="13.15" customHeight="1"/>
    <row r="121" spans="1:19" s="458" customFormat="1" ht="13.15" customHeight="1">
      <c r="A121" s="461" t="s">
        <v>2823</v>
      </c>
      <c r="B121" s="461" t="s">
        <v>3919</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977</v>
      </c>
      <c r="B123" s="1491"/>
      <c r="C123" s="1491"/>
      <c r="D123" s="1492"/>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3"/>
      <c r="B124" s="1494"/>
      <c r="C124" s="1494"/>
      <c r="D124" s="1495"/>
      <c r="E124" s="837"/>
      <c r="F124" s="812"/>
      <c r="G124" s="806"/>
      <c r="H124" s="817"/>
      <c r="I124" s="818"/>
      <c r="J124" s="823"/>
      <c r="K124" s="824"/>
      <c r="L124" s="806"/>
      <c r="M124" s="828"/>
      <c r="N124" s="806"/>
      <c r="O124" s="818"/>
      <c r="P124" s="806"/>
      <c r="Q124" s="818"/>
      <c r="R124" s="806"/>
      <c r="S124" s="807"/>
    </row>
    <row r="125" spans="1:19" s="458" customFormat="1" ht="21.6" customHeight="1">
      <c r="A125" s="1493"/>
      <c r="B125" s="1494"/>
      <c r="C125" s="1494"/>
      <c r="D125" s="1495"/>
      <c r="E125" s="837"/>
      <c r="F125" s="813"/>
      <c r="G125" s="806"/>
      <c r="H125" s="817"/>
      <c r="I125" s="818"/>
      <c r="J125" s="823"/>
      <c r="K125" s="824"/>
      <c r="L125" s="829"/>
      <c r="M125" s="828"/>
      <c r="N125" s="806"/>
      <c r="O125" s="818"/>
      <c r="P125" s="806"/>
      <c r="Q125" s="818"/>
      <c r="R125" s="808"/>
      <c r="S125" s="807"/>
    </row>
    <row r="126" spans="1:19" s="458" customFormat="1" ht="21.6" customHeight="1">
      <c r="A126" s="1493"/>
      <c r="B126" s="1494"/>
      <c r="C126" s="1494"/>
      <c r="D126" s="1495"/>
      <c r="E126" s="837"/>
      <c r="F126" s="813"/>
      <c r="G126" s="806"/>
      <c r="H126" s="817"/>
      <c r="I126" s="818"/>
      <c r="J126" s="823"/>
      <c r="K126" s="824"/>
      <c r="L126" s="829"/>
      <c r="M126" s="828"/>
      <c r="N126" s="806"/>
      <c r="O126" s="818"/>
      <c r="P126" s="806"/>
      <c r="Q126" s="818"/>
      <c r="R126" s="808"/>
      <c r="S126" s="807"/>
    </row>
    <row r="127" spans="1:19" s="458" customFormat="1" ht="21.6" customHeight="1">
      <c r="A127" s="1496"/>
      <c r="B127" s="1497"/>
      <c r="C127" s="1497"/>
      <c r="D127" s="1498"/>
      <c r="E127" s="838"/>
      <c r="F127" s="814"/>
      <c r="G127" s="819"/>
      <c r="H127" s="820"/>
      <c r="I127" s="821"/>
      <c r="J127" s="825"/>
      <c r="K127" s="826"/>
      <c r="L127" s="830"/>
      <c r="M127" s="831"/>
      <c r="N127" s="819"/>
      <c r="O127" s="821"/>
      <c r="P127" s="819"/>
      <c r="Q127" s="821"/>
      <c r="R127" s="809"/>
      <c r="S127" s="810"/>
    </row>
    <row r="128" spans="1:19" s="458" customFormat="1" ht="13.9" customHeight="1">
      <c r="A128" s="723" t="s">
        <v>3535</v>
      </c>
      <c r="B128" s="724"/>
      <c r="C128" s="724"/>
      <c r="D128" s="725"/>
      <c r="E128" s="1499" t="s">
        <v>3926</v>
      </c>
      <c r="F128" s="1499" t="s">
        <v>3926</v>
      </c>
      <c r="G128" s="1500" t="s">
        <v>3926</v>
      </c>
      <c r="H128" s="1501"/>
      <c r="I128" s="1502"/>
      <c r="J128" s="1500" t="s">
        <v>3924</v>
      </c>
      <c r="K128" s="1502"/>
      <c r="L128" s="1500" t="s">
        <v>3926</v>
      </c>
      <c r="M128" s="1502"/>
      <c r="N128" s="1500" t="s">
        <v>3926</v>
      </c>
      <c r="O128" s="1502"/>
      <c r="P128" s="1503" t="s">
        <v>3965</v>
      </c>
      <c r="Q128" s="1504"/>
      <c r="R128" s="1505">
        <v>1E-4</v>
      </c>
      <c r="S128" s="1506"/>
    </row>
    <row r="129" spans="1:19" s="458" customFormat="1" ht="13.9" customHeight="1">
      <c r="A129" s="720" t="s">
        <v>3525</v>
      </c>
      <c r="B129" s="721"/>
      <c r="C129" s="721"/>
      <c r="D129" s="722"/>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3526</v>
      </c>
      <c r="B130" s="721"/>
      <c r="C130" s="721"/>
      <c r="D130" s="722"/>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3527</v>
      </c>
      <c r="B131" s="721"/>
      <c r="C131" s="721"/>
      <c r="D131" s="722"/>
      <c r="E131" s="1507" t="s">
        <v>3926</v>
      </c>
      <c r="F131" s="1507" t="s">
        <v>3926</v>
      </c>
      <c r="G131" s="1508" t="s">
        <v>3926</v>
      </c>
      <c r="H131" s="1509"/>
      <c r="I131" s="1510"/>
      <c r="J131" s="1508" t="s">
        <v>3924</v>
      </c>
      <c r="K131" s="1510"/>
      <c r="L131" s="1508" t="s">
        <v>3926</v>
      </c>
      <c r="M131" s="1510"/>
      <c r="N131" s="1508" t="s">
        <v>3926</v>
      </c>
      <c r="O131" s="1510"/>
      <c r="P131" s="1511" t="s">
        <v>3965</v>
      </c>
      <c r="Q131" s="1512"/>
      <c r="R131" s="1513">
        <v>0.9899</v>
      </c>
      <c r="S131" s="1514"/>
    </row>
    <row r="132" spans="1:19" s="458" customFormat="1" ht="13.9" customHeight="1">
      <c r="A132" s="720" t="s">
        <v>3528</v>
      </c>
      <c r="B132" s="721"/>
      <c r="C132" s="721"/>
      <c r="D132" s="722"/>
      <c r="E132" s="1507" t="s">
        <v>3926</v>
      </c>
      <c r="F132" s="1507" t="s">
        <v>3926</v>
      </c>
      <c r="G132" s="1508" t="s">
        <v>3926</v>
      </c>
      <c r="H132" s="1509"/>
      <c r="I132" s="1510"/>
      <c r="J132" s="1508" t="s">
        <v>3924</v>
      </c>
      <c r="K132" s="1510"/>
      <c r="L132" s="1508" t="s">
        <v>3926</v>
      </c>
      <c r="M132" s="1510"/>
      <c r="N132" s="1508" t="s">
        <v>3926</v>
      </c>
      <c r="O132" s="1510"/>
      <c r="P132" s="1511" t="s">
        <v>3965</v>
      </c>
      <c r="Q132" s="1512"/>
      <c r="R132" s="1513">
        <v>0.01</v>
      </c>
      <c r="S132" s="1514"/>
    </row>
    <row r="133" spans="1:19" s="458" customFormat="1" ht="13.9" customHeight="1">
      <c r="A133" s="720" t="s">
        <v>3529</v>
      </c>
      <c r="B133" s="721"/>
      <c r="C133" s="721"/>
      <c r="D133" s="722"/>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997</v>
      </c>
      <c r="B134" s="721"/>
      <c r="C134" s="721"/>
      <c r="D134" s="722"/>
      <c r="E134" s="1507" t="s">
        <v>3926</v>
      </c>
      <c r="F134" s="1507" t="s">
        <v>3926</v>
      </c>
      <c r="G134" s="1508" t="s">
        <v>3926</v>
      </c>
      <c r="H134" s="1509"/>
      <c r="I134" s="1510"/>
      <c r="J134" s="1508" t="s">
        <v>3924</v>
      </c>
      <c r="K134" s="1510"/>
      <c r="L134" s="1508" t="s">
        <v>3926</v>
      </c>
      <c r="M134" s="1510"/>
      <c r="N134" s="1508" t="s">
        <v>3926</v>
      </c>
      <c r="O134" s="1510"/>
      <c r="P134" s="1511" t="s">
        <v>3965</v>
      </c>
      <c r="Q134" s="1512"/>
      <c r="R134" s="1513"/>
      <c r="S134" s="1514"/>
    </row>
    <row r="135" spans="1:19" s="458" customFormat="1" ht="13.9" customHeight="1">
      <c r="A135" s="720" t="s">
        <v>3530</v>
      </c>
      <c r="B135" s="721"/>
      <c r="C135" s="721"/>
      <c r="D135" s="722"/>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3531</v>
      </c>
      <c r="B136" s="721"/>
      <c r="C136" s="721"/>
      <c r="D136" s="722"/>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3532</v>
      </c>
      <c r="B137" s="721"/>
      <c r="C137" s="721"/>
      <c r="D137" s="722"/>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3533</v>
      </c>
      <c r="B138" s="721"/>
      <c r="C138" s="721"/>
      <c r="D138" s="722"/>
      <c r="E138" s="1507" t="s">
        <v>3926</v>
      </c>
      <c r="F138" s="1507" t="s">
        <v>3926</v>
      </c>
      <c r="G138" s="1508" t="s">
        <v>3926</v>
      </c>
      <c r="H138" s="1509"/>
      <c r="I138" s="1510"/>
      <c r="J138" s="1508" t="s">
        <v>3926</v>
      </c>
      <c r="K138" s="1510"/>
      <c r="L138" s="1508" t="s">
        <v>3926</v>
      </c>
      <c r="M138" s="1510"/>
      <c r="N138" s="1508" t="s">
        <v>3926</v>
      </c>
      <c r="O138" s="1510"/>
      <c r="P138" s="1511" t="s">
        <v>3965</v>
      </c>
      <c r="Q138" s="1512"/>
      <c r="R138" s="1513"/>
      <c r="S138" s="1514"/>
    </row>
    <row r="139" spans="1:19" s="458" customFormat="1" ht="13.9" customHeight="1">
      <c r="A139" s="720" t="s">
        <v>2281</v>
      </c>
      <c r="B139" s="721"/>
      <c r="C139" s="721"/>
      <c r="D139" s="722"/>
      <c r="E139" s="1507" t="s">
        <v>3926</v>
      </c>
      <c r="F139" s="1507" t="s">
        <v>3926</v>
      </c>
      <c r="G139" s="1508" t="s">
        <v>3926</v>
      </c>
      <c r="H139" s="1509"/>
      <c r="I139" s="1510"/>
      <c r="J139" s="1508" t="s">
        <v>3924</v>
      </c>
      <c r="K139" s="1510"/>
      <c r="L139" s="1508" t="s">
        <v>3926</v>
      </c>
      <c r="M139" s="1510"/>
      <c r="N139" s="1508" t="s">
        <v>3926</v>
      </c>
      <c r="O139" s="1510"/>
      <c r="P139" s="1511" t="s">
        <v>3965</v>
      </c>
      <c r="Q139" s="1512"/>
      <c r="R139" s="1513"/>
      <c r="S139" s="1514"/>
    </row>
    <row r="140" spans="1:19" s="458" customFormat="1" ht="13.9" customHeight="1">
      <c r="A140" s="726" t="s">
        <v>3534</v>
      </c>
      <c r="B140" s="727"/>
      <c r="C140" s="727"/>
      <c r="D140" s="514"/>
      <c r="E140" s="1515" t="s">
        <v>3926</v>
      </c>
      <c r="F140" s="1515" t="s">
        <v>3926</v>
      </c>
      <c r="G140" s="1516" t="s">
        <v>3926</v>
      </c>
      <c r="H140" s="1517"/>
      <c r="I140" s="1518"/>
      <c r="J140" s="1516" t="s">
        <v>3924</v>
      </c>
      <c r="K140" s="1518"/>
      <c r="L140" s="1516" t="s">
        <v>3926</v>
      </c>
      <c r="M140" s="1518"/>
      <c r="N140" s="1516" t="s">
        <v>3926</v>
      </c>
      <c r="O140" s="1518"/>
      <c r="P140" s="1519" t="s">
        <v>3965</v>
      </c>
      <c r="Q140" s="1520"/>
      <c r="R140" s="1521"/>
      <c r="S140" s="1522"/>
    </row>
    <row r="141" spans="1:19" s="721" customFormat="1" ht="13.9" customHeight="1">
      <c r="G141" s="470"/>
      <c r="H141" s="470"/>
      <c r="I141" s="470"/>
      <c r="J141" s="719"/>
      <c r="K141" s="719"/>
      <c r="L141" s="719"/>
      <c r="M141" s="719"/>
      <c r="P141" s="468"/>
      <c r="Q141" s="489" t="s">
        <v>833</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880</v>
      </c>
      <c r="N143" s="491" t="s">
        <v>823</v>
      </c>
      <c r="O143" s="491" t="s">
        <v>89</v>
      </c>
    </row>
    <row r="144" spans="1:19" ht="3.6" customHeight="1">
      <c r="B144" s="506"/>
    </row>
    <row r="145" spans="1:19" ht="42.6" customHeight="1">
      <c r="A145" s="1290" t="s">
        <v>3990</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5"/>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0" zoomScaleNormal="85" zoomScaleSheetLayoutView="90" workbookViewId="0">
      <selection activeCell="D144" sqref="D14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2011-023 The Village at Winding Road, St. Marys, Camden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40" t="s">
        <v>3924</v>
      </c>
      <c r="C5" s="714" t="s">
        <v>3653</v>
      </c>
      <c r="D5" s="458"/>
      <c r="E5" s="1440" t="s">
        <v>3926</v>
      </c>
      <c r="F5" s="716" t="s">
        <v>2654</v>
      </c>
      <c r="G5" s="458"/>
      <c r="J5" s="1441"/>
      <c r="K5" s="1442"/>
      <c r="M5" s="1440" t="s">
        <v>3926</v>
      </c>
      <c r="N5" s="714" t="s">
        <v>846</v>
      </c>
    </row>
    <row r="6" spans="1:17" s="398" customFormat="1" ht="16.899999999999999" customHeight="1">
      <c r="A6" s="735"/>
      <c r="B6" s="1440" t="s">
        <v>3926</v>
      </c>
      <c r="C6" s="714" t="s">
        <v>2835</v>
      </c>
      <c r="D6" s="458"/>
      <c r="E6" s="1440" t="s">
        <v>3926</v>
      </c>
      <c r="F6" s="716" t="s">
        <v>3312</v>
      </c>
      <c r="J6" s="1440" t="s">
        <v>3926</v>
      </c>
      <c r="K6" s="721" t="s">
        <v>847</v>
      </c>
      <c r="M6" s="1440" t="s">
        <v>3926</v>
      </c>
      <c r="N6" s="716" t="s">
        <v>845</v>
      </c>
    </row>
    <row r="7" spans="1:17" s="398" customFormat="1" ht="16.899999999999999" customHeight="1">
      <c r="A7" s="458"/>
      <c r="B7" s="1440" t="s">
        <v>3926</v>
      </c>
      <c r="C7" s="714" t="s">
        <v>2836</v>
      </c>
      <c r="E7" s="1440" t="s">
        <v>3926</v>
      </c>
      <c r="F7" s="716" t="s">
        <v>3311</v>
      </c>
      <c r="G7" s="458"/>
      <c r="J7" s="1440" t="s">
        <v>3926</v>
      </c>
      <c r="K7" s="721" t="s">
        <v>2291</v>
      </c>
      <c r="M7" s="1440" t="s">
        <v>3926</v>
      </c>
      <c r="N7" s="464" t="s">
        <v>1982</v>
      </c>
      <c r="P7" s="1441"/>
      <c r="Q7" s="1442"/>
    </row>
    <row r="8" spans="1:17" s="398" customFormat="1" ht="16.899999999999999" customHeight="1">
      <c r="A8" s="735"/>
      <c r="B8" s="1440" t="s">
        <v>3926</v>
      </c>
      <c r="C8" s="721" t="s">
        <v>3915</v>
      </c>
      <c r="D8" s="458"/>
      <c r="E8" s="1440" t="s">
        <v>3926</v>
      </c>
      <c r="F8" s="487" t="s">
        <v>3916</v>
      </c>
      <c r="H8" s="1440" t="s">
        <v>3926</v>
      </c>
      <c r="I8" s="458" t="s">
        <v>3654</v>
      </c>
      <c r="J8" s="1440" t="s">
        <v>3926</v>
      </c>
      <c r="K8" s="458" t="s">
        <v>875</v>
      </c>
      <c r="M8" s="1440" t="s">
        <v>3926</v>
      </c>
      <c r="N8" s="1443" t="s">
        <v>3232</v>
      </c>
      <c r="O8" s="1444"/>
      <c r="P8" s="1444"/>
      <c r="Q8" s="1445"/>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2927</v>
      </c>
      <c r="C13" s="458"/>
      <c r="D13" s="458"/>
      <c r="E13" s="458"/>
      <c r="F13" s="458"/>
      <c r="G13" s="458"/>
      <c r="H13" s="872" t="s">
        <v>1998</v>
      </c>
      <c r="I13" s="872"/>
      <c r="J13" s="872"/>
      <c r="K13" s="872"/>
      <c r="L13" s="782" t="s">
        <v>3068</v>
      </c>
      <c r="M13" s="782"/>
      <c r="N13" s="782" t="s">
        <v>2258</v>
      </c>
      <c r="O13" s="782"/>
      <c r="P13" s="782" t="s">
        <v>2537</v>
      </c>
      <c r="Q13" s="782"/>
    </row>
    <row r="14" spans="1:17" s="398" customFormat="1" ht="16.899999999999999" customHeight="1">
      <c r="A14" s="458"/>
      <c r="B14" s="839" t="s">
        <v>2348</v>
      </c>
      <c r="C14" s="840"/>
      <c r="D14" s="840"/>
      <c r="E14" s="724"/>
      <c r="F14" s="724"/>
      <c r="G14" s="724"/>
      <c r="H14" s="1443" t="s">
        <v>3957</v>
      </c>
      <c r="I14" s="1444"/>
      <c r="J14" s="1444"/>
      <c r="K14" s="1445"/>
      <c r="L14" s="1392">
        <v>4955456</v>
      </c>
      <c r="M14" s="1393"/>
      <c r="N14" s="1446">
        <v>6.5000000000000002E-2</v>
      </c>
      <c r="O14" s="1447"/>
      <c r="P14" s="1448">
        <v>18</v>
      </c>
      <c r="Q14" s="1449"/>
    </row>
    <row r="15" spans="1:17" s="398" customFormat="1" ht="16.899999999999999" customHeight="1">
      <c r="A15" s="458"/>
      <c r="B15" s="841" t="s">
        <v>2349</v>
      </c>
      <c r="C15" s="842"/>
      <c r="D15" s="842"/>
      <c r="E15" s="721"/>
      <c r="F15" s="721"/>
      <c r="G15" s="721"/>
      <c r="H15" s="1443"/>
      <c r="I15" s="1444"/>
      <c r="J15" s="1444"/>
      <c r="K15" s="1445"/>
      <c r="L15" s="1392"/>
      <c r="M15" s="1393"/>
      <c r="N15" s="1446"/>
      <c r="O15" s="1447"/>
      <c r="P15" s="1450"/>
      <c r="Q15" s="1451"/>
    </row>
    <row r="16" spans="1:17" s="398" customFormat="1" ht="16.899999999999999" customHeight="1">
      <c r="A16" s="458"/>
      <c r="B16" s="859" t="s">
        <v>2350</v>
      </c>
      <c r="C16" s="860"/>
      <c r="D16" s="860"/>
      <c r="E16" s="727"/>
      <c r="F16" s="727"/>
      <c r="G16" s="727"/>
      <c r="H16" s="1443"/>
      <c r="I16" s="1444"/>
      <c r="J16" s="1444"/>
      <c r="K16" s="1445"/>
      <c r="L16" s="1392"/>
      <c r="M16" s="1393"/>
      <c r="N16" s="1446"/>
      <c r="O16" s="1447"/>
      <c r="P16" s="1450"/>
      <c r="Q16" s="1451"/>
    </row>
    <row r="17" spans="1:17" s="398" customFormat="1" ht="16.899999999999999" customHeight="1">
      <c r="A17" s="458"/>
      <c r="B17" s="839" t="s">
        <v>3333</v>
      </c>
      <c r="C17" s="840"/>
      <c r="D17" s="840"/>
      <c r="E17" s="721"/>
      <c r="F17" s="721"/>
      <c r="G17" s="721"/>
      <c r="H17" s="1443"/>
      <c r="I17" s="1444"/>
      <c r="J17" s="1444"/>
      <c r="K17" s="1445"/>
      <c r="L17" s="1392"/>
      <c r="M17" s="1393"/>
      <c r="N17" s="857"/>
      <c r="O17" s="858"/>
      <c r="P17" s="854"/>
      <c r="Q17" s="854"/>
    </row>
    <row r="18" spans="1:17" s="398" customFormat="1" ht="16.899999999999999" customHeight="1">
      <c r="A18" s="458"/>
      <c r="B18" s="841" t="s">
        <v>1384</v>
      </c>
      <c r="C18" s="842"/>
      <c r="D18" s="842"/>
      <c r="E18" s="721"/>
      <c r="H18" s="1443"/>
      <c r="I18" s="1444"/>
      <c r="J18" s="1444"/>
      <c r="K18" s="1445"/>
      <c r="L18" s="1392"/>
      <c r="M18" s="1393"/>
      <c r="N18" s="857"/>
      <c r="O18" s="858"/>
      <c r="P18" s="854"/>
      <c r="Q18" s="854"/>
    </row>
    <row r="19" spans="1:17" s="398" customFormat="1" ht="16.899999999999999" customHeight="1">
      <c r="A19" s="458"/>
      <c r="B19" s="841" t="s">
        <v>978</v>
      </c>
      <c r="C19" s="842"/>
      <c r="D19" s="842"/>
      <c r="E19" s="721"/>
      <c r="H19" s="1443"/>
      <c r="I19" s="1444"/>
      <c r="J19" s="1444"/>
      <c r="K19" s="1445"/>
      <c r="L19" s="1392"/>
      <c r="M19" s="1393"/>
      <c r="N19" s="857"/>
      <c r="O19" s="858"/>
      <c r="P19" s="854"/>
      <c r="Q19" s="854"/>
    </row>
    <row r="20" spans="1:17" s="398" customFormat="1" ht="16.899999999999999" customHeight="1">
      <c r="A20" s="458"/>
      <c r="B20" s="841" t="s">
        <v>1385</v>
      </c>
      <c r="C20" s="842"/>
      <c r="D20" s="842"/>
      <c r="E20" s="721"/>
      <c r="H20" s="1443" t="s">
        <v>3932</v>
      </c>
      <c r="I20" s="1444"/>
      <c r="J20" s="1444"/>
      <c r="K20" s="1445"/>
      <c r="L20" s="1392">
        <v>1042358</v>
      </c>
      <c r="M20" s="1393"/>
      <c r="N20" s="458"/>
      <c r="O20" s="458"/>
      <c r="P20" s="458"/>
      <c r="Q20" s="458"/>
    </row>
    <row r="21" spans="1:17" s="398" customFormat="1" ht="16.899999999999999" customHeight="1">
      <c r="A21" s="458"/>
      <c r="B21" s="841" t="s">
        <v>1386</v>
      </c>
      <c r="C21" s="842"/>
      <c r="D21" s="842"/>
      <c r="E21" s="721"/>
      <c r="H21" s="1443" t="s">
        <v>3932</v>
      </c>
      <c r="I21" s="1444"/>
      <c r="J21" s="1444"/>
      <c r="K21" s="1445"/>
      <c r="L21" s="1392">
        <v>376114</v>
      </c>
      <c r="M21" s="1393"/>
      <c r="N21" s="458"/>
      <c r="O21" s="458"/>
      <c r="P21" s="458"/>
      <c r="Q21" s="458"/>
    </row>
    <row r="22" spans="1:17" s="398" customFormat="1" ht="16.899999999999999" customHeight="1">
      <c r="A22" s="458"/>
      <c r="B22" s="720" t="s">
        <v>309</v>
      </c>
      <c r="C22" s="721"/>
      <c r="D22" s="1452" t="s">
        <v>3958</v>
      </c>
      <c r="E22" s="1452"/>
      <c r="F22" s="1452"/>
      <c r="G22" s="1452"/>
      <c r="H22" s="1443"/>
      <c r="I22" s="1444"/>
      <c r="J22" s="1444"/>
      <c r="K22" s="1445"/>
      <c r="L22" s="1392">
        <v>110</v>
      </c>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6" t="s">
        <v>309</v>
      </c>
      <c r="C24" s="727"/>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1999</v>
      </c>
      <c r="C25" s="458"/>
      <c r="D25" s="458"/>
      <c r="E25" s="458"/>
      <c r="F25" s="458"/>
      <c r="G25" s="458"/>
      <c r="H25" s="458"/>
      <c r="I25" s="458"/>
      <c r="L25" s="868">
        <f>SUM(L14:L24)</f>
        <v>6374038</v>
      </c>
      <c r="M25" s="869"/>
      <c r="N25" s="482"/>
      <c r="O25" s="482"/>
      <c r="P25" s="482"/>
      <c r="Q25" s="482"/>
    </row>
    <row r="26" spans="1:17" s="398" customFormat="1" ht="16.899999999999999" customHeight="1">
      <c r="A26" s="458"/>
      <c r="B26" s="714"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6374038</v>
      </c>
      <c r="M26" s="869"/>
      <c r="N26" s="864"/>
      <c r="O26" s="865"/>
      <c r="P26" s="865"/>
      <c r="Q26" s="865"/>
    </row>
    <row r="27" spans="1:17" s="398" customFormat="1" ht="16.899999999999999" customHeight="1">
      <c r="A27" s="458"/>
      <c r="B27" s="464" t="s">
        <v>3261</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1232</v>
      </c>
      <c r="B29" s="395" t="s">
        <v>1383</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3195</v>
      </c>
      <c r="K30" s="719" t="s">
        <v>1996</v>
      </c>
      <c r="L30" s="719" t="s">
        <v>2001</v>
      </c>
      <c r="M30" s="777" t="s">
        <v>40</v>
      </c>
      <c r="N30" s="777"/>
      <c r="O30" s="713"/>
      <c r="P30" s="719"/>
      <c r="Q30" s="844" t="s">
        <v>3492</v>
      </c>
    </row>
    <row r="31" spans="1:17" s="398" customFormat="1" ht="13.15" customHeight="1" thickBot="1">
      <c r="A31" s="458"/>
      <c r="B31" s="718" t="s">
        <v>2927</v>
      </c>
      <c r="C31" s="727"/>
      <c r="D31" s="727"/>
      <c r="E31" s="842" t="s">
        <v>1998</v>
      </c>
      <c r="F31" s="842"/>
      <c r="G31" s="842"/>
      <c r="H31" s="782" t="s">
        <v>720</v>
      </c>
      <c r="I31" s="782"/>
      <c r="J31" s="717" t="s">
        <v>2843</v>
      </c>
      <c r="K31" s="717" t="s">
        <v>3332</v>
      </c>
      <c r="L31" s="717" t="s">
        <v>3332</v>
      </c>
      <c r="M31" s="1453"/>
      <c r="N31" s="1453"/>
      <c r="O31" s="782" t="s">
        <v>84</v>
      </c>
      <c r="P31" s="782"/>
      <c r="Q31" s="845"/>
    </row>
    <row r="32" spans="1:17" s="398" customFormat="1" ht="13.15" customHeight="1" thickBot="1">
      <c r="A32" s="458"/>
      <c r="B32" s="839" t="str">
        <f>IF(E32 ="&lt;&lt;Select applicable option&gt;&gt;", "Make a selection FIRST --&gt;",IF(E32 = "Neither","N/A","Mortgage A"))</f>
        <v>Make a selection FIRST --&gt;</v>
      </c>
      <c r="C32" s="840"/>
      <c r="D32" s="840"/>
      <c r="E32" s="1454" t="s">
        <v>365</v>
      </c>
      <c r="F32" s="1455"/>
      <c r="G32" s="1456"/>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3018</v>
      </c>
      <c r="P32" s="874"/>
      <c r="Q32" s="1457" t="s">
        <v>2761</v>
      </c>
    </row>
    <row r="33" spans="1:19" s="398" customFormat="1" ht="13.15" customHeight="1">
      <c r="A33" s="458"/>
      <c r="B33" s="841" t="str">
        <f>IF(OR(E32 = "Neither",E32 = "&lt;&lt;Select applicable option&gt;&gt;"), "Mortgage A","Mortgage B")</f>
        <v>Mortgage A</v>
      </c>
      <c r="C33" s="842"/>
      <c r="D33" s="843"/>
      <c r="E33" s="1458"/>
      <c r="F33" s="1459"/>
      <c r="G33" s="1460"/>
      <c r="H33" s="1461"/>
      <c r="I33" s="1462"/>
      <c r="J33" s="1463"/>
      <c r="K33" s="1440"/>
      <c r="L33" s="1440"/>
      <c r="M33" s="1464">
        <v>0</v>
      </c>
      <c r="N33" s="1465"/>
      <c r="O33" s="1403"/>
      <c r="P33" s="1404"/>
      <c r="Q33" s="1466"/>
    </row>
    <row r="34" spans="1:19" s="398" customFormat="1" ht="13.15" customHeight="1">
      <c r="A34" s="458"/>
      <c r="B34" s="720" t="str">
        <f>IF(OR(E32 = "Neither",E32 = "&lt;&lt;Select applicable option&gt;&gt;"), "Mortgage B","Mortgage C")</f>
        <v>Mortgage B</v>
      </c>
      <c r="C34" s="721"/>
      <c r="D34" s="722"/>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1231</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2086</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6" t="s">
        <v>292</v>
      </c>
      <c r="C37" s="727"/>
      <c r="D37" s="555">
        <f>IF(OR(H37="",H37=0,'Part IV-Uses of Funds'!$G$109="",'Part IV-Uses of Funds'!$G$109=0),"",H37/'Part IV-Uses of Funds'!$G$109)</f>
        <v>0.1488553149310666</v>
      </c>
      <c r="E37" s="1443" t="s">
        <v>3937</v>
      </c>
      <c r="F37" s="1467"/>
      <c r="G37" s="1462"/>
      <c r="H37" s="1461">
        <v>123896</v>
      </c>
      <c r="I37" s="1462"/>
      <c r="J37" s="1463">
        <v>3.7900000000000003E-2</v>
      </c>
      <c r="K37" s="1440">
        <v>15</v>
      </c>
      <c r="L37" s="1440"/>
      <c r="M37" s="1464" t="str">
        <f>IF(OR(H37&lt;=0,H37=""),"",IF(O37="Amortizing",-PMT(J37/12,L37*12,H37,0,0)*12,""))</f>
        <v/>
      </c>
      <c r="N37" s="1465"/>
      <c r="O37" s="1403" t="s">
        <v>1810</v>
      </c>
      <c r="P37" s="1404"/>
      <c r="Q37" s="1466"/>
    </row>
    <row r="38" spans="1:19" s="398" customFormat="1" ht="13.15" customHeight="1">
      <c r="A38" s="458"/>
      <c r="B38" s="839" t="s">
        <v>3333</v>
      </c>
      <c r="C38" s="840"/>
      <c r="D38" s="863"/>
      <c r="E38" s="1443"/>
      <c r="F38" s="1467"/>
      <c r="G38" s="1462"/>
      <c r="H38" s="1468"/>
      <c r="I38" s="1469"/>
      <c r="K38" s="556"/>
      <c r="L38" s="556"/>
      <c r="M38" s="556"/>
      <c r="N38" s="556"/>
      <c r="O38" s="556"/>
      <c r="P38" s="556"/>
      <c r="Q38" s="556"/>
      <c r="S38" s="648" t="s">
        <v>809</v>
      </c>
    </row>
    <row r="39" spans="1:19" s="398" customFormat="1" ht="13.15" customHeight="1">
      <c r="A39" s="458"/>
      <c r="B39" s="841" t="s">
        <v>1384</v>
      </c>
      <c r="C39" s="842"/>
      <c r="D39" s="843"/>
      <c r="E39" s="1443"/>
      <c r="F39" s="1467"/>
      <c r="G39" s="1462"/>
      <c r="H39" s="1468"/>
      <c r="I39" s="1469"/>
      <c r="J39" s="846" t="s">
        <v>810</v>
      </c>
      <c r="K39" s="847"/>
      <c r="L39" s="652" t="s">
        <v>811</v>
      </c>
      <c r="M39" s="557"/>
      <c r="N39" s="557"/>
      <c r="O39" s="557"/>
      <c r="P39" s="557"/>
      <c r="Q39" s="556"/>
      <c r="S39" s="649" t="s">
        <v>3865</v>
      </c>
    </row>
    <row r="40" spans="1:19" s="398" customFormat="1" ht="13.15" customHeight="1">
      <c r="A40" s="458"/>
      <c r="B40" s="841" t="s">
        <v>1385</v>
      </c>
      <c r="C40" s="842"/>
      <c r="D40" s="843"/>
      <c r="E40" s="1443" t="s">
        <v>3932</v>
      </c>
      <c r="F40" s="1444"/>
      <c r="G40" s="1445"/>
      <c r="H40" s="1461">
        <v>5211786</v>
      </c>
      <c r="I40" s="1470"/>
      <c r="J40" s="848">
        <f>'Part IV-Uses of Funds'!$J$165*10*'Part IV-Uses of Funds'!$N$158</f>
        <v>5264431.2</v>
      </c>
      <c r="K40" s="849"/>
      <c r="L40" s="653">
        <f>H40-J40</f>
        <v>-52645.200000000186</v>
      </c>
      <c r="M40" s="835" t="s">
        <v>2538</v>
      </c>
      <c r="N40" s="850"/>
      <c r="O40" s="850"/>
      <c r="P40" s="850"/>
      <c r="Q40" s="851"/>
      <c r="S40" s="650">
        <f>H40/H50</f>
        <v>0.72221782634825882</v>
      </c>
    </row>
    <row r="41" spans="1:19" s="398" customFormat="1" ht="13.15" customHeight="1">
      <c r="A41" s="458"/>
      <c r="B41" s="841" t="s">
        <v>1386</v>
      </c>
      <c r="C41" s="842"/>
      <c r="D41" s="843"/>
      <c r="E41" s="1443" t="s">
        <v>3932</v>
      </c>
      <c r="F41" s="1444"/>
      <c r="G41" s="1445"/>
      <c r="H41" s="1461">
        <v>1880571</v>
      </c>
      <c r="I41" s="1470"/>
      <c r="J41" s="848">
        <f>'Part IV-Uses of Funds'!$J$165*10*'Part IV-Uses of Funds'!$Q$158</f>
        <v>1827927.5</v>
      </c>
      <c r="K41" s="849"/>
      <c r="L41" s="653">
        <f>H41-J41</f>
        <v>52643.5</v>
      </c>
      <c r="M41" s="852"/>
      <c r="N41" s="845"/>
      <c r="O41" s="845"/>
      <c r="P41" s="845"/>
      <c r="Q41" s="853"/>
      <c r="S41" s="650">
        <f>H41/H50</f>
        <v>0.26059817112858652</v>
      </c>
    </row>
    <row r="42" spans="1:19" s="398" customFormat="1" ht="13.15" customHeight="1">
      <c r="A42" s="458"/>
      <c r="B42" s="841" t="s">
        <v>2121</v>
      </c>
      <c r="C42" s="842"/>
      <c r="D42" s="843"/>
      <c r="E42" s="1443"/>
      <c r="F42" s="1444"/>
      <c r="G42" s="1445"/>
      <c r="H42" s="1461"/>
      <c r="I42" s="1470"/>
      <c r="M42" s="558" t="s">
        <v>3022</v>
      </c>
      <c r="N42" s="559" t="s">
        <v>3023</v>
      </c>
      <c r="O42" s="558">
        <v>8</v>
      </c>
      <c r="P42" s="558">
        <v>9</v>
      </c>
      <c r="Q42" s="558">
        <v>10</v>
      </c>
      <c r="S42" s="651">
        <f>SUM(S40:S41)</f>
        <v>0.98281599747684534</v>
      </c>
    </row>
    <row r="43" spans="1:19" s="398" customFormat="1" ht="13.15" customHeight="1">
      <c r="A43" s="458"/>
      <c r="B43" s="720" t="s">
        <v>825</v>
      </c>
      <c r="C43" s="721"/>
      <c r="D43" s="722"/>
      <c r="E43" s="1443"/>
      <c r="F43" s="1444"/>
      <c r="G43" s="1445"/>
      <c r="H43" s="1461"/>
      <c r="I43" s="1470"/>
      <c r="K43" s="458"/>
      <c r="L43" s="458"/>
      <c r="M43" s="558" t="s">
        <v>3024</v>
      </c>
      <c r="N43" s="1463"/>
      <c r="O43" s="1463"/>
      <c r="P43" s="1463"/>
      <c r="Q43" s="1463"/>
      <c r="S43" s="458"/>
    </row>
    <row r="44" spans="1:19" s="398" customFormat="1" ht="13.15" customHeight="1">
      <c r="A44" s="458"/>
      <c r="B44" s="720" t="s">
        <v>2925</v>
      </c>
      <c r="C44" s="721"/>
      <c r="D44" s="722"/>
      <c r="E44" s="1443"/>
      <c r="F44" s="1444"/>
      <c r="G44" s="1445"/>
      <c r="H44" s="1461"/>
      <c r="I44" s="1470"/>
      <c r="J44" s="458"/>
      <c r="M44" s="560">
        <v>11</v>
      </c>
      <c r="N44" s="560">
        <v>12</v>
      </c>
      <c r="O44" s="713">
        <v>13</v>
      </c>
      <c r="P44" s="558">
        <v>14</v>
      </c>
      <c r="Q44" s="558">
        <v>15</v>
      </c>
    </row>
    <row r="45" spans="1:19" s="398" customFormat="1" ht="13.15" customHeight="1">
      <c r="A45" s="458"/>
      <c r="B45" s="720" t="s">
        <v>2926</v>
      </c>
      <c r="C45" s="721"/>
      <c r="D45" s="722"/>
      <c r="E45" s="1443"/>
      <c r="F45" s="1444"/>
      <c r="G45" s="1445"/>
      <c r="H45" s="1461"/>
      <c r="I45" s="1470"/>
      <c r="J45" s="458"/>
      <c r="M45" s="1463"/>
      <c r="N45" s="1463"/>
      <c r="O45" s="1463"/>
      <c r="P45" s="1463"/>
      <c r="Q45" s="1463"/>
    </row>
    <row r="46" spans="1:19" s="398" customFormat="1" ht="13.15" customHeight="1">
      <c r="A46" s="458"/>
      <c r="B46" s="720" t="s">
        <v>1231</v>
      </c>
      <c r="C46" s="1443" t="s">
        <v>3958</v>
      </c>
      <c r="D46" s="1445"/>
      <c r="E46" s="1443"/>
      <c r="F46" s="1444"/>
      <c r="G46" s="1445"/>
      <c r="H46" s="1461">
        <v>110</v>
      </c>
      <c r="I46" s="1470"/>
      <c r="J46" s="458"/>
      <c r="M46" s="558">
        <v>16</v>
      </c>
      <c r="N46" s="558">
        <v>17</v>
      </c>
      <c r="O46" s="558">
        <v>18</v>
      </c>
      <c r="P46" s="719">
        <v>19</v>
      </c>
      <c r="Q46" s="719">
        <v>20</v>
      </c>
    </row>
    <row r="47" spans="1:19" s="398" customFormat="1" ht="13.15" customHeight="1">
      <c r="A47" s="458"/>
      <c r="B47" s="720" t="s">
        <v>1231</v>
      </c>
      <c r="C47" s="1443"/>
      <c r="D47" s="1445"/>
      <c r="E47" s="1443"/>
      <c r="F47" s="1444"/>
      <c r="G47" s="1445"/>
      <c r="H47" s="1461"/>
      <c r="I47" s="1470"/>
      <c r="J47" s="458"/>
      <c r="K47" s="458"/>
      <c r="L47" s="558"/>
      <c r="M47" s="1463"/>
      <c r="N47" s="1463"/>
      <c r="O47" s="1463"/>
      <c r="P47" s="1463"/>
      <c r="Q47" s="1463"/>
    </row>
    <row r="48" spans="1:19" s="398" customFormat="1" ht="13.15" customHeight="1">
      <c r="A48" s="458"/>
      <c r="B48" s="726" t="s">
        <v>1231</v>
      </c>
      <c r="C48" s="1443"/>
      <c r="D48" s="1445"/>
      <c r="E48" s="1443"/>
      <c r="F48" s="1444"/>
      <c r="G48" s="1445"/>
      <c r="H48" s="1461"/>
      <c r="I48" s="1470"/>
      <c r="J48" s="458"/>
      <c r="K48" s="458"/>
      <c r="L48" s="558"/>
      <c r="M48" s="719">
        <v>21</v>
      </c>
      <c r="N48" s="719">
        <v>22</v>
      </c>
      <c r="O48" s="719">
        <v>23</v>
      </c>
      <c r="P48" s="719">
        <v>24</v>
      </c>
      <c r="Q48" s="719">
        <v>25</v>
      </c>
    </row>
    <row r="49" spans="1:17" s="398" customFormat="1" ht="13.15" customHeight="1">
      <c r="A49" s="458"/>
      <c r="B49" s="714" t="s">
        <v>3334</v>
      </c>
      <c r="C49" s="458"/>
      <c r="D49" s="458"/>
      <c r="E49" s="458"/>
      <c r="F49" s="458"/>
      <c r="G49" s="458"/>
      <c r="H49" s="877">
        <f>SUM(H32:I48)</f>
        <v>7216363</v>
      </c>
      <c r="I49" s="878"/>
      <c r="J49" s="482"/>
      <c r="K49" s="458"/>
      <c r="L49" s="558"/>
      <c r="M49" s="1463"/>
      <c r="N49" s="1463"/>
      <c r="O49" s="1463"/>
      <c r="P49" s="1463"/>
      <c r="Q49" s="1463"/>
    </row>
    <row r="50" spans="1:17" s="398" customFormat="1" ht="13.15" customHeight="1" thickBot="1">
      <c r="A50" s="458"/>
      <c r="B50" s="714" t="s">
        <v>3335</v>
      </c>
      <c r="C50" s="458"/>
      <c r="D50" s="458"/>
      <c r="E50" s="458"/>
      <c r="F50" s="458"/>
      <c r="G50" s="458"/>
      <c r="H50" s="875">
        <f>'Part IV-Uses of Funds'!$G$123</f>
        <v>7216363</v>
      </c>
      <c r="I50" s="876"/>
      <c r="J50" s="482"/>
      <c r="K50" s="458"/>
      <c r="L50" s="558"/>
      <c r="M50" s="719">
        <v>26</v>
      </c>
      <c r="N50" s="719">
        <v>27</v>
      </c>
      <c r="O50" s="719">
        <v>28</v>
      </c>
      <c r="P50" s="719">
        <v>29</v>
      </c>
      <c r="Q50" s="719">
        <v>30</v>
      </c>
    </row>
    <row r="51" spans="1:17" s="398" customFormat="1" ht="13.15" customHeight="1" thickBot="1">
      <c r="A51" s="458"/>
      <c r="B51" s="464" t="s">
        <v>2277</v>
      </c>
      <c r="C51" s="458"/>
      <c r="D51" s="458"/>
      <c r="E51" s="458"/>
      <c r="F51" s="458"/>
      <c r="G51" s="458"/>
      <c r="H51" s="861">
        <f>H49-H50</f>
        <v>0</v>
      </c>
      <c r="I51" s="862"/>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880</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0" t="s">
        <v>4004</v>
      </c>
      <c r="B55" s="1256"/>
      <c r="C55" s="1256"/>
      <c r="D55" s="1256"/>
      <c r="E55" s="1256"/>
      <c r="F55" s="1256"/>
      <c r="G55" s="1256"/>
      <c r="H55" s="1256"/>
      <c r="I55" s="1256"/>
      <c r="J55" s="1257"/>
      <c r="K55" s="1293"/>
      <c r="L55" s="1256"/>
      <c r="M55" s="1256"/>
      <c r="N55" s="1256"/>
      <c r="O55" s="1256"/>
      <c r="P55" s="1256"/>
      <c r="Q55" s="1257"/>
    </row>
    <row r="56" spans="1:17" ht="51" customHeight="1">
      <c r="A56" s="1294" t="s">
        <v>4005</v>
      </c>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144" sqref="D144"/>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2011-023 The Village at Winding Road, St. Marys, Camden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3386</v>
      </c>
      <c r="B5" s="42"/>
      <c r="C5" s="1437"/>
      <c r="D5" s="374">
        <f>IF(C5&gt;1500000,1500000,0)</f>
        <v>0</v>
      </c>
      <c r="E5" s="375">
        <f>IF(C5&gt;1500000,C5-1500000,0)</f>
        <v>0</v>
      </c>
    </row>
    <row r="6" spans="1:17">
      <c r="A6" s="42" t="s">
        <v>3736</v>
      </c>
      <c r="B6" s="300" t="s">
        <v>746</v>
      </c>
      <c r="C6" s="376">
        <v>0</v>
      </c>
      <c r="D6" s="160" t="s">
        <v>747</v>
      </c>
      <c r="E6" s="42"/>
    </row>
    <row r="7" spans="1:17">
      <c r="A7" s="42"/>
      <c r="B7" s="300" t="s">
        <v>3752</v>
      </c>
      <c r="C7" s="1438"/>
      <c r="D7" s="160" t="s">
        <v>2660</v>
      </c>
      <c r="E7" s="42"/>
    </row>
    <row r="8" spans="1:17" ht="13.15" customHeight="1">
      <c r="A8" s="42" t="s">
        <v>3740</v>
      </c>
      <c r="B8" s="42"/>
      <c r="C8" s="376">
        <v>0</v>
      </c>
      <c r="D8" s="160" t="s">
        <v>2661</v>
      </c>
      <c r="E8" s="42"/>
    </row>
    <row r="9" spans="1:17">
      <c r="A9" s="42" t="s">
        <v>2094</v>
      </c>
      <c r="B9" s="42"/>
      <c r="C9" s="1439"/>
      <c r="D9" s="42"/>
      <c r="E9" s="42"/>
    </row>
    <row r="10" spans="1:17">
      <c r="A10" s="42" t="s">
        <v>2095</v>
      </c>
      <c r="B10" s="42"/>
      <c r="C10" s="1439"/>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3754</v>
      </c>
      <c r="B16" s="731" t="s">
        <v>3750</v>
      </c>
      <c r="C16" s="731" t="s">
        <v>3751</v>
      </c>
      <c r="D16" s="890" t="s">
        <v>3385</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2011-023 The Village at Winding Road, St. Marys, Camden County</v>
      </c>
      <c r="B58" s="882"/>
      <c r="C58" s="882"/>
      <c r="D58" s="882"/>
      <c r="E58" s="882"/>
      <c r="F58" s="882"/>
      <c r="G58" s="882" t="str">
        <f>CONCATENATE('Part I-Project Information'!$O$4," ",'Part I-Project Information'!$F$22,", ",'Part I-Project Information'!$F$24,", ",'Part I-Project Information'!$J$25," County")</f>
        <v>2011-023 The Village at Winding Road, St. Marys, Camden County</v>
      </c>
      <c r="H58" s="882"/>
      <c r="I58" s="882"/>
      <c r="J58" s="882"/>
      <c r="K58" s="882"/>
      <c r="L58" s="882"/>
    </row>
    <row r="59" spans="1:12" ht="15">
      <c r="A59" s="879" t="s">
        <v>3744</v>
      </c>
      <c r="B59" s="879"/>
      <c r="C59" s="879"/>
      <c r="D59" s="879"/>
      <c r="E59" s="879"/>
      <c r="F59" s="879"/>
      <c r="G59" s="879" t="s">
        <v>3744</v>
      </c>
      <c r="H59" s="879"/>
      <c r="I59" s="879"/>
      <c r="J59" s="879"/>
      <c r="K59" s="879"/>
      <c r="L59" s="879"/>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B1" workbookViewId="0">
      <selection activeCell="D144" sqref="D144"/>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2011-023 The Village at Winding Road, St. Marys, Camden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3386</v>
      </c>
      <c r="D5" s="1433"/>
      <c r="E5" s="891" t="s">
        <v>1553</v>
      </c>
      <c r="F5" s="892"/>
      <c r="G5" s="219"/>
    </row>
    <row r="6" spans="1:17">
      <c r="E6" s="892"/>
      <c r="F6" s="892"/>
      <c r="G6" s="219"/>
    </row>
    <row r="7" spans="1:17">
      <c r="A7" s="31" t="s">
        <v>3736</v>
      </c>
      <c r="C7" s="31" t="s">
        <v>3737</v>
      </c>
      <c r="D7" s="1434"/>
      <c r="E7" s="892"/>
      <c r="F7" s="892"/>
      <c r="G7" s="219"/>
    </row>
    <row r="8" spans="1:17">
      <c r="C8" s="31" t="s">
        <v>3738</v>
      </c>
      <c r="D8" s="1434"/>
      <c r="E8" s="892"/>
      <c r="F8" s="892"/>
      <c r="G8" s="219"/>
    </row>
    <row r="9" spans="1:17">
      <c r="C9" s="31" t="s">
        <v>3739</v>
      </c>
      <c r="D9" s="1434"/>
      <c r="E9" s="892"/>
      <c r="F9" s="892"/>
      <c r="G9" s="219"/>
    </row>
    <row r="10" spans="1:17">
      <c r="C10" s="31" t="s">
        <v>3752</v>
      </c>
      <c r="D10" s="318">
        <f>D7+D8+D9</f>
        <v>0</v>
      </c>
      <c r="E10" s="892"/>
      <c r="F10" s="892"/>
      <c r="G10" s="219"/>
    </row>
    <row r="11" spans="1:17">
      <c r="F11" s="219"/>
      <c r="G11" s="219"/>
    </row>
    <row r="12" spans="1:17">
      <c r="A12" s="31" t="s">
        <v>2742</v>
      </c>
      <c r="D12" s="1435"/>
      <c r="E12" s="31" t="s">
        <v>3231</v>
      </c>
      <c r="F12" s="219"/>
      <c r="G12" s="219"/>
    </row>
    <row r="13" spans="1:17">
      <c r="D13" s="273"/>
      <c r="F13" s="219"/>
      <c r="G13" s="219"/>
    </row>
    <row r="14" spans="1:17">
      <c r="A14" s="31" t="s">
        <v>3741</v>
      </c>
      <c r="D14" s="1436"/>
      <c r="E14" s="31" t="s">
        <v>3742</v>
      </c>
      <c r="F14" s="319"/>
    </row>
    <row r="15" spans="1:17">
      <c r="D15" s="292"/>
      <c r="F15" s="319"/>
    </row>
    <row r="16" spans="1:17">
      <c r="A16" s="31" t="s">
        <v>3743</v>
      </c>
      <c r="D16" s="1436"/>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2011-023 The Village at Winding Road, St. Marys, Camden County</v>
      </c>
      <c r="B50" s="882"/>
      <c r="C50" s="882"/>
      <c r="D50" s="882"/>
      <c r="E50" s="882"/>
      <c r="F50" s="882"/>
      <c r="G50" s="300"/>
      <c r="H50" s="300"/>
    </row>
    <row r="51" spans="1:10" ht="15">
      <c r="A51" s="879" t="s">
        <v>3744</v>
      </c>
      <c r="B51" s="879"/>
      <c r="C51" s="879"/>
      <c r="D51" s="879"/>
      <c r="E51" s="879"/>
      <c r="F51" s="879"/>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Normal="85" zoomScaleSheetLayoutView="90" workbookViewId="0">
      <selection activeCell="D144" sqref="D144"/>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2011-023 The Village at Winding Road, St. Marys, Camden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951</v>
      </c>
      <c r="B5" s="461" t="s">
        <v>1495</v>
      </c>
      <c r="H5" s="721"/>
      <c r="I5" s="721"/>
      <c r="J5" s="900" t="s">
        <v>359</v>
      </c>
      <c r="K5" s="901"/>
      <c r="L5" s="522"/>
      <c r="M5" s="910" t="s">
        <v>721</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3079</v>
      </c>
      <c r="G8" s="1392">
        <v>2000</v>
      </c>
      <c r="H8" s="1393"/>
      <c r="J8" s="1392">
        <v>2000</v>
      </c>
      <c r="K8" s="1393"/>
      <c r="L8" s="733"/>
      <c r="M8" s="1392"/>
      <c r="N8" s="1393"/>
      <c r="P8" s="1392"/>
      <c r="Q8" s="1393"/>
      <c r="S8" s="1392"/>
      <c r="T8" s="1393"/>
    </row>
    <row r="9" spans="1:21" s="458" customFormat="1" ht="12.6" customHeight="1">
      <c r="B9" s="458" t="s">
        <v>672</v>
      </c>
      <c r="G9" s="1392">
        <v>6000</v>
      </c>
      <c r="H9" s="1393"/>
      <c r="J9" s="1392">
        <v>6000</v>
      </c>
      <c r="K9" s="1393"/>
      <c r="L9" s="733"/>
      <c r="M9" s="1392"/>
      <c r="N9" s="1393"/>
      <c r="P9" s="1392"/>
      <c r="Q9" s="1393"/>
      <c r="S9" s="1392"/>
      <c r="T9" s="1393"/>
    </row>
    <row r="10" spans="1:21" s="458" customFormat="1" ht="12.6" customHeight="1">
      <c r="B10" s="458" t="s">
        <v>718</v>
      </c>
      <c r="G10" s="1392">
        <v>6000</v>
      </c>
      <c r="H10" s="1393"/>
      <c r="J10" s="1392">
        <v>6000</v>
      </c>
      <c r="K10" s="1393"/>
      <c r="L10" s="733"/>
      <c r="M10" s="1392"/>
      <c r="N10" s="1393"/>
      <c r="P10" s="1392"/>
      <c r="Q10" s="1393"/>
      <c r="S10" s="1392"/>
      <c r="T10" s="1393"/>
    </row>
    <row r="11" spans="1:21" s="458" customFormat="1" ht="12.6" customHeight="1">
      <c r="B11" s="458" t="s">
        <v>719</v>
      </c>
      <c r="G11" s="1392">
        <v>4000</v>
      </c>
      <c r="H11" s="1393"/>
      <c r="J11" s="1392">
        <v>4000</v>
      </c>
      <c r="K11" s="1393"/>
      <c r="L11" s="733"/>
      <c r="M11" s="1392"/>
      <c r="N11" s="1393"/>
      <c r="P11" s="1392"/>
      <c r="Q11" s="1393"/>
      <c r="S11" s="1392"/>
      <c r="T11" s="1393"/>
    </row>
    <row r="12" spans="1:21" s="458" customFormat="1" ht="12.6" customHeight="1">
      <c r="B12" s="458" t="s">
        <v>3780</v>
      </c>
      <c r="G12" s="1392">
        <v>20000</v>
      </c>
      <c r="H12" s="1393"/>
      <c r="J12" s="1392">
        <v>20000</v>
      </c>
      <c r="K12" s="1393"/>
      <c r="L12" s="733"/>
      <c r="M12" s="1392"/>
      <c r="N12" s="1393"/>
      <c r="P12" s="1392"/>
      <c r="Q12" s="1393"/>
      <c r="S12" s="1392"/>
      <c r="T12" s="1393"/>
    </row>
    <row r="13" spans="1:21" s="458" customFormat="1" ht="12.6" customHeight="1">
      <c r="B13" s="458" t="s">
        <v>248</v>
      </c>
      <c r="G13" s="1392"/>
      <c r="H13" s="1393"/>
      <c r="J13" s="1392"/>
      <c r="K13" s="1393"/>
      <c r="L13" s="733"/>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t="s">
        <v>3959</v>
      </c>
      <c r="D14" s="1394"/>
      <c r="E14" s="1394"/>
      <c r="F14" s="1395"/>
      <c r="G14" s="1392">
        <v>15000</v>
      </c>
      <c r="H14" s="1393"/>
      <c r="J14" s="1392">
        <v>15000</v>
      </c>
      <c r="K14" s="1393"/>
      <c r="L14" s="733"/>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t="s">
        <v>3660</v>
      </c>
      <c r="D15" s="1394"/>
      <c r="E15" s="1394"/>
      <c r="F15" s="1395"/>
      <c r="G15" s="1392"/>
      <c r="H15" s="1393"/>
      <c r="J15" s="1392"/>
      <c r="K15" s="1393"/>
      <c r="L15" s="733"/>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t="s">
        <v>3660</v>
      </c>
      <c r="D16" s="1394"/>
      <c r="E16" s="1394"/>
      <c r="F16" s="1395"/>
      <c r="G16" s="1392"/>
      <c r="H16" s="1393"/>
      <c r="J16" s="1396"/>
      <c r="K16" s="1397"/>
      <c r="L16" s="733"/>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53000</v>
      </c>
      <c r="H17" s="899"/>
      <c r="J17" s="898">
        <f>SUM(J8:K16)</f>
        <v>53000</v>
      </c>
      <c r="K17" s="922"/>
      <c r="L17" s="733"/>
      <c r="M17" s="898">
        <f>SUM(M8:N16)</f>
        <v>0</v>
      </c>
      <c r="N17" s="899"/>
      <c r="P17" s="898">
        <f>SUM(P8:Q16)</f>
        <v>0</v>
      </c>
      <c r="Q17" s="899"/>
      <c r="S17" s="898">
        <f>SUM(S8:T16)</f>
        <v>0</v>
      </c>
      <c r="T17" s="899"/>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603000</v>
      </c>
      <c r="H19" s="1393"/>
      <c r="J19" s="525"/>
      <c r="K19" s="522"/>
      <c r="L19" s="525"/>
      <c r="M19" s="525"/>
      <c r="N19" s="522"/>
      <c r="P19" s="525"/>
      <c r="Q19" s="522"/>
      <c r="S19" s="1392">
        <v>603000</v>
      </c>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8">
        <f>SUM(G19:H22)</f>
        <v>603000</v>
      </c>
      <c r="H23" s="899"/>
      <c r="J23" s="525"/>
      <c r="K23" s="522"/>
      <c r="L23" s="525"/>
      <c r="M23" s="898">
        <f>SUM(M21:N22)</f>
        <v>0</v>
      </c>
      <c r="N23" s="899"/>
      <c r="P23" s="525"/>
      <c r="Q23" s="522"/>
      <c r="S23" s="898">
        <f>SUM(S19:T22)</f>
        <v>603000</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750000</v>
      </c>
      <c r="H25" s="1393"/>
      <c r="J25" s="1396">
        <v>719820</v>
      </c>
      <c r="K25" s="1397"/>
      <c r="L25" s="733"/>
      <c r="M25" s="1396"/>
      <c r="N25" s="1397"/>
      <c r="P25" s="1396"/>
      <c r="Q25" s="1397"/>
      <c r="S25" s="1392">
        <v>30180</v>
      </c>
      <c r="T25" s="1393"/>
    </row>
    <row r="26" spans="2:20" s="458" customFormat="1" ht="12.6" customHeight="1" thickBot="1">
      <c r="B26" s="458" t="s">
        <v>1754</v>
      </c>
      <c r="G26" s="1392"/>
      <c r="H26" s="1393"/>
      <c r="J26" s="1396"/>
      <c r="K26" s="1397"/>
      <c r="L26" s="526"/>
      <c r="M26" s="916"/>
      <c r="N26" s="916"/>
      <c r="P26" s="916"/>
      <c r="Q26" s="916"/>
      <c r="S26" s="1392"/>
      <c r="T26" s="1393"/>
    </row>
    <row r="27" spans="2:20" s="458" customFormat="1" ht="12.6" customHeight="1" thickTop="1">
      <c r="F27" s="523" t="s">
        <v>249</v>
      </c>
      <c r="G27" s="898">
        <f>SUM(G25:H26)</f>
        <v>750000</v>
      </c>
      <c r="H27" s="899"/>
      <c r="J27" s="898">
        <f>SUM(J25:K26)</f>
        <v>719820</v>
      </c>
      <c r="K27" s="899"/>
      <c r="L27" s="525"/>
      <c r="M27" s="898">
        <f>M25</f>
        <v>0</v>
      </c>
      <c r="N27" s="899"/>
      <c r="P27" s="898">
        <f>P25</f>
        <v>0</v>
      </c>
      <c r="Q27" s="899"/>
      <c r="S27" s="898">
        <f>SUM(S25:T26)</f>
        <v>30180</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3120000</v>
      </c>
      <c r="H29" s="1393"/>
      <c r="J29" s="1392">
        <v>3120000</v>
      </c>
      <c r="K29" s="1393"/>
      <c r="L29" s="733"/>
      <c r="M29" s="1392"/>
      <c r="N29" s="1393"/>
      <c r="P29" s="1392"/>
      <c r="Q29" s="1393"/>
      <c r="S29" s="1392"/>
      <c r="T29" s="1393"/>
    </row>
    <row r="30" spans="2:20" s="458" customFormat="1" ht="12.6" customHeight="1">
      <c r="B30" s="458" t="s">
        <v>1757</v>
      </c>
      <c r="G30" s="1392"/>
      <c r="H30" s="1393"/>
      <c r="J30" s="1392"/>
      <c r="K30" s="1393"/>
      <c r="L30" s="733"/>
      <c r="M30" s="1392"/>
      <c r="N30" s="1393"/>
      <c r="P30" s="1392"/>
      <c r="Q30" s="1393"/>
      <c r="S30" s="1392"/>
      <c r="T30" s="1393"/>
    </row>
    <row r="31" spans="2:20" ht="12.6" customHeight="1" thickBot="1">
      <c r="B31" s="458" t="s">
        <v>1758</v>
      </c>
      <c r="G31" s="1392"/>
      <c r="H31" s="1393"/>
      <c r="I31" s="458"/>
      <c r="J31" s="1392"/>
      <c r="K31" s="1393"/>
      <c r="L31" s="733"/>
      <c r="M31" s="1392"/>
      <c r="N31" s="1393"/>
      <c r="O31" s="458"/>
      <c r="P31" s="1392"/>
      <c r="Q31" s="1393"/>
      <c r="R31" s="458"/>
      <c r="S31" s="1392"/>
      <c r="T31" s="1393"/>
    </row>
    <row r="32" spans="2:20" s="458" customFormat="1" ht="12.6" customHeight="1" thickTop="1">
      <c r="C32" s="917"/>
      <c r="D32" s="917"/>
      <c r="E32" s="734"/>
      <c r="F32" s="523" t="s">
        <v>249</v>
      </c>
      <c r="G32" s="898">
        <f>SUM(G29:H31)</f>
        <v>3120000</v>
      </c>
      <c r="H32" s="899"/>
      <c r="J32" s="898">
        <f>SUM(J29:K31)</f>
        <v>3120000</v>
      </c>
      <c r="K32" s="899"/>
      <c r="L32" s="733"/>
      <c r="M32" s="898">
        <f>SUM(M29:N31)</f>
        <v>0</v>
      </c>
      <c r="N32" s="899"/>
      <c r="P32" s="898">
        <f>SUM(P29:Q31)</f>
        <v>0</v>
      </c>
      <c r="Q32" s="899"/>
      <c r="S32" s="898">
        <f>SUM(S29:T31)</f>
        <v>0</v>
      </c>
      <c r="T32" s="899"/>
    </row>
    <row r="33" spans="1:20" s="458" customFormat="1" ht="13.15" customHeight="1">
      <c r="B33" s="461" t="s">
        <v>3493</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232200</v>
      </c>
      <c r="G34" s="1392">
        <v>232200</v>
      </c>
      <c r="H34" s="1393"/>
      <c r="I34" s="482"/>
      <c r="J34" s="1392">
        <v>232200</v>
      </c>
      <c r="K34" s="1393"/>
      <c r="L34" s="733"/>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309600</v>
      </c>
      <c r="G35" s="1392">
        <v>309600</v>
      </c>
      <c r="H35" s="1393"/>
      <c r="I35" s="482"/>
      <c r="J35" s="1392">
        <v>309600</v>
      </c>
      <c r="K35" s="1393"/>
      <c r="L35" s="733"/>
      <c r="M35" s="1392"/>
      <c r="N35" s="1393"/>
      <c r="P35" s="1392"/>
      <c r="Q35" s="1393"/>
      <c r="S35" s="1392"/>
      <c r="T35" s="1393"/>
    </row>
    <row r="36" spans="1:20" s="458" customFormat="1" ht="12.6" customHeight="1" thickTop="1">
      <c r="B36" s="458" t="s">
        <v>3131</v>
      </c>
      <c r="D36" s="530"/>
      <c r="E36" s="721"/>
      <c r="F36" s="621" t="s">
        <v>249</v>
      </c>
      <c r="G36" s="898">
        <f>SUM(G34:H35)</f>
        <v>541800</v>
      </c>
      <c r="H36" s="899"/>
      <c r="J36" s="898">
        <f>SUM(J34:K35)</f>
        <v>541800</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1761</v>
      </c>
      <c r="C38" s="532"/>
      <c r="D38" s="533">
        <f>B39/'Part VI-Revenues &amp; Expenses'!$M$63</f>
        <v>88236</v>
      </c>
      <c r="E38" s="533"/>
      <c r="F38" s="534" t="s">
        <v>2111</v>
      </c>
    </row>
    <row r="39" spans="1:20" s="458" customFormat="1" ht="12.6" customHeight="1">
      <c r="B39" s="918">
        <f>G27+G32+G36</f>
        <v>4411800</v>
      </c>
      <c r="C39" s="919"/>
      <c r="D39" s="535">
        <f>B39/'Part VI-Revenues &amp; Expenses'!$M$98</f>
        <v>88.590361445783131</v>
      </c>
      <c r="E39" s="535"/>
      <c r="F39" s="536" t="s">
        <v>1338</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0.05</v>
      </c>
      <c r="G42" s="1392">
        <v>220590</v>
      </c>
      <c r="H42" s="1393"/>
      <c r="I42" s="458"/>
      <c r="J42" s="1392">
        <v>220590</v>
      </c>
      <c r="K42" s="1393"/>
      <c r="L42" s="733"/>
      <c r="M42" s="1392"/>
      <c r="N42" s="1393"/>
      <c r="O42" s="458"/>
      <c r="P42" s="1392"/>
      <c r="Q42" s="1393"/>
      <c r="R42" s="458"/>
      <c r="S42" s="1392"/>
      <c r="T42" s="1393"/>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951</v>
      </c>
      <c r="B45" s="461" t="s">
        <v>1495</v>
      </c>
      <c r="H45" s="721"/>
      <c r="I45" s="721"/>
      <c r="J45" s="900" t="s">
        <v>359</v>
      </c>
      <c r="K45" s="901"/>
      <c r="L45" s="522"/>
      <c r="M45" s="910" t="s">
        <v>721</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49555</v>
      </c>
      <c r="H48" s="1393"/>
      <c r="J48" s="1392">
        <v>49555</v>
      </c>
      <c r="K48" s="1393"/>
      <c r="L48" s="733"/>
      <c r="M48" s="1392"/>
      <c r="N48" s="1393"/>
      <c r="P48" s="1392"/>
      <c r="Q48" s="1393"/>
      <c r="S48" s="1392"/>
      <c r="T48" s="1393"/>
    </row>
    <row r="49" spans="1:21" s="458" customFormat="1" ht="13.15" customHeight="1">
      <c r="B49" s="458" t="s">
        <v>3497</v>
      </c>
      <c r="G49" s="1392">
        <v>216699</v>
      </c>
      <c r="H49" s="1393"/>
      <c r="J49" s="1392">
        <v>216699</v>
      </c>
      <c r="K49" s="1393"/>
      <c r="L49" s="733"/>
      <c r="M49" s="1392"/>
      <c r="N49" s="1393"/>
      <c r="P49" s="1392"/>
      <c r="Q49" s="1393"/>
      <c r="S49" s="1392"/>
      <c r="T49" s="1393"/>
    </row>
    <row r="50" spans="1:21" s="458" customFormat="1" ht="13.15" customHeight="1">
      <c r="B50" s="458" t="s">
        <v>3498</v>
      </c>
      <c r="G50" s="1392">
        <v>10000</v>
      </c>
      <c r="H50" s="1393"/>
      <c r="J50" s="1392">
        <v>10000</v>
      </c>
      <c r="K50" s="1393"/>
      <c r="L50" s="733"/>
      <c r="M50" s="1392"/>
      <c r="N50" s="1393"/>
      <c r="P50" s="1392"/>
      <c r="Q50" s="1393"/>
      <c r="S50" s="1392"/>
      <c r="T50" s="1393"/>
    </row>
    <row r="51" spans="1:21" s="458" customFormat="1" ht="13.15" customHeight="1">
      <c r="B51" s="458" t="s">
        <v>1093</v>
      </c>
      <c r="G51" s="1392">
        <v>1000</v>
      </c>
      <c r="H51" s="1393"/>
      <c r="J51" s="1392">
        <v>1000</v>
      </c>
      <c r="K51" s="1393"/>
      <c r="L51" s="733"/>
      <c r="M51" s="1392"/>
      <c r="N51" s="1393"/>
      <c r="P51" s="1392"/>
      <c r="Q51" s="1393"/>
      <c r="S51" s="1392"/>
      <c r="T51" s="1393"/>
    </row>
    <row r="52" spans="1:21" s="458" customFormat="1" ht="13.15" customHeight="1">
      <c r="B52" s="458" t="s">
        <v>3499</v>
      </c>
      <c r="G52" s="1392">
        <v>20000</v>
      </c>
      <c r="H52" s="1393"/>
      <c r="J52" s="1392">
        <v>20000</v>
      </c>
      <c r="K52" s="1393"/>
      <c r="L52" s="733"/>
      <c r="M52" s="1392"/>
      <c r="N52" s="1393"/>
      <c r="P52" s="1392"/>
      <c r="Q52" s="1393"/>
      <c r="S52" s="1392"/>
      <c r="T52" s="1393"/>
    </row>
    <row r="53" spans="1:21" s="458" customFormat="1" ht="13.15" customHeight="1">
      <c r="B53" s="458" t="s">
        <v>372</v>
      </c>
      <c r="G53" s="1392"/>
      <c r="H53" s="1393"/>
      <c r="J53" s="1392"/>
      <c r="K53" s="1393"/>
      <c r="L53" s="733"/>
      <c r="M53" s="1392"/>
      <c r="N53" s="1393"/>
      <c r="P53" s="1392"/>
      <c r="Q53" s="1393"/>
      <c r="S53" s="1392"/>
      <c r="T53" s="1393"/>
    </row>
    <row r="54" spans="1:21" s="458" customFormat="1" ht="12.6" customHeight="1">
      <c r="B54" s="529" t="s">
        <v>1796</v>
      </c>
      <c r="D54" s="527"/>
      <c r="E54" s="527"/>
      <c r="F54" s="528"/>
      <c r="G54" s="1392"/>
      <c r="H54" s="1393"/>
      <c r="I54" s="482"/>
      <c r="J54" s="1392"/>
      <c r="K54" s="1393"/>
      <c r="L54" s="733"/>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t="s">
        <v>3660</v>
      </c>
      <c r="D55" s="1394"/>
      <c r="E55" s="1394"/>
      <c r="F55" s="1395"/>
      <c r="G55" s="1398"/>
      <c r="H55" s="1399"/>
      <c r="J55" s="1398"/>
      <c r="K55" s="1399"/>
      <c r="L55" s="733"/>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297254</v>
      </c>
      <c r="H56" s="899"/>
      <c r="J56" s="898">
        <f>SUM(J48:K55)</f>
        <v>297254</v>
      </c>
      <c r="K56" s="899"/>
      <c r="L56" s="525"/>
      <c r="M56" s="898">
        <f>SUM(M48:N55)</f>
        <v>0</v>
      </c>
      <c r="N56" s="899"/>
      <c r="P56" s="898">
        <f>SUM(P48:Q55)</f>
        <v>0</v>
      </c>
      <c r="Q56" s="899"/>
      <c r="S56" s="898">
        <f>SUM(S48:T55)</f>
        <v>0</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v>100000</v>
      </c>
      <c r="H58" s="1393"/>
      <c r="J58" s="1392">
        <v>100000</v>
      </c>
      <c r="K58" s="1393"/>
      <c r="L58" s="733"/>
      <c r="M58" s="1392"/>
      <c r="N58" s="1393"/>
      <c r="P58" s="1392"/>
      <c r="Q58" s="1393"/>
      <c r="S58" s="1392"/>
      <c r="T58" s="1393"/>
    </row>
    <row r="59" spans="1:21" s="458" customFormat="1" ht="13.15" customHeight="1">
      <c r="B59" s="458" t="s">
        <v>707</v>
      </c>
      <c r="G59" s="1392">
        <v>25000</v>
      </c>
      <c r="H59" s="1393"/>
      <c r="J59" s="1392">
        <v>25000</v>
      </c>
      <c r="K59" s="1393"/>
      <c r="L59" s="733"/>
      <c r="M59" s="1392"/>
      <c r="N59" s="1393"/>
      <c r="P59" s="1392"/>
      <c r="Q59" s="1393"/>
      <c r="S59" s="1392"/>
      <c r="T59" s="1393"/>
    </row>
    <row r="60" spans="1:21" s="458" customFormat="1" ht="13.15" customHeight="1">
      <c r="B60" s="458" t="s">
        <v>1762</v>
      </c>
      <c r="G60" s="1392">
        <v>20000</v>
      </c>
      <c r="H60" s="1393"/>
      <c r="J60" s="1392">
        <v>20000</v>
      </c>
      <c r="K60" s="1393"/>
      <c r="L60" s="733"/>
      <c r="M60" s="1392"/>
      <c r="N60" s="1393"/>
      <c r="P60" s="1392"/>
      <c r="Q60" s="1393"/>
      <c r="S60" s="1392"/>
      <c r="T60" s="1393"/>
    </row>
    <row r="61" spans="1:21" s="458" customFormat="1" ht="13.15" customHeight="1">
      <c r="B61" s="458" t="s">
        <v>1763</v>
      </c>
      <c r="G61" s="1392">
        <v>20000</v>
      </c>
      <c r="H61" s="1393"/>
      <c r="J61" s="1392">
        <v>20000</v>
      </c>
      <c r="K61" s="1393"/>
      <c r="L61" s="733"/>
      <c r="M61" s="1392"/>
      <c r="N61" s="1393"/>
      <c r="P61" s="1392"/>
      <c r="Q61" s="1393"/>
      <c r="S61" s="1392"/>
      <c r="T61" s="1393"/>
    </row>
    <row r="62" spans="1:21" s="458" customFormat="1" ht="13.15" customHeight="1">
      <c r="B62" s="458" t="s">
        <v>1764</v>
      </c>
      <c r="G62" s="1392"/>
      <c r="H62" s="1393"/>
      <c r="J62" s="1392"/>
      <c r="K62" s="1393"/>
      <c r="L62" s="733"/>
      <c r="M62" s="1392"/>
      <c r="N62" s="1393"/>
      <c r="P62" s="1392"/>
      <c r="Q62" s="1393"/>
      <c r="S62" s="1392"/>
      <c r="T62" s="1393"/>
    </row>
    <row r="63" spans="1:21" s="458" customFormat="1" ht="13.15" customHeight="1">
      <c r="B63" s="458" t="s">
        <v>1765</v>
      </c>
      <c r="G63" s="1392"/>
      <c r="H63" s="1393"/>
      <c r="J63" s="1392"/>
      <c r="K63" s="1393"/>
      <c r="L63" s="733"/>
      <c r="M63" s="1392"/>
      <c r="N63" s="1393"/>
      <c r="P63" s="1392"/>
      <c r="Q63" s="1393"/>
      <c r="S63" s="1392"/>
      <c r="T63" s="1393"/>
    </row>
    <row r="64" spans="1:21" s="458" customFormat="1" ht="13.15" customHeight="1">
      <c r="B64" s="458" t="s">
        <v>708</v>
      </c>
      <c r="G64" s="1392">
        <v>50000</v>
      </c>
      <c r="H64" s="1393"/>
      <c r="J64" s="1392">
        <v>50000</v>
      </c>
      <c r="K64" s="1393"/>
      <c r="L64" s="733"/>
      <c r="M64" s="1392"/>
      <c r="N64" s="1393"/>
      <c r="P64" s="1392"/>
      <c r="Q64" s="1393"/>
      <c r="S64" s="1392"/>
      <c r="T64" s="1393"/>
    </row>
    <row r="65" spans="1:21" s="458" customFormat="1" ht="13.15" customHeight="1">
      <c r="B65" s="458" t="s">
        <v>709</v>
      </c>
      <c r="G65" s="1392">
        <v>35000</v>
      </c>
      <c r="H65" s="1393"/>
      <c r="J65" s="1392">
        <v>35000</v>
      </c>
      <c r="K65" s="1393"/>
      <c r="L65" s="733"/>
      <c r="M65" s="1392"/>
      <c r="N65" s="1393"/>
      <c r="P65" s="1392"/>
      <c r="Q65" s="1393"/>
      <c r="S65" s="1392"/>
      <c r="T65" s="1393"/>
    </row>
    <row r="66" spans="1:21" s="458" customFormat="1" ht="13.15" customHeight="1">
      <c r="B66" s="458" t="s">
        <v>3141</v>
      </c>
      <c r="G66" s="1392">
        <v>15000</v>
      </c>
      <c r="H66" s="1393"/>
      <c r="J66" s="1392">
        <v>15000</v>
      </c>
      <c r="K66" s="1393"/>
      <c r="L66" s="733"/>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c r="D67" s="1394"/>
      <c r="E67" s="1394"/>
      <c r="F67" s="1395"/>
      <c r="G67" s="1392"/>
      <c r="H67" s="1393"/>
      <c r="J67" s="1392"/>
      <c r="K67" s="1393"/>
      <c r="L67" s="733"/>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265000</v>
      </c>
      <c r="H68" s="899"/>
      <c r="J68" s="898">
        <f>SUM(J58:K67)</f>
        <v>265000</v>
      </c>
      <c r="K68" s="899"/>
      <c r="L68" s="525"/>
      <c r="M68" s="898">
        <f>SUM(M58:N67)</f>
        <v>0</v>
      </c>
      <c r="N68" s="899"/>
      <c r="P68" s="898">
        <f>SUM(P58:Q67)</f>
        <v>0</v>
      </c>
      <c r="Q68" s="899"/>
      <c r="S68" s="898">
        <f>SUM(S58:T67)</f>
        <v>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31206</v>
      </c>
      <c r="H70" s="1393"/>
      <c r="J70" s="1392">
        <v>31206</v>
      </c>
      <c r="K70" s="1393"/>
      <c r="L70" s="733"/>
      <c r="M70" s="1392"/>
      <c r="N70" s="1393"/>
      <c r="P70" s="1392"/>
      <c r="Q70" s="1393"/>
      <c r="S70" s="1392"/>
      <c r="T70" s="1393"/>
    </row>
    <row r="71" spans="1:21" s="458" customFormat="1" ht="13.15" customHeight="1">
      <c r="B71" s="458" t="s">
        <v>1956</v>
      </c>
      <c r="G71" s="1392"/>
      <c r="H71" s="1393"/>
      <c r="J71" s="1392"/>
      <c r="K71" s="1393"/>
      <c r="L71" s="733"/>
      <c r="M71" s="1392"/>
      <c r="N71" s="1393"/>
      <c r="P71" s="1392"/>
      <c r="Q71" s="1393"/>
      <c r="S71" s="1392"/>
      <c r="T71" s="1393"/>
    </row>
    <row r="72" spans="1:21" s="458" customFormat="1" ht="13.15" customHeight="1">
      <c r="B72" s="458" t="s">
        <v>1957</v>
      </c>
      <c r="D72" s="539" t="s">
        <v>2112</v>
      </c>
      <c r="E72" s="1400" t="s">
        <v>3926</v>
      </c>
      <c r="G72" s="1392">
        <v>84505</v>
      </c>
      <c r="H72" s="1393"/>
      <c r="I72" s="482"/>
      <c r="J72" s="1392">
        <v>84505</v>
      </c>
      <c r="K72" s="1393"/>
      <c r="L72" s="733"/>
      <c r="M72" s="1392"/>
      <c r="N72" s="1393"/>
      <c r="P72" s="1392"/>
      <c r="Q72" s="1393"/>
      <c r="S72" s="1392"/>
      <c r="T72" s="1393"/>
    </row>
    <row r="73" spans="1:21" s="458" customFormat="1" ht="13.15" customHeight="1" thickBot="1">
      <c r="B73" s="458" t="s">
        <v>1958</v>
      </c>
      <c r="D73" s="539" t="s">
        <v>2112</v>
      </c>
      <c r="E73" s="1400" t="s">
        <v>3926</v>
      </c>
      <c r="G73" s="1392">
        <v>84505</v>
      </c>
      <c r="H73" s="1393"/>
      <c r="I73" s="482"/>
      <c r="J73" s="1392">
        <v>84505</v>
      </c>
      <c r="K73" s="1393"/>
      <c r="L73" s="733"/>
      <c r="M73" s="1392"/>
      <c r="N73" s="1393"/>
      <c r="P73" s="1392"/>
      <c r="Q73" s="1393"/>
      <c r="S73" s="1392"/>
      <c r="T73" s="1393"/>
    </row>
    <row r="74" spans="1:21" s="458" customFormat="1" ht="13.15" customHeight="1" thickTop="1">
      <c r="F74" s="523" t="s">
        <v>249</v>
      </c>
      <c r="G74" s="898">
        <f>SUM(G70:H73)</f>
        <v>200216</v>
      </c>
      <c r="H74" s="899"/>
      <c r="J74" s="898">
        <f>SUM(J70:K73)</f>
        <v>200216</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c r="H76" s="1393"/>
      <c r="J76" s="897"/>
      <c r="K76" s="897"/>
      <c r="L76" s="733"/>
      <c r="M76" s="897"/>
      <c r="N76" s="897"/>
      <c r="P76" s="897"/>
      <c r="Q76" s="897"/>
      <c r="S76" s="1392"/>
      <c r="T76" s="1393"/>
    </row>
    <row r="77" spans="1:21" s="458" customFormat="1" ht="13.15" customHeight="1">
      <c r="B77" s="458" t="s">
        <v>1960</v>
      </c>
      <c r="G77" s="1392"/>
      <c r="H77" s="1393"/>
      <c r="J77" s="906"/>
      <c r="K77" s="906"/>
      <c r="L77" s="733"/>
      <c r="M77" s="906"/>
      <c r="N77" s="906"/>
      <c r="P77" s="906"/>
      <c r="Q77" s="906"/>
      <c r="S77" s="1392"/>
      <c r="T77" s="1393"/>
    </row>
    <row r="78" spans="1:21" s="458" customFormat="1" ht="13.15" customHeight="1">
      <c r="B78" s="458" t="s">
        <v>1961</v>
      </c>
      <c r="G78" s="1392">
        <v>15000</v>
      </c>
      <c r="H78" s="1393"/>
      <c r="J78" s="1392">
        <v>15000</v>
      </c>
      <c r="K78" s="1393"/>
      <c r="L78" s="733"/>
      <c r="M78" s="1392"/>
      <c r="N78" s="1393"/>
      <c r="P78" s="1392"/>
      <c r="Q78" s="1393"/>
      <c r="S78" s="1392"/>
      <c r="T78" s="1393"/>
    </row>
    <row r="79" spans="1:21" s="458" customFormat="1" ht="13.15" customHeight="1">
      <c r="B79" s="458" t="s">
        <v>1962</v>
      </c>
      <c r="G79" s="1392">
        <v>5000</v>
      </c>
      <c r="H79" s="1393"/>
      <c r="J79" s="1392">
        <v>5000</v>
      </c>
      <c r="K79" s="1393"/>
      <c r="L79" s="733"/>
      <c r="M79" s="1392"/>
      <c r="N79" s="1393"/>
      <c r="P79" s="1392"/>
      <c r="Q79" s="1393"/>
      <c r="S79" s="1392"/>
      <c r="T79" s="1393"/>
    </row>
    <row r="80" spans="1:21" s="458" customFormat="1" ht="13.15" customHeight="1">
      <c r="B80" s="458" t="s">
        <v>1963</v>
      </c>
      <c r="G80" s="1392"/>
      <c r="H80" s="1393"/>
      <c r="J80" s="1392"/>
      <c r="K80" s="1393"/>
      <c r="L80" s="733"/>
      <c r="M80" s="1392"/>
      <c r="N80" s="1393"/>
      <c r="P80" s="1392"/>
      <c r="Q80" s="1393"/>
      <c r="S80" s="1392"/>
      <c r="T80" s="1393"/>
    </row>
    <row r="81" spans="1:21" s="458" customFormat="1" ht="13.15" customHeight="1">
      <c r="B81" s="458" t="s">
        <v>3439</v>
      </c>
      <c r="G81" s="1392"/>
      <c r="H81" s="1393"/>
      <c r="J81" s="1392"/>
      <c r="K81" s="1393"/>
      <c r="L81" s="733"/>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t="s">
        <v>3660</v>
      </c>
      <c r="D82" s="1394"/>
      <c r="E82" s="1394"/>
      <c r="F82" s="1395"/>
      <c r="G82" s="1392"/>
      <c r="H82" s="1393"/>
      <c r="J82" s="1392"/>
      <c r="K82" s="1393"/>
      <c r="L82" s="733"/>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20000</v>
      </c>
      <c r="H83" s="899"/>
      <c r="J83" s="898">
        <f>SUM(J78:K82)</f>
        <v>20000</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951</v>
      </c>
      <c r="B86" s="461" t="s">
        <v>1495</v>
      </c>
      <c r="H86" s="721"/>
      <c r="I86" s="721"/>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v>1000</v>
      </c>
      <c r="H89" s="1393"/>
      <c r="J89" s="525"/>
      <c r="K89" s="525"/>
      <c r="L89" s="733"/>
      <c r="M89" s="525"/>
      <c r="N89" s="525"/>
      <c r="P89" s="525"/>
      <c r="Q89" s="525"/>
      <c r="S89" s="1392">
        <v>1000</v>
      </c>
      <c r="T89" s="1393"/>
    </row>
    <row r="90" spans="1:21" s="458" customFormat="1" ht="12.6" customHeight="1">
      <c r="B90" s="458" t="s">
        <v>1859</v>
      </c>
      <c r="G90" s="1392">
        <v>4000</v>
      </c>
      <c r="H90" s="1393"/>
      <c r="J90" s="525"/>
      <c r="K90" s="525"/>
      <c r="L90" s="540"/>
      <c r="M90" s="525"/>
      <c r="N90" s="525"/>
      <c r="P90" s="525"/>
      <c r="Q90" s="525"/>
      <c r="S90" s="1392">
        <v>4000</v>
      </c>
      <c r="T90" s="1393"/>
    </row>
    <row r="91" spans="1:21" s="458" customFormat="1" ht="12.6" customHeight="1">
      <c r="B91" s="458" t="s">
        <v>2748</v>
      </c>
      <c r="G91" s="1392"/>
      <c r="H91" s="1393"/>
      <c r="J91" s="525"/>
      <c r="K91" s="525"/>
      <c r="L91" s="540"/>
      <c r="M91" s="525"/>
      <c r="N91" s="525"/>
      <c r="O91" s="721"/>
      <c r="P91" s="525"/>
      <c r="Q91" s="525"/>
      <c r="S91" s="1392"/>
      <c r="T91" s="1393"/>
    </row>
    <row r="92" spans="1:21" s="458" customFormat="1" ht="12.6" customHeight="1">
      <c r="B92" s="458" t="s">
        <v>812</v>
      </c>
      <c r="E92" s="920">
        <f>'DCA Underwriting Assumptions'!$Q$41*$J$165</f>
        <v>51181.970000000008</v>
      </c>
      <c r="F92" s="921"/>
      <c r="G92" s="1392">
        <v>51182</v>
      </c>
      <c r="H92" s="1393"/>
      <c r="J92" s="525"/>
      <c r="K92" s="525"/>
      <c r="L92" s="733"/>
      <c r="M92" s="525"/>
      <c r="N92" s="525"/>
      <c r="O92" s="721"/>
      <c r="P92" s="525"/>
      <c r="Q92" s="525"/>
      <c r="S92" s="1392">
        <v>51182</v>
      </c>
      <c r="T92" s="1393"/>
    </row>
    <row r="93" spans="1:21" s="458" customFormat="1" ht="12.6" customHeight="1">
      <c r="B93" s="458" t="s">
        <v>1245</v>
      </c>
      <c r="E93" s="920">
        <f>'Part VI-Revenues &amp; Expenses'!$M$63*'DCA Underwriting Assumptions'!$Q$44</f>
        <v>35000</v>
      </c>
      <c r="F93" s="921"/>
      <c r="G93" s="1392">
        <v>35000</v>
      </c>
      <c r="H93" s="1393"/>
      <c r="J93" s="418"/>
      <c r="K93" s="418"/>
      <c r="L93" s="418"/>
      <c r="M93" s="418"/>
      <c r="N93" s="418"/>
      <c r="O93" s="418"/>
      <c r="P93" s="418"/>
      <c r="Q93" s="418"/>
      <c r="S93" s="1392">
        <v>35000</v>
      </c>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1231</v>
      </c>
      <c r="C96" s="1394" t="s">
        <v>3660</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t="s">
        <v>3660</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94182</v>
      </c>
      <c r="H98" s="899"/>
      <c r="J98" s="525"/>
      <c r="K98" s="525"/>
      <c r="L98" s="733"/>
      <c r="M98" s="525"/>
      <c r="N98" s="525"/>
      <c r="P98" s="525"/>
      <c r="Q98" s="525"/>
      <c r="S98" s="898">
        <f>SUM(S89:T97)</f>
        <v>94182</v>
      </c>
      <c r="T98" s="899"/>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2500</v>
      </c>
      <c r="H100" s="1393"/>
      <c r="J100" s="897"/>
      <c r="K100" s="897"/>
      <c r="L100" s="733"/>
      <c r="M100" s="897"/>
      <c r="N100" s="897"/>
      <c r="O100" s="721"/>
      <c r="P100" s="897"/>
      <c r="Q100" s="897"/>
      <c r="S100" s="1392">
        <v>2500</v>
      </c>
      <c r="T100" s="1393"/>
    </row>
    <row r="101" spans="1:21" s="458" customFormat="1" ht="12.6" customHeight="1">
      <c r="B101" s="458" t="s">
        <v>373</v>
      </c>
      <c r="G101" s="1392">
        <v>5000</v>
      </c>
      <c r="H101" s="1393"/>
      <c r="J101" s="897"/>
      <c r="K101" s="897"/>
      <c r="L101" s="733"/>
      <c r="M101" s="897"/>
      <c r="N101" s="897"/>
      <c r="O101" s="721"/>
      <c r="P101" s="897"/>
      <c r="Q101" s="897"/>
      <c r="S101" s="1392">
        <v>5000</v>
      </c>
      <c r="T101" s="1393"/>
    </row>
    <row r="102" spans="1:21" s="458" customFormat="1" ht="12.6" customHeight="1">
      <c r="B102" s="458" t="s">
        <v>3615</v>
      </c>
      <c r="G102" s="1392"/>
      <c r="H102" s="1393"/>
      <c r="J102" s="897"/>
      <c r="K102" s="897"/>
      <c r="L102" s="733"/>
      <c r="M102" s="897"/>
      <c r="N102" s="897"/>
      <c r="O102" s="721"/>
      <c r="P102" s="897"/>
      <c r="Q102" s="897"/>
      <c r="S102" s="1392"/>
      <c r="T102" s="1393"/>
    </row>
    <row r="103" spans="1:21" s="458" customFormat="1" ht="12.6" customHeight="1" thickBot="1">
      <c r="A103" s="562" t="str">
        <f>IF(AND(G103&gt;0,OR(C103="",C103="&lt;Enter detailed description here; use Comments section if needed&gt;")),"X","")</f>
        <v/>
      </c>
      <c r="B103" s="458" t="s">
        <v>1231</v>
      </c>
      <c r="C103" s="1394" t="s">
        <v>3660</v>
      </c>
      <c r="D103" s="1394"/>
      <c r="E103" s="1394"/>
      <c r="F103" s="1395"/>
      <c r="G103" s="1392"/>
      <c r="H103" s="1393"/>
      <c r="J103" s="897"/>
      <c r="K103" s="897"/>
      <c r="L103" s="733"/>
      <c r="M103" s="897"/>
      <c r="N103" s="897"/>
      <c r="O103" s="721"/>
      <c r="P103" s="897"/>
      <c r="Q103" s="897"/>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7500</v>
      </c>
      <c r="H104" s="899"/>
      <c r="J104" s="897"/>
      <c r="K104" s="897"/>
      <c r="L104" s="733"/>
      <c r="M104" s="897"/>
      <c r="N104" s="897"/>
      <c r="O104" s="721"/>
      <c r="P104" s="897"/>
      <c r="Q104" s="897"/>
      <c r="S104" s="898">
        <f>SUM(S100:T103)</f>
        <v>7500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0.34736551226984652</v>
      </c>
      <c r="G106" s="1392">
        <v>289121</v>
      </c>
      <c r="H106" s="1393"/>
      <c r="J106" s="1392">
        <v>289121</v>
      </c>
      <c r="K106" s="1393"/>
      <c r="L106" s="524"/>
      <c r="M106" s="1392"/>
      <c r="N106" s="1393"/>
      <c r="P106" s="1392"/>
      <c r="Q106" s="1393"/>
      <c r="S106" s="1392"/>
      <c r="T106" s="1393"/>
    </row>
    <row r="107" spans="1:21" s="458" customFormat="1" ht="12.6" customHeight="1">
      <c r="B107" s="458" t="s">
        <v>2916</v>
      </c>
      <c r="F107" s="647">
        <f>G107/$G$109</f>
        <v>0.2</v>
      </c>
      <c r="G107" s="1392">
        <v>166465</v>
      </c>
      <c r="H107" s="1393"/>
      <c r="J107" s="1392">
        <v>166465</v>
      </c>
      <c r="K107" s="1393"/>
      <c r="L107" s="733"/>
      <c r="M107" s="1392"/>
      <c r="N107" s="1393"/>
      <c r="P107" s="1392"/>
      <c r="Q107" s="1393"/>
      <c r="S107" s="1392"/>
      <c r="T107" s="1393"/>
    </row>
    <row r="108" spans="1:21" s="458" customFormat="1" ht="12.6" customHeight="1" thickBot="1">
      <c r="B108" s="458" t="s">
        <v>2908</v>
      </c>
      <c r="F108" s="647">
        <f>G108/$G$109</f>
        <v>0.45263448773015347</v>
      </c>
      <c r="G108" s="1392">
        <v>376739</v>
      </c>
      <c r="H108" s="1393"/>
      <c r="J108" s="1392">
        <v>376739</v>
      </c>
      <c r="K108" s="1393"/>
      <c r="L108" s="733"/>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8">
        <f>SUM(G106:H108)</f>
        <v>832325</v>
      </c>
      <c r="H109" s="899"/>
      <c r="J109" s="898">
        <f>SUM(J106:K108)</f>
        <v>832325</v>
      </c>
      <c r="K109" s="899"/>
      <c r="L109" s="733"/>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29000</v>
      </c>
      <c r="H111" s="1393"/>
      <c r="J111" s="541"/>
      <c r="K111" s="541"/>
      <c r="L111" s="541"/>
      <c r="M111" s="541"/>
      <c r="N111" s="541"/>
      <c r="P111" s="541"/>
      <c r="Q111" s="541"/>
      <c r="S111" s="1392">
        <v>29000</v>
      </c>
      <c r="T111" s="1393"/>
    </row>
    <row r="112" spans="1:21" s="458" customFormat="1" ht="12.6" customHeight="1">
      <c r="B112" s="458" t="s">
        <v>2288</v>
      </c>
      <c r="G112" s="1392">
        <v>47496</v>
      </c>
      <c r="H112" s="1393"/>
      <c r="J112" s="897"/>
      <c r="K112" s="897"/>
      <c r="L112" s="733"/>
      <c r="M112" s="897"/>
      <c r="N112" s="897"/>
      <c r="O112" s="721"/>
      <c r="P112" s="897"/>
      <c r="Q112" s="897"/>
      <c r="R112" s="721"/>
      <c r="S112" s="1392">
        <v>47496</v>
      </c>
      <c r="T112" s="1393"/>
    </row>
    <row r="113" spans="1:21" s="458" customFormat="1" ht="12.6" customHeight="1">
      <c r="B113" s="458" t="s">
        <v>1029</v>
      </c>
      <c r="F113" s="482"/>
      <c r="G113" s="1392">
        <v>95000</v>
      </c>
      <c r="H113" s="1393"/>
      <c r="J113" s="540"/>
      <c r="K113" s="540"/>
      <c r="L113" s="540"/>
      <c r="M113" s="540"/>
      <c r="N113" s="540"/>
      <c r="O113" s="721"/>
      <c r="P113" s="540"/>
      <c r="Q113" s="540"/>
      <c r="R113" s="721"/>
      <c r="S113" s="1392">
        <v>95000</v>
      </c>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800</v>
      </c>
      <c r="G115" s="1392">
        <v>40000</v>
      </c>
      <c r="H115" s="1393"/>
      <c r="J115" s="1392">
        <v>40000</v>
      </c>
      <c r="K115" s="1393"/>
      <c r="L115" s="733"/>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t="s">
        <v>3660</v>
      </c>
      <c r="D116" s="1394"/>
      <c r="E116" s="1394"/>
      <c r="F116" s="1395"/>
      <c r="G116" s="1392"/>
      <c r="H116" s="1393"/>
      <c r="J116" s="1392"/>
      <c r="K116" s="1393"/>
      <c r="L116" s="733"/>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211496</v>
      </c>
      <c r="H117" s="899"/>
      <c r="J117" s="898">
        <f>SUM(J115:K116)</f>
        <v>40000</v>
      </c>
      <c r="K117" s="899"/>
      <c r="L117" s="733"/>
      <c r="M117" s="898">
        <f>SUM(M115:N116)</f>
        <v>0</v>
      </c>
      <c r="N117" s="899"/>
      <c r="P117" s="898">
        <f>SUM(P115:Q116)</f>
        <v>0</v>
      </c>
      <c r="Q117" s="899"/>
      <c r="S117" s="898">
        <f>SUM(S111:T116)</f>
        <v>171496</v>
      </c>
      <c r="T117" s="899"/>
    </row>
    <row r="118" spans="1:21" s="458" customFormat="1" ht="13.15" customHeight="1">
      <c r="B118" s="461" t="s">
        <v>944</v>
      </c>
      <c r="C118" s="714"/>
      <c r="H118" s="538"/>
      <c r="I118" s="538"/>
      <c r="J118" s="522"/>
      <c r="K118" s="522"/>
      <c r="M118" s="522"/>
      <c r="N118" s="522"/>
      <c r="O118" s="524" t="str">
        <f>B118</f>
        <v>OTHER COSTS</v>
      </c>
      <c r="P118" s="522"/>
      <c r="Q118" s="522"/>
      <c r="S118" s="522"/>
      <c r="T118" s="522"/>
    </row>
    <row r="119" spans="1:21" s="458" customFormat="1" ht="12.6" customHeight="1">
      <c r="B119" s="458" t="s">
        <v>945</v>
      </c>
      <c r="C119" s="714"/>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t="s">
        <v>3660</v>
      </c>
      <c r="D120" s="1394"/>
      <c r="E120" s="1394"/>
      <c r="F120" s="1395"/>
      <c r="G120" s="1392"/>
      <c r="H120" s="1393"/>
      <c r="J120" s="1392"/>
      <c r="K120" s="1393"/>
      <c r="L120" s="733"/>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375</v>
      </c>
      <c r="G123" s="907">
        <f>G17+G23+G27+G32+G36+G42+G56+G68+G74+G83+G98+G104+G109+G117+G121</f>
        <v>7216363</v>
      </c>
      <c r="H123" s="908"/>
      <c r="J123" s="907">
        <f>J17+J23+J27+J32+J36+J42+J56+J68+J74+J83+J98+J104+J109+J117+J121</f>
        <v>6310005</v>
      </c>
      <c r="K123" s="908"/>
      <c r="M123" s="907">
        <f>M17+M23+M27+M32+M36+M42+M56+M68+M74+M83+M98+M104+M109+M117+M121</f>
        <v>0</v>
      </c>
      <c r="N123" s="908"/>
      <c r="P123" s="907">
        <f>P17+P23+P27+P32+P36+P42+P56+P68+P74+P83+P98+P104+P109+P117+P121</f>
        <v>0</v>
      </c>
      <c r="Q123" s="908"/>
      <c r="S123" s="907">
        <f>S17+S23+S27+S32+S36+S42+S56+S68+S74+S83+S98+S104+S109+S117+S121</f>
        <v>906358</v>
      </c>
      <c r="T123" s="908"/>
    </row>
    <row r="124" spans="1:21" s="458" customFormat="1" ht="3" customHeight="1" thickBot="1">
      <c r="C124" s="714"/>
      <c r="H124" s="538"/>
      <c r="I124" s="538"/>
      <c r="L124" s="721"/>
    </row>
    <row r="125" spans="1:21" s="458" customFormat="1" ht="13.9" customHeight="1" thickBot="1">
      <c r="B125" s="465" t="s">
        <v>3896</v>
      </c>
      <c r="D125" s="951">
        <f>IF(AND($T$155 = "Yes", 'Part IX A-Scoring Criteria'!$O$176 &gt; 0),'DCA Underwriting Assumptions'!$R$13, IF(AND('Part IV-Uses of Funds'!$T$156="Yes", 'Part IX A-Scoring Criteria'!$O$74&gt;0),'DCA Underwriting Assumptions'!$R$12, 'DCA Underwriting Assumptions'!$R$11))</f>
        <v>7262454</v>
      </c>
      <c r="E125" s="952"/>
      <c r="F125" s="461" t="s">
        <v>1039</v>
      </c>
      <c r="G125" s="936">
        <f>G123/'Part VI-Revenues &amp; Expenses'!$M$63</f>
        <v>144327.26</v>
      </c>
      <c r="H125" s="937"/>
      <c r="I125" s="543"/>
      <c r="J125" s="465" t="s">
        <v>1040</v>
      </c>
      <c r="M125" s="936">
        <f>G123/'Part VI-Revenues &amp; Expenses'!$M$98</f>
        <v>144.90688755020079</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1230</v>
      </c>
      <c r="B128" s="408" t="s">
        <v>2146</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3136</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1"/>
      <c r="K131" s="1402"/>
      <c r="P131" s="1401"/>
      <c r="Q131" s="1402"/>
    </row>
    <row r="132" spans="2:17" s="458" customFormat="1" ht="13.9" customHeight="1">
      <c r="B132" s="721" t="s">
        <v>3256</v>
      </c>
      <c r="D132" s="721"/>
      <c r="E132" s="721"/>
      <c r="F132" s="721"/>
      <c r="G132" s="721"/>
      <c r="H132" s="721"/>
      <c r="I132" s="545"/>
      <c r="J132" s="1401"/>
      <c r="K132" s="1402"/>
      <c r="P132" s="1401"/>
      <c r="Q132" s="1402"/>
    </row>
    <row r="133" spans="2:17" s="458" customFormat="1" ht="13.9" customHeight="1">
      <c r="B133" s="721" t="s">
        <v>2918</v>
      </c>
      <c r="D133" s="721"/>
      <c r="E133" s="721"/>
      <c r="I133" s="545"/>
      <c r="J133" s="1401"/>
      <c r="K133" s="1402"/>
      <c r="P133" s="1401"/>
      <c r="Q133" s="1402"/>
    </row>
    <row r="134" spans="2:17" s="458" customFormat="1" ht="13.9" customHeight="1">
      <c r="B134" s="721" t="s">
        <v>2919</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2364</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1">
        <f>SUM(J131:K136)</f>
        <v>0</v>
      </c>
      <c r="K137" s="862"/>
      <c r="P137" s="861">
        <f>SUM(P131:Q136)</f>
        <v>0</v>
      </c>
      <c r="Q137" s="862"/>
    </row>
    <row r="138" spans="2:17" s="458" customFormat="1" ht="3" customHeight="1"/>
    <row r="139" spans="2:17" s="458" customFormat="1" ht="15" customHeight="1" thickBot="1">
      <c r="B139" s="461" t="s">
        <v>3488</v>
      </c>
    </row>
    <row r="140" spans="2:17" s="458" customFormat="1" ht="13.9" customHeight="1">
      <c r="B140" s="458" t="s">
        <v>2821</v>
      </c>
      <c r="J140" s="923">
        <f>J123</f>
        <v>6310005</v>
      </c>
      <c r="K140" s="924"/>
      <c r="M140" s="934">
        <f>M123</f>
        <v>0</v>
      </c>
      <c r="N140" s="935"/>
      <c r="P140" s="923">
        <f>P123</f>
        <v>0</v>
      </c>
      <c r="Q140" s="924"/>
    </row>
    <row r="141" spans="2:17" s="458" customFormat="1" ht="13.9" customHeight="1">
      <c r="B141" s="458" t="s">
        <v>3344</v>
      </c>
      <c r="J141" s="925">
        <f>J137</f>
        <v>0</v>
      </c>
      <c r="K141" s="926"/>
      <c r="M141" s="928"/>
      <c r="N141" s="928"/>
      <c r="P141" s="925">
        <f>P137</f>
        <v>0</v>
      </c>
      <c r="Q141" s="926"/>
    </row>
    <row r="142" spans="2:17" s="458" customFormat="1" ht="13.9" customHeight="1">
      <c r="B142" s="458" t="s">
        <v>3345</v>
      </c>
      <c r="J142" s="925">
        <f>J140-J141</f>
        <v>6310005</v>
      </c>
      <c r="K142" s="926"/>
      <c r="M142" s="925">
        <f>M140</f>
        <v>0</v>
      </c>
      <c r="N142" s="926"/>
      <c r="P142" s="925">
        <f>P140-P141</f>
        <v>0</v>
      </c>
      <c r="Q142" s="926"/>
    </row>
    <row r="143" spans="2:17" s="458" customFormat="1" ht="13.9" customHeight="1">
      <c r="B143" s="458" t="s">
        <v>2229</v>
      </c>
      <c r="G143" s="713" t="s">
        <v>2735</v>
      </c>
      <c r="H143" s="1403" t="s">
        <v>3987</v>
      </c>
      <c r="I143" s="1404"/>
      <c r="J143" s="1405">
        <v>1.2875000000000001</v>
      </c>
      <c r="K143" s="1406"/>
      <c r="M143" s="933"/>
      <c r="N143" s="933"/>
      <c r="P143" s="1405"/>
      <c r="Q143" s="1406"/>
    </row>
    <row r="144" spans="2:17" s="458" customFormat="1" ht="13.9" customHeight="1">
      <c r="B144" s="458" t="s">
        <v>3150</v>
      </c>
      <c r="J144" s="925">
        <f>J142*J143</f>
        <v>8124131.4375000009</v>
      </c>
      <c r="K144" s="926"/>
      <c r="M144" s="925">
        <f>+M142</f>
        <v>0</v>
      </c>
      <c r="N144" s="926"/>
      <c r="P144" s="925">
        <f>P142*P143</f>
        <v>0</v>
      </c>
      <c r="Q144" s="926"/>
    </row>
    <row r="145" spans="1:20" s="458" customFormat="1" ht="13.9" customHeight="1">
      <c r="B145" s="458" t="s">
        <v>3840</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3137</v>
      </c>
      <c r="J146" s="925">
        <f>J144*J145</f>
        <v>8124131.4375000009</v>
      </c>
      <c r="K146" s="926"/>
      <c r="M146" s="925">
        <f>M144*M145</f>
        <v>0</v>
      </c>
      <c r="N146" s="926"/>
      <c r="P146" s="925">
        <f>P144*P145</f>
        <v>0</v>
      </c>
      <c r="Q146" s="926"/>
    </row>
    <row r="147" spans="1:20" s="458" customFormat="1" ht="13.9" customHeight="1">
      <c r="B147" s="458" t="s">
        <v>3138</v>
      </c>
      <c r="J147" s="1405">
        <v>0.09</v>
      </c>
      <c r="K147" s="1406"/>
      <c r="M147" s="1405"/>
      <c r="N147" s="1406"/>
      <c r="P147" s="1405"/>
      <c r="Q147" s="1406"/>
    </row>
    <row r="148" spans="1:20" s="458" customFormat="1" ht="13.9" customHeight="1" thickBot="1">
      <c r="B148" s="458" t="s">
        <v>3841</v>
      </c>
      <c r="J148" s="929">
        <f>J146*J147</f>
        <v>731171.82937500009</v>
      </c>
      <c r="K148" s="930"/>
      <c r="M148" s="929">
        <f>M146*M147</f>
        <v>0</v>
      </c>
      <c r="N148" s="930"/>
      <c r="P148" s="929">
        <f>P146*P147</f>
        <v>0</v>
      </c>
      <c r="Q148" s="930"/>
    </row>
    <row r="149" spans="1:20" s="458" customFormat="1" ht="13.9" customHeight="1" thickBot="1">
      <c r="B149" s="458" t="s">
        <v>2144</v>
      </c>
      <c r="J149" s="861">
        <f>J148+M148+P148</f>
        <v>731171.82937500009</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1"/>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1"/>
      <c r="J152" s="931">
        <f>MIN(G123,D125)</f>
        <v>7216363</v>
      </c>
      <c r="K152" s="931"/>
      <c r="L152" s="931"/>
      <c r="M152" s="956" t="s">
        <v>3645</v>
      </c>
      <c r="N152" s="957"/>
      <c r="O152" s="957"/>
      <c r="P152" s="957"/>
      <c r="Q152" s="957"/>
      <c r="R152" s="958"/>
      <c r="S152" s="940"/>
      <c r="T152" s="941"/>
    </row>
    <row r="153" spans="1:20" s="458" customFormat="1" ht="13.9" customHeight="1">
      <c r="B153" s="458" t="s">
        <v>2650</v>
      </c>
      <c r="J153" s="1407">
        <v>7216363</v>
      </c>
      <c r="K153" s="1408"/>
      <c r="L153" s="1408"/>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110</v>
      </c>
      <c r="K154" s="928"/>
      <c r="L154" s="928"/>
      <c r="M154" s="956"/>
      <c r="N154" s="957"/>
      <c r="O154" s="957"/>
      <c r="P154" s="957"/>
      <c r="Q154" s="957"/>
      <c r="R154" s="958"/>
      <c r="S154" s="685"/>
      <c r="T154" s="688" t="s">
        <v>344</v>
      </c>
    </row>
    <row r="155" spans="1:20" s="458" customFormat="1" ht="13.9" customHeight="1">
      <c r="B155" s="458" t="s">
        <v>3357</v>
      </c>
      <c r="J155" s="925">
        <f>+J153-J154</f>
        <v>7216253</v>
      </c>
      <c r="K155" s="928"/>
      <c r="L155" s="928"/>
      <c r="M155" s="945" t="s">
        <v>342</v>
      </c>
      <c r="N155" s="932"/>
      <c r="O155" s="932" t="s">
        <v>2653</v>
      </c>
      <c r="P155" s="932"/>
      <c r="Q155" s="932"/>
      <c r="R155" s="946"/>
      <c r="S155" s="686" t="s">
        <v>2652</v>
      </c>
      <c r="T155" s="1409"/>
    </row>
    <row r="156" spans="1:20" s="458" customFormat="1" ht="13.9" customHeight="1" thickBot="1">
      <c r="B156" s="458" t="s">
        <v>1987</v>
      </c>
      <c r="J156" s="950" t="str">
        <f>"/ 10"</f>
        <v>/ 10</v>
      </c>
      <c r="K156" s="950"/>
      <c r="L156" s="950"/>
      <c r="M156" s="1410"/>
      <c r="N156" s="1411"/>
      <c r="O156" s="1412"/>
      <c r="P156" s="1412"/>
      <c r="Q156" s="1412"/>
      <c r="R156" s="1413"/>
      <c r="S156" s="687" t="s">
        <v>343</v>
      </c>
      <c r="T156" s="1414"/>
    </row>
    <row r="157" spans="1:20" s="458" customFormat="1" ht="13.9" customHeight="1">
      <c r="B157" s="458" t="s">
        <v>1988</v>
      </c>
      <c r="J157" s="925">
        <f>J155/10</f>
        <v>721625.3</v>
      </c>
      <c r="K157" s="928"/>
      <c r="L157" s="926"/>
      <c r="M157" s="482"/>
      <c r="N157" s="782" t="s">
        <v>1989</v>
      </c>
      <c r="O157" s="782"/>
      <c r="Q157" s="782" t="s">
        <v>2830</v>
      </c>
      <c r="R157" s="782"/>
    </row>
    <row r="158" spans="1:20" s="458" customFormat="1" ht="13.9" customHeight="1" thickBot="1">
      <c r="B158" s="458" t="s">
        <v>2228</v>
      </c>
      <c r="J158" s="942">
        <f>N158+Q158</f>
        <v>0.97</v>
      </c>
      <c r="K158" s="943"/>
      <c r="L158" s="944"/>
      <c r="M158" s="713" t="s">
        <v>1990</v>
      </c>
      <c r="N158" s="1415">
        <v>0.72</v>
      </c>
      <c r="O158" s="1416"/>
      <c r="P158" s="713" t="s">
        <v>946</v>
      </c>
      <c r="Q158" s="1415">
        <v>0.25</v>
      </c>
      <c r="R158" s="1416"/>
    </row>
    <row r="159" spans="1:20" s="458" customFormat="1" ht="13.9" customHeight="1" thickBot="1">
      <c r="B159" s="458" t="s">
        <v>2145</v>
      </c>
      <c r="J159" s="861">
        <f>IF(J158=0,"",J157/J158)</f>
        <v>743943.60824742273</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448</v>
      </c>
      <c r="J161" s="947">
        <f>+MIN(J149,J159,'DCA Underwriting Assumptions'!$R$6)</f>
        <v>731171.82937500009</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449</v>
      </c>
      <c r="J163" s="1417">
        <v>731171</v>
      </c>
      <c r="K163" s="1418"/>
      <c r="L163" s="1419"/>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2823</v>
      </c>
      <c r="B165" s="461" t="s">
        <v>450</v>
      </c>
      <c r="D165" s="482"/>
      <c r="E165" s="482"/>
      <c r="F165" s="464"/>
      <c r="J165" s="947">
        <f>+MIN(J161,J163)</f>
        <v>731171</v>
      </c>
      <c r="K165" s="948"/>
      <c r="L165" s="949"/>
      <c r="N165" s="1420"/>
      <c r="O165" s="1420"/>
      <c r="P165" s="1420"/>
      <c r="Q165" s="1420"/>
      <c r="R165" s="1420"/>
      <c r="S165" s="1420"/>
      <c r="T165" s="1420"/>
    </row>
    <row r="166" spans="1:20" ht="3" customHeight="1"/>
    <row r="167" spans="1:20" ht="6" customHeight="1"/>
    <row r="168" spans="1:20" ht="12" customHeight="1">
      <c r="A168" s="461" t="s">
        <v>2825</v>
      </c>
      <c r="B168" s="491" t="s">
        <v>880</v>
      </c>
      <c r="K168" s="461" t="s">
        <v>823</v>
      </c>
      <c r="L168" s="461" t="s">
        <v>89</v>
      </c>
    </row>
    <row r="169" spans="1:20" ht="107.45" customHeight="1">
      <c r="A169" s="1421" t="s">
        <v>3991</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4005</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t="s">
        <v>4038</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144" sqref="D144"/>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2011-023 The Village at Winding Road, St. Marys, Camden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2" t="str">
        <f>VLOOKUP('Part I-Project Information'!$J$25,'Part I-Project Information'!$C$183:$D$342,2)</f>
        <v>South</v>
      </c>
    </row>
    <row r="4" spans="1:20" s="9" customFormat="1"/>
    <row r="5" spans="1:20" s="9" customFormat="1">
      <c r="A5" s="16" t="s">
        <v>951</v>
      </c>
      <c r="B5" s="16" t="s">
        <v>3352</v>
      </c>
      <c r="F5" s="9" t="s">
        <v>3806</v>
      </c>
      <c r="I5" s="1361" t="s">
        <v>334</v>
      </c>
      <c r="J5" s="1362"/>
      <c r="K5" s="1362"/>
      <c r="L5" s="1362"/>
      <c r="M5" s="1363"/>
    </row>
    <row r="6" spans="1:20" s="9" customFormat="1" ht="13.15" customHeight="1">
      <c r="A6" s="16"/>
      <c r="F6" s="9" t="s">
        <v>973</v>
      </c>
      <c r="H6" s="31"/>
      <c r="I6" s="1364">
        <v>40695</v>
      </c>
      <c r="J6" s="1365"/>
      <c r="K6" s="77" t="s">
        <v>834</v>
      </c>
      <c r="L6" s="1366" t="s">
        <v>3960</v>
      </c>
      <c r="M6" s="1363"/>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7" t="s">
        <v>3961</v>
      </c>
      <c r="E10" s="1368"/>
      <c r="F10" s="1369" t="s">
        <v>652</v>
      </c>
      <c r="G10" s="1369"/>
      <c r="H10" s="342"/>
      <c r="I10" s="1370"/>
      <c r="J10" s="1370">
        <v>2</v>
      </c>
      <c r="K10" s="1370">
        <v>2</v>
      </c>
      <c r="L10" s="1370"/>
      <c r="M10" s="1370"/>
    </row>
    <row r="11" spans="1:20" s="9" customFormat="1">
      <c r="B11" s="343" t="s">
        <v>687</v>
      </c>
      <c r="C11" s="344"/>
      <c r="D11" s="343" t="s">
        <v>2358</v>
      </c>
      <c r="E11" s="344"/>
      <c r="F11" s="1371" t="s">
        <v>652</v>
      </c>
      <c r="G11" s="1371"/>
      <c r="H11" s="345"/>
      <c r="I11" s="1372"/>
      <c r="J11" s="1372">
        <v>38</v>
      </c>
      <c r="K11" s="1372">
        <v>48</v>
      </c>
      <c r="L11" s="1373"/>
      <c r="M11" s="1373"/>
    </row>
    <row r="12" spans="1:20" s="9" customFormat="1">
      <c r="B12" s="343" t="s">
        <v>2359</v>
      </c>
      <c r="C12" s="344"/>
      <c r="D12" s="1374" t="s">
        <v>2358</v>
      </c>
      <c r="E12" s="1375"/>
      <c r="F12" s="1371" t="s">
        <v>652</v>
      </c>
      <c r="G12" s="1371"/>
      <c r="H12" s="345"/>
      <c r="I12" s="1372"/>
      <c r="J12" s="1372">
        <v>9</v>
      </c>
      <c r="K12" s="1372">
        <v>12</v>
      </c>
      <c r="L12" s="1373"/>
      <c r="M12" s="1373"/>
    </row>
    <row r="13" spans="1:20" s="9" customFormat="1">
      <c r="B13" s="343" t="s">
        <v>2360</v>
      </c>
      <c r="C13" s="344"/>
      <c r="D13" s="1374" t="s">
        <v>2358</v>
      </c>
      <c r="E13" s="1375"/>
      <c r="F13" s="1371" t="s">
        <v>652</v>
      </c>
      <c r="G13" s="1371"/>
      <c r="H13" s="345"/>
      <c r="I13" s="1372"/>
      <c r="J13" s="1372">
        <v>28</v>
      </c>
      <c r="K13" s="1372">
        <v>36</v>
      </c>
      <c r="L13" s="1373"/>
      <c r="M13" s="1373"/>
    </row>
    <row r="14" spans="1:20" s="9" customFormat="1">
      <c r="B14" s="343" t="s">
        <v>2361</v>
      </c>
      <c r="C14" s="344"/>
      <c r="D14" s="343" t="s">
        <v>2358</v>
      </c>
      <c r="E14" s="346"/>
      <c r="F14" s="1371" t="s">
        <v>652</v>
      </c>
      <c r="G14" s="1371"/>
      <c r="H14" s="345"/>
      <c r="I14" s="1372"/>
      <c r="J14" s="1372">
        <v>26</v>
      </c>
      <c r="K14" s="1372">
        <v>33</v>
      </c>
      <c r="L14" s="1373"/>
      <c r="M14" s="1373"/>
    </row>
    <row r="15" spans="1:20" s="9" customFormat="1">
      <c r="B15" s="343" t="s">
        <v>2073</v>
      </c>
      <c r="C15" s="344"/>
      <c r="D15" s="343" t="s">
        <v>3351</v>
      </c>
      <c r="E15" s="1376"/>
      <c r="F15" s="1371" t="s">
        <v>652</v>
      </c>
      <c r="G15" s="1371"/>
      <c r="H15" s="345"/>
      <c r="I15" s="1372"/>
      <c r="J15" s="1372">
        <v>39</v>
      </c>
      <c r="K15" s="1372">
        <v>49</v>
      </c>
      <c r="L15" s="1373"/>
      <c r="M15" s="1373"/>
    </row>
    <row r="16" spans="1:20" s="9" customFormat="1">
      <c r="B16" s="347" t="s">
        <v>2905</v>
      </c>
      <c r="C16" s="348"/>
      <c r="D16" s="347"/>
      <c r="E16" s="315"/>
      <c r="F16" s="1377"/>
      <c r="G16" s="1377" t="s">
        <v>652</v>
      </c>
      <c r="H16" s="349"/>
      <c r="I16" s="1378"/>
      <c r="J16" s="1378"/>
      <c r="K16" s="1378"/>
      <c r="L16" s="1379"/>
      <c r="M16" s="1379"/>
    </row>
    <row r="17" spans="1:19" s="9" customFormat="1">
      <c r="B17" s="337" t="s">
        <v>1641</v>
      </c>
      <c r="D17" s="31"/>
      <c r="E17" s="31"/>
      <c r="F17" s="111"/>
      <c r="G17" s="111"/>
      <c r="I17" s="736">
        <f>SUM(I10:I16)</f>
        <v>0</v>
      </c>
      <c r="J17" s="736">
        <f>SUM(J10:J16)</f>
        <v>142</v>
      </c>
      <c r="K17" s="736">
        <f>SUM(K10:K16)</f>
        <v>180</v>
      </c>
      <c r="L17" s="736">
        <f>SUM(L10:L16)</f>
        <v>0</v>
      </c>
      <c r="M17" s="736">
        <f>SUM(M10:M16)</f>
        <v>0</v>
      </c>
    </row>
    <row r="18" spans="1:19" s="9" customFormat="1" ht="11.25" customHeight="1">
      <c r="M18" s="31"/>
      <c r="N18" s="31"/>
      <c r="O18" s="31"/>
      <c r="P18" s="31"/>
      <c r="Q18" s="31"/>
      <c r="R18" s="31"/>
      <c r="S18" s="31"/>
    </row>
    <row r="19" spans="1:19" s="9" customFormat="1">
      <c r="A19" s="16" t="s">
        <v>1230</v>
      </c>
      <c r="B19" s="16" t="s">
        <v>3353</v>
      </c>
      <c r="F19" s="9" t="s">
        <v>3806</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7" t="s">
        <v>2861</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2861</v>
      </c>
      <c r="E26" s="1375"/>
      <c r="F26" s="1371"/>
      <c r="G26" s="1371"/>
      <c r="H26" s="345"/>
      <c r="I26" s="1372"/>
      <c r="J26" s="1372"/>
      <c r="K26" s="1372"/>
      <c r="L26" s="1373"/>
      <c r="M26" s="1373"/>
    </row>
    <row r="27" spans="1:19" s="9" customFormat="1">
      <c r="B27" s="343" t="s">
        <v>2360</v>
      </c>
      <c r="C27" s="344"/>
      <c r="D27" s="1374" t="s">
        <v>2861</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2011-06-22T17:06:31Z</cp:lastPrinted>
  <dcterms:created xsi:type="dcterms:W3CDTF">2005-09-15T20:51:37Z</dcterms:created>
  <dcterms:modified xsi:type="dcterms:W3CDTF">2011-08-10T16:01:53Z</dcterms:modified>
</cp:coreProperties>
</file>