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65" yWindow="6300" windowWidth="15450" windowHeight="769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J1563"/>
  <c r="S103" i="15"/>
  <c r="S1544" i="35"/>
  <c r="J1604"/>
  <c r="S1612"/>
  <c r="G32" i="15"/>
  <c r="E35"/>
  <c r="G27"/>
  <c r="D10" i="25"/>
  <c r="J32" i="3" s="1"/>
  <c r="J385" i="35" s="1"/>
  <c r="E55" i="25"/>
  <c r="L32" i="3"/>
  <c r="L385" i="35" s="1"/>
  <c r="H32" i="3"/>
  <c r="H385" i="35" s="1"/>
  <c r="K10" i="36"/>
  <c r="L10" s="1"/>
  <c r="K11"/>
  <c r="L11" s="1"/>
  <c r="K12"/>
  <c r="L12" s="1"/>
  <c r="K13"/>
  <c r="L13" s="1"/>
  <c r="K14"/>
  <c r="L14" s="1"/>
  <c r="K15"/>
  <c r="L15" s="1"/>
  <c r="K16"/>
  <c r="L16" s="1"/>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P134" i="36"/>
  <c r="P137" s="1"/>
  <c r="K88" i="8" s="1"/>
  <c r="G109" i="36"/>
  <c r="B17" i="8" s="1"/>
  <c r="F146" i="36"/>
  <c r="F155"/>
  <c r="F166"/>
  <c r="K144"/>
  <c r="K153"/>
  <c r="K163"/>
  <c r="P145"/>
  <c r="T22"/>
  <c r="T23"/>
  <c r="T24"/>
  <c r="T10"/>
  <c r="T11"/>
  <c r="T12"/>
  <c r="T13"/>
  <c r="T14"/>
  <c r="T15"/>
  <c r="T16"/>
  <c r="T17"/>
  <c r="T18"/>
  <c r="T19"/>
  <c r="T20"/>
  <c r="T21"/>
  <c r="T25"/>
  <c r="T26"/>
  <c r="T27"/>
  <c r="T28"/>
  <c r="T29"/>
  <c r="T30"/>
  <c r="T31"/>
  <c r="T32"/>
  <c r="T33"/>
  <c r="T34"/>
  <c r="T35"/>
  <c r="T36"/>
  <c r="T37"/>
  <c r="T38"/>
  <c r="T39"/>
  <c r="T40"/>
  <c r="T41"/>
  <c r="T42"/>
  <c r="T43"/>
  <c r="T44"/>
  <c r="T45"/>
  <c r="T46"/>
  <c r="T47"/>
  <c r="Y22"/>
  <c r="Y23"/>
  <c r="Y24"/>
  <c r="Y10"/>
  <c r="Y11"/>
  <c r="Y12"/>
  <c r="Y13"/>
  <c r="Y14"/>
  <c r="Y15"/>
  <c r="Y16"/>
  <c r="Y17"/>
  <c r="Y18"/>
  <c r="Y19"/>
  <c r="Y20"/>
  <c r="Y21"/>
  <c r="Y25"/>
  <c r="Y26"/>
  <c r="Y27"/>
  <c r="Y28"/>
  <c r="Y29"/>
  <c r="Y30"/>
  <c r="Y31"/>
  <c r="Y32"/>
  <c r="Y33"/>
  <c r="Y34"/>
  <c r="Y35"/>
  <c r="Y36"/>
  <c r="Y37"/>
  <c r="Y38"/>
  <c r="Y39"/>
  <c r="Y40"/>
  <c r="Y41"/>
  <c r="Y42"/>
  <c r="Y43"/>
  <c r="Y44"/>
  <c r="Y45"/>
  <c r="Y46"/>
  <c r="Y47"/>
  <c r="AI22"/>
  <c r="AI23"/>
  <c r="AI24"/>
  <c r="AI10"/>
  <c r="AI11"/>
  <c r="AI12"/>
  <c r="AI13"/>
  <c r="AI14"/>
  <c r="AI15"/>
  <c r="AI16"/>
  <c r="AI17"/>
  <c r="AI18"/>
  <c r="AI19"/>
  <c r="AI20"/>
  <c r="AI21"/>
  <c r="AI25"/>
  <c r="AI26"/>
  <c r="AI27"/>
  <c r="AI28"/>
  <c r="AI29"/>
  <c r="AI30"/>
  <c r="AI31"/>
  <c r="AI32"/>
  <c r="AI33"/>
  <c r="AI34"/>
  <c r="AI35"/>
  <c r="AI36"/>
  <c r="AI37"/>
  <c r="AI38"/>
  <c r="AI39"/>
  <c r="AI40"/>
  <c r="AI41"/>
  <c r="AI42"/>
  <c r="AI43"/>
  <c r="AI44"/>
  <c r="AI45"/>
  <c r="AI46"/>
  <c r="AI47"/>
  <c r="BR22"/>
  <c r="BR23"/>
  <c r="BR24"/>
  <c r="BR10"/>
  <c r="BR11"/>
  <c r="BR12"/>
  <c r="BR13"/>
  <c r="BR14"/>
  <c r="BR15"/>
  <c r="BR16"/>
  <c r="BR17"/>
  <c r="BR18"/>
  <c r="BR19"/>
  <c r="BR20"/>
  <c r="BR21"/>
  <c r="BR25"/>
  <c r="BR26"/>
  <c r="BR27"/>
  <c r="BR28"/>
  <c r="BR29"/>
  <c r="BR30"/>
  <c r="BR31"/>
  <c r="BR32"/>
  <c r="BR33"/>
  <c r="BR34"/>
  <c r="BR35"/>
  <c r="BR36"/>
  <c r="BR37"/>
  <c r="BR38"/>
  <c r="BR39"/>
  <c r="BR40"/>
  <c r="BR41"/>
  <c r="BR42"/>
  <c r="BR43"/>
  <c r="BR44"/>
  <c r="BR45"/>
  <c r="BR46"/>
  <c r="BR47"/>
  <c r="U22"/>
  <c r="U23"/>
  <c r="U24"/>
  <c r="U10"/>
  <c r="U11"/>
  <c r="U12"/>
  <c r="U13"/>
  <c r="U14"/>
  <c r="U15"/>
  <c r="U16"/>
  <c r="U17"/>
  <c r="U18"/>
  <c r="U19"/>
  <c r="U20"/>
  <c r="U21"/>
  <c r="U25"/>
  <c r="U26"/>
  <c r="U27"/>
  <c r="U28"/>
  <c r="U29"/>
  <c r="U30"/>
  <c r="U31"/>
  <c r="U32"/>
  <c r="U33"/>
  <c r="U34"/>
  <c r="U35"/>
  <c r="U36"/>
  <c r="U37"/>
  <c r="U38"/>
  <c r="U39"/>
  <c r="U40"/>
  <c r="U41"/>
  <c r="U42"/>
  <c r="U43"/>
  <c r="U44"/>
  <c r="U45"/>
  <c r="U46"/>
  <c r="U47"/>
  <c r="Z22"/>
  <c r="Z23"/>
  <c r="Z24"/>
  <c r="Z10"/>
  <c r="Z11"/>
  <c r="Z12"/>
  <c r="Z13"/>
  <c r="Z14"/>
  <c r="Z15"/>
  <c r="Z16"/>
  <c r="Z17"/>
  <c r="Z18"/>
  <c r="Z19"/>
  <c r="Z20"/>
  <c r="Z21"/>
  <c r="Z25"/>
  <c r="Z26"/>
  <c r="Z27"/>
  <c r="Z28"/>
  <c r="Z29"/>
  <c r="Z30"/>
  <c r="Z31"/>
  <c r="Z32"/>
  <c r="Z33"/>
  <c r="Z34"/>
  <c r="Z35"/>
  <c r="Z36"/>
  <c r="Z37"/>
  <c r="Z38"/>
  <c r="Z39"/>
  <c r="Z40"/>
  <c r="Z41"/>
  <c r="Z42"/>
  <c r="Z43"/>
  <c r="Z44"/>
  <c r="Z45"/>
  <c r="Z46"/>
  <c r="Z47"/>
  <c r="AJ22"/>
  <c r="AJ23"/>
  <c r="AJ24"/>
  <c r="AJ10"/>
  <c r="AJ11"/>
  <c r="AJ12"/>
  <c r="AJ13"/>
  <c r="AJ14"/>
  <c r="AJ15"/>
  <c r="AJ16"/>
  <c r="AJ17"/>
  <c r="AJ18"/>
  <c r="AJ19"/>
  <c r="AJ20"/>
  <c r="AJ21"/>
  <c r="AJ25"/>
  <c r="AJ26"/>
  <c r="AJ27"/>
  <c r="AJ28"/>
  <c r="AJ29"/>
  <c r="AJ30"/>
  <c r="AJ31"/>
  <c r="AJ32"/>
  <c r="AJ33"/>
  <c r="AJ34"/>
  <c r="AJ35"/>
  <c r="AJ36"/>
  <c r="AJ37"/>
  <c r="AJ38"/>
  <c r="AJ39"/>
  <c r="AJ40"/>
  <c r="AJ41"/>
  <c r="AJ42"/>
  <c r="AJ43"/>
  <c r="AJ44"/>
  <c r="AJ45"/>
  <c r="AJ46"/>
  <c r="AJ47"/>
  <c r="BS22"/>
  <c r="BS23"/>
  <c r="BS24"/>
  <c r="BS10"/>
  <c r="BS11"/>
  <c r="BS12"/>
  <c r="BS13"/>
  <c r="BS14"/>
  <c r="BS15"/>
  <c r="BS16"/>
  <c r="BS17"/>
  <c r="BS18"/>
  <c r="BS19"/>
  <c r="BS20"/>
  <c r="BS21"/>
  <c r="BS25"/>
  <c r="BS26"/>
  <c r="BS27"/>
  <c r="BS28"/>
  <c r="BS29"/>
  <c r="BS30"/>
  <c r="BS31"/>
  <c r="BS32"/>
  <c r="BS33"/>
  <c r="BS34"/>
  <c r="BS35"/>
  <c r="BS36"/>
  <c r="BS37"/>
  <c r="BS38"/>
  <c r="BS39"/>
  <c r="BS40"/>
  <c r="BS41"/>
  <c r="BS42"/>
  <c r="BS43"/>
  <c r="BS44"/>
  <c r="BS45"/>
  <c r="BS46"/>
  <c r="BS47"/>
  <c r="V22"/>
  <c r="V23"/>
  <c r="V24"/>
  <c r="V10"/>
  <c r="V11"/>
  <c r="V12"/>
  <c r="V13"/>
  <c r="V14"/>
  <c r="V15"/>
  <c r="V16"/>
  <c r="V17"/>
  <c r="V18"/>
  <c r="V19"/>
  <c r="V20"/>
  <c r="V21"/>
  <c r="V25"/>
  <c r="V26"/>
  <c r="V27"/>
  <c r="V28"/>
  <c r="V29"/>
  <c r="V30"/>
  <c r="V31"/>
  <c r="V32"/>
  <c r="V33"/>
  <c r="V34"/>
  <c r="V35"/>
  <c r="V36"/>
  <c r="V37"/>
  <c r="V38"/>
  <c r="V39"/>
  <c r="V40"/>
  <c r="V41"/>
  <c r="V42"/>
  <c r="V43"/>
  <c r="V44"/>
  <c r="V45"/>
  <c r="V46"/>
  <c r="V47"/>
  <c r="AA22"/>
  <c r="AA23"/>
  <c r="AA24"/>
  <c r="AA10"/>
  <c r="AA11"/>
  <c r="AA12"/>
  <c r="AA13"/>
  <c r="AA14"/>
  <c r="AA15"/>
  <c r="AA16"/>
  <c r="AA17"/>
  <c r="AA18"/>
  <c r="AA19"/>
  <c r="AA20"/>
  <c r="AA21"/>
  <c r="AA25"/>
  <c r="AA26"/>
  <c r="AA27"/>
  <c r="AA28"/>
  <c r="AA29"/>
  <c r="AA30"/>
  <c r="AA31"/>
  <c r="AA32"/>
  <c r="AA33"/>
  <c r="AA34"/>
  <c r="AA35"/>
  <c r="AA36"/>
  <c r="AA37"/>
  <c r="AA38"/>
  <c r="AA39"/>
  <c r="AA40"/>
  <c r="AA41"/>
  <c r="AA42"/>
  <c r="AA43"/>
  <c r="AA44"/>
  <c r="AA45"/>
  <c r="AA46"/>
  <c r="AA47"/>
  <c r="AK22"/>
  <c r="AK23"/>
  <c r="AK24"/>
  <c r="AK10"/>
  <c r="AK11"/>
  <c r="AK12"/>
  <c r="AK13"/>
  <c r="AK14"/>
  <c r="AK15"/>
  <c r="AK16"/>
  <c r="AK17"/>
  <c r="AK18"/>
  <c r="AK19"/>
  <c r="AK20"/>
  <c r="AK21"/>
  <c r="AK25"/>
  <c r="AK26"/>
  <c r="AK27"/>
  <c r="AK28"/>
  <c r="AK29"/>
  <c r="AK30"/>
  <c r="AK31"/>
  <c r="AK32"/>
  <c r="AK33"/>
  <c r="AK34"/>
  <c r="AK35"/>
  <c r="AK36"/>
  <c r="AK37"/>
  <c r="AK38"/>
  <c r="AK39"/>
  <c r="AK40"/>
  <c r="AK41"/>
  <c r="AK42"/>
  <c r="AK43"/>
  <c r="AK44"/>
  <c r="AK45"/>
  <c r="AK46"/>
  <c r="AK47"/>
  <c r="BT22"/>
  <c r="BT23"/>
  <c r="BT24"/>
  <c r="BT10"/>
  <c r="BT11"/>
  <c r="BT12"/>
  <c r="BT13"/>
  <c r="BT14"/>
  <c r="BT15"/>
  <c r="BT16"/>
  <c r="BT17"/>
  <c r="BT18"/>
  <c r="BT19"/>
  <c r="BT20"/>
  <c r="BT21"/>
  <c r="BT25"/>
  <c r="BT26"/>
  <c r="BT27"/>
  <c r="BT28"/>
  <c r="BT29"/>
  <c r="BT30"/>
  <c r="BT31"/>
  <c r="BT32"/>
  <c r="BT33"/>
  <c r="BT34"/>
  <c r="BT35"/>
  <c r="BT36"/>
  <c r="BT37"/>
  <c r="BT38"/>
  <c r="BT39"/>
  <c r="BT40"/>
  <c r="BT41"/>
  <c r="BT42"/>
  <c r="BT43"/>
  <c r="BT44"/>
  <c r="BT45"/>
  <c r="BT46"/>
  <c r="BT47"/>
  <c r="W22"/>
  <c r="W23"/>
  <c r="W24"/>
  <c r="W10"/>
  <c r="W11"/>
  <c r="W12"/>
  <c r="W13"/>
  <c r="W14"/>
  <c r="W15"/>
  <c r="W16"/>
  <c r="W17"/>
  <c r="W18"/>
  <c r="W19"/>
  <c r="W20"/>
  <c r="W21"/>
  <c r="W25"/>
  <c r="W26"/>
  <c r="W27"/>
  <c r="W28"/>
  <c r="W29"/>
  <c r="W30"/>
  <c r="W31"/>
  <c r="W32"/>
  <c r="W33"/>
  <c r="W34"/>
  <c r="W35"/>
  <c r="W36"/>
  <c r="W37"/>
  <c r="W38"/>
  <c r="W39"/>
  <c r="W40"/>
  <c r="W41"/>
  <c r="W42"/>
  <c r="W43"/>
  <c r="W44"/>
  <c r="W45"/>
  <c r="W46"/>
  <c r="W47"/>
  <c r="AB22"/>
  <c r="AB23"/>
  <c r="AB24"/>
  <c r="AB10"/>
  <c r="AB11"/>
  <c r="AB12"/>
  <c r="AB13"/>
  <c r="AB14"/>
  <c r="AB15"/>
  <c r="AB16"/>
  <c r="AB17"/>
  <c r="AB18"/>
  <c r="AB19"/>
  <c r="AB20"/>
  <c r="AB21"/>
  <c r="AB25"/>
  <c r="AB26"/>
  <c r="AB27"/>
  <c r="AB28"/>
  <c r="AB29"/>
  <c r="AB30"/>
  <c r="AB31"/>
  <c r="AB32"/>
  <c r="AB33"/>
  <c r="AB34"/>
  <c r="AB35"/>
  <c r="AB36"/>
  <c r="AB37"/>
  <c r="AB38"/>
  <c r="AB39"/>
  <c r="AB40"/>
  <c r="AB41"/>
  <c r="AB42"/>
  <c r="AB43"/>
  <c r="AB44"/>
  <c r="AB45"/>
  <c r="AB46"/>
  <c r="AB47"/>
  <c r="AL22"/>
  <c r="AL23"/>
  <c r="AL24"/>
  <c r="AL10"/>
  <c r="AL11"/>
  <c r="AL12"/>
  <c r="AL13"/>
  <c r="AL14"/>
  <c r="AL15"/>
  <c r="AL16"/>
  <c r="AL17"/>
  <c r="AL18"/>
  <c r="AL19"/>
  <c r="AL20"/>
  <c r="AL21"/>
  <c r="AL25"/>
  <c r="AL26"/>
  <c r="AL27"/>
  <c r="AL28"/>
  <c r="AL29"/>
  <c r="AL30"/>
  <c r="AL31"/>
  <c r="AL32"/>
  <c r="AL33"/>
  <c r="AL34"/>
  <c r="AL35"/>
  <c r="AL36"/>
  <c r="AL37"/>
  <c r="AL38"/>
  <c r="AL39"/>
  <c r="AL40"/>
  <c r="AL41"/>
  <c r="AL42"/>
  <c r="AL43"/>
  <c r="AL44"/>
  <c r="AL45"/>
  <c r="AL46"/>
  <c r="AL47"/>
  <c r="BU22"/>
  <c r="BU23"/>
  <c r="BU24"/>
  <c r="BU10"/>
  <c r="BU11"/>
  <c r="BU12"/>
  <c r="BU13"/>
  <c r="BU14"/>
  <c r="BU15"/>
  <c r="BU16"/>
  <c r="BU17"/>
  <c r="BU18"/>
  <c r="BU19"/>
  <c r="BU20"/>
  <c r="BU21"/>
  <c r="BU25"/>
  <c r="BU26"/>
  <c r="BU27"/>
  <c r="BU28"/>
  <c r="BU29"/>
  <c r="BU30"/>
  <c r="BU31"/>
  <c r="BU32"/>
  <c r="BU33"/>
  <c r="BU34"/>
  <c r="BU35"/>
  <c r="BU36"/>
  <c r="BU37"/>
  <c r="BU38"/>
  <c r="BU39"/>
  <c r="BU40"/>
  <c r="BU41"/>
  <c r="BU42"/>
  <c r="BU43"/>
  <c r="BU44"/>
  <c r="BU45"/>
  <c r="BU46"/>
  <c r="BU47"/>
  <c r="X22"/>
  <c r="X23"/>
  <c r="X24"/>
  <c r="X10"/>
  <c r="X11"/>
  <c r="X12"/>
  <c r="X13"/>
  <c r="X14"/>
  <c r="X15"/>
  <c r="X16"/>
  <c r="X17"/>
  <c r="X18"/>
  <c r="X19"/>
  <c r="X20"/>
  <c r="X21"/>
  <c r="X25"/>
  <c r="X26"/>
  <c r="X27"/>
  <c r="X28"/>
  <c r="X29"/>
  <c r="X30"/>
  <c r="X31"/>
  <c r="X32"/>
  <c r="X33"/>
  <c r="X34"/>
  <c r="X35"/>
  <c r="X36"/>
  <c r="X37"/>
  <c r="X38"/>
  <c r="X39"/>
  <c r="X40"/>
  <c r="X41"/>
  <c r="X42"/>
  <c r="X43"/>
  <c r="X44"/>
  <c r="X45"/>
  <c r="X46"/>
  <c r="X47"/>
  <c r="AC22"/>
  <c r="AC23"/>
  <c r="AC24"/>
  <c r="AC10"/>
  <c r="AC11"/>
  <c r="AC12"/>
  <c r="AC13"/>
  <c r="AC14"/>
  <c r="AC15"/>
  <c r="AC16"/>
  <c r="AC17"/>
  <c r="AC18"/>
  <c r="AC19"/>
  <c r="AC20"/>
  <c r="AC21"/>
  <c r="AC25"/>
  <c r="AC26"/>
  <c r="AC27"/>
  <c r="AC28"/>
  <c r="AC29"/>
  <c r="AC30"/>
  <c r="AC31"/>
  <c r="AC32"/>
  <c r="AC33"/>
  <c r="AC34"/>
  <c r="AC35"/>
  <c r="AC36"/>
  <c r="AC37"/>
  <c r="AC38"/>
  <c r="AC39"/>
  <c r="AC40"/>
  <c r="AC41"/>
  <c r="AC42"/>
  <c r="AC43"/>
  <c r="AC44"/>
  <c r="AC45"/>
  <c r="AC46"/>
  <c r="AC47"/>
  <c r="AM22"/>
  <c r="AM23"/>
  <c r="AM24"/>
  <c r="AM10"/>
  <c r="AM11"/>
  <c r="AM12"/>
  <c r="AM13"/>
  <c r="AM14"/>
  <c r="AM15"/>
  <c r="AM16"/>
  <c r="AM17"/>
  <c r="AM18"/>
  <c r="AM19"/>
  <c r="AM20"/>
  <c r="AM21"/>
  <c r="AM25"/>
  <c r="AM26"/>
  <c r="AM27"/>
  <c r="AM28"/>
  <c r="AM29"/>
  <c r="AM30"/>
  <c r="AM31"/>
  <c r="AM32"/>
  <c r="AM33"/>
  <c r="AM34"/>
  <c r="AM35"/>
  <c r="AM36"/>
  <c r="AM37"/>
  <c r="AM38"/>
  <c r="AM39"/>
  <c r="AM40"/>
  <c r="AM41"/>
  <c r="AM42"/>
  <c r="AM43"/>
  <c r="AM44"/>
  <c r="AM45"/>
  <c r="AM46"/>
  <c r="AM47"/>
  <c r="BV22"/>
  <c r="BV23"/>
  <c r="BV24"/>
  <c r="BV10"/>
  <c r="BV11"/>
  <c r="BV12"/>
  <c r="BV13"/>
  <c r="BV14"/>
  <c r="BV15"/>
  <c r="BV16"/>
  <c r="BV17"/>
  <c r="BV18"/>
  <c r="BV19"/>
  <c r="BV20"/>
  <c r="BV21"/>
  <c r="BV25"/>
  <c r="BV26"/>
  <c r="BV27"/>
  <c r="BV28"/>
  <c r="BV29"/>
  <c r="BV30"/>
  <c r="BV31"/>
  <c r="BV32"/>
  <c r="BV33"/>
  <c r="BV34"/>
  <c r="BV35"/>
  <c r="BV36"/>
  <c r="BV37"/>
  <c r="BV38"/>
  <c r="BV39"/>
  <c r="BV40"/>
  <c r="BV41"/>
  <c r="BV42"/>
  <c r="BV43"/>
  <c r="BV44"/>
  <c r="BV45"/>
  <c r="BV46"/>
  <c r="BV47"/>
  <c r="O134"/>
  <c r="O137" s="1"/>
  <c r="J88" i="8" s="1"/>
  <c r="N134" i="36"/>
  <c r="N137" s="1"/>
  <c r="I88" i="8" s="1"/>
  <c r="M134" i="36"/>
  <c r="M137" s="1"/>
  <c r="H88" i="8" s="1"/>
  <c r="L134" i="36"/>
  <c r="L137" s="1"/>
  <c r="G88" i="8" s="1"/>
  <c r="K134" i="36"/>
  <c r="K137" s="1"/>
  <c r="F88" i="8" s="1"/>
  <c r="J134" i="36"/>
  <c r="J137" s="1"/>
  <c r="E88" i="8" s="1"/>
  <c r="I134" i="36"/>
  <c r="I137" s="1"/>
  <c r="D88" i="8" s="1"/>
  <c r="H134" i="36"/>
  <c r="H137" s="1"/>
  <c r="C88" i="8" s="1"/>
  <c r="G134" i="36"/>
  <c r="G137" s="1"/>
  <c r="B88" i="8" s="1"/>
  <c r="P123" i="36"/>
  <c r="P126" s="1"/>
  <c r="K53" i="8" s="1"/>
  <c r="O123" i="36"/>
  <c r="O126" s="1"/>
  <c r="J53" i="8" s="1"/>
  <c r="N123" i="36"/>
  <c r="N126" s="1"/>
  <c r="I53" i="8" s="1"/>
  <c r="M123" i="36"/>
  <c r="M126" s="1"/>
  <c r="H53" i="8" s="1"/>
  <c r="L123" i="36"/>
  <c r="L126" s="1"/>
  <c r="G53" i="8" s="1"/>
  <c r="K123" i="36"/>
  <c r="K126" s="1"/>
  <c r="F53" i="8" s="1"/>
  <c r="J123" i="36"/>
  <c r="J126" s="1"/>
  <c r="E53" i="8" s="1"/>
  <c r="I123" i="36"/>
  <c r="I126" s="1"/>
  <c r="D53" i="8" s="1"/>
  <c r="H123" i="36"/>
  <c r="H126" s="1"/>
  <c r="C53" i="8" s="1"/>
  <c r="G123" i="36"/>
  <c r="G126" s="1"/>
  <c r="B53" i="8" s="1"/>
  <c r="P112" i="36"/>
  <c r="P115" s="1"/>
  <c r="K18" i="8" s="1"/>
  <c r="O112" i="36"/>
  <c r="O115" s="1"/>
  <c r="J18" i="8" s="1"/>
  <c r="N112" i="36"/>
  <c r="N115" s="1"/>
  <c r="I18" i="8" s="1"/>
  <c r="M112" i="36"/>
  <c r="M115" s="1"/>
  <c r="H18" i="8" s="1"/>
  <c r="L112" i="36"/>
  <c r="L115" s="1"/>
  <c r="G18" i="8" s="1"/>
  <c r="K109" i="36"/>
  <c r="F17" i="8" s="1"/>
  <c r="K112" i="36"/>
  <c r="K115" s="1"/>
  <c r="F18" i="8" s="1"/>
  <c r="J109" i="36"/>
  <c r="E17" i="8" s="1"/>
  <c r="J112" i="36"/>
  <c r="J115" s="1"/>
  <c r="E18" i="8" s="1"/>
  <c r="I109" i="36"/>
  <c r="D17" i="8" s="1"/>
  <c r="I112" i="36"/>
  <c r="I115" s="1"/>
  <c r="D18" i="8" s="1"/>
  <c r="H109" i="36"/>
  <c r="C17" i="8" s="1"/>
  <c r="H112" i="36"/>
  <c r="H115" s="1"/>
  <c r="C18" i="8" s="1"/>
  <c r="G112" i="36"/>
  <c r="G115" s="1"/>
  <c r="B18" i="8" s="1"/>
  <c r="E34" i="15"/>
  <c r="J1687" i="35"/>
  <c r="B32" i="3"/>
  <c r="P2751" i="35"/>
  <c r="H2603"/>
  <c r="Q2135"/>
  <c r="P11" i="36"/>
  <c r="R1726" i="35"/>
  <c r="P12" i="36"/>
  <c r="R1727" i="35"/>
  <c r="Q13" i="36"/>
  <c r="Q1728" i="35" s="1"/>
  <c r="R1728"/>
  <c r="P14" i="36"/>
  <c r="R1729" i="35"/>
  <c r="P15" i="36"/>
  <c r="R1730" i="35"/>
  <c r="P16" i="36"/>
  <c r="R1731" i="35"/>
  <c r="Q17" i="36"/>
  <c r="Q1732" i="35" s="1"/>
  <c r="R1732"/>
  <c r="P18" i="36"/>
  <c r="R1733" i="35"/>
  <c r="P19" i="36"/>
  <c r="R1734" i="35"/>
  <c r="P20" i="36"/>
  <c r="R1735" i="35"/>
  <c r="Q21" i="36"/>
  <c r="Q1736" i="35" s="1"/>
  <c r="R1736"/>
  <c r="R1737"/>
  <c r="R1738"/>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P10" i="36"/>
  <c r="C1632" i="35"/>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O2763"/>
  <c r="L2763" s="1"/>
  <c r="A2760"/>
  <c r="A2769"/>
  <c r="A2784"/>
  <c r="A2783"/>
  <c r="A2759"/>
  <c r="A2758"/>
  <c r="A2767"/>
  <c r="A2756"/>
  <c r="A2780"/>
  <c r="A2755"/>
  <c r="A2749"/>
  <c r="A2748"/>
  <c r="A2746"/>
  <c r="A2745"/>
  <c r="E2742"/>
  <c r="E2741"/>
  <c r="E2740"/>
  <c r="P2739"/>
  <c r="O2739"/>
  <c r="P2737"/>
  <c r="O2737"/>
  <c r="O2725"/>
  <c r="P2725"/>
  <c r="P2735"/>
  <c r="O2735"/>
  <c r="L2735" s="1"/>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P2668" i="35" s="1"/>
  <c r="O176" i="11"/>
  <c r="O2668" i="35" s="1"/>
  <c r="L2668" s="1"/>
  <c r="A2678"/>
  <c r="P2669"/>
  <c r="O2669"/>
  <c r="P2647"/>
  <c r="P2646"/>
  <c r="P2645"/>
  <c r="P2644"/>
  <c r="P2643"/>
  <c r="P2642"/>
  <c r="P2641"/>
  <c r="P2640"/>
  <c r="L2659"/>
  <c r="A2681"/>
  <c r="A2665"/>
  <c r="A2689"/>
  <c r="A2680"/>
  <c r="A2664"/>
  <c r="A2687"/>
  <c r="A2677"/>
  <c r="A2662"/>
  <c r="P2705"/>
  <c r="O2705"/>
  <c r="L2705" s="1"/>
  <c r="P2693"/>
  <c r="O2693"/>
  <c r="R2693" s="1"/>
  <c r="P2692"/>
  <c r="O2692"/>
  <c r="P2685"/>
  <c r="O2685"/>
  <c r="P2684"/>
  <c r="O2684"/>
  <c r="P2675"/>
  <c r="O2675"/>
  <c r="L2675" s="1"/>
  <c r="P2674"/>
  <c r="O2674"/>
  <c r="L2674" s="1"/>
  <c r="P2673"/>
  <c r="O2673"/>
  <c r="P2660"/>
  <c r="P2659"/>
  <c r="O2660"/>
  <c r="R2660" s="1"/>
  <c r="O2659"/>
  <c r="R2659" s="1"/>
  <c r="P2638"/>
  <c r="O2638"/>
  <c r="L2638" s="1"/>
  <c r="M2632"/>
  <c r="P2631" s="1"/>
  <c r="K2627"/>
  <c r="I2627"/>
  <c r="P2630"/>
  <c r="O2630"/>
  <c r="L2630" s="1"/>
  <c r="P2629"/>
  <c r="O2629"/>
  <c r="L2629" s="1"/>
  <c r="P2628"/>
  <c r="O2628"/>
  <c r="P2626"/>
  <c r="O2626"/>
  <c r="P2625"/>
  <c r="O2625"/>
  <c r="A2656"/>
  <c r="A2636"/>
  <c r="A2655"/>
  <c r="A2654"/>
  <c r="A2653"/>
  <c r="A2652"/>
  <c r="A2634"/>
  <c r="A2650"/>
  <c r="A2649"/>
  <c r="A2622"/>
  <c r="A2621"/>
  <c r="A2619"/>
  <c r="A2618"/>
  <c r="P2616"/>
  <c r="O2616"/>
  <c r="M2616" s="1"/>
  <c r="P2615"/>
  <c r="O2615"/>
  <c r="P2614"/>
  <c r="O2614"/>
  <c r="P2613"/>
  <c r="O2613"/>
  <c r="M2613" s="1"/>
  <c r="O2603"/>
  <c r="P2603"/>
  <c r="O2604"/>
  <c r="P2604"/>
  <c r="O2602"/>
  <c r="P2602"/>
  <c r="H2605"/>
  <c r="H2604"/>
  <c r="J2603"/>
  <c r="O2608"/>
  <c r="M2608" s="1"/>
  <c r="P2608"/>
  <c r="O2609"/>
  <c r="M2609" s="1"/>
  <c r="P2609"/>
  <c r="O2610"/>
  <c r="M2610" s="1"/>
  <c r="P2610"/>
  <c r="O2611"/>
  <c r="M2611" s="1"/>
  <c r="P2611"/>
  <c r="O2601"/>
  <c r="M2601" s="1"/>
  <c r="P2601"/>
  <c r="P2607"/>
  <c r="O2607"/>
  <c r="M2607" s="1"/>
  <c r="P2606"/>
  <c r="O2606"/>
  <c r="P2605"/>
  <c r="O2605"/>
  <c r="M2605" s="1"/>
  <c r="P2600"/>
  <c r="O2600"/>
  <c r="M2600" s="1"/>
  <c r="P2599"/>
  <c r="O2599"/>
  <c r="M2599" s="1"/>
  <c r="P2598"/>
  <c r="O2598"/>
  <c r="M2598" s="1"/>
  <c r="P2595"/>
  <c r="O2595"/>
  <c r="M2595" s="1"/>
  <c r="P2594"/>
  <c r="O2594"/>
  <c r="M2594" s="1"/>
  <c r="P2593"/>
  <c r="O2593"/>
  <c r="M2593" s="1"/>
  <c r="P2591"/>
  <c r="O2591"/>
  <c r="P2590"/>
  <c r="O2590"/>
  <c r="M2590" s="1"/>
  <c r="P2589"/>
  <c r="O2589"/>
  <c r="O2576"/>
  <c r="M2576" s="1"/>
  <c r="P2576"/>
  <c r="O2577"/>
  <c r="M2577" s="1"/>
  <c r="P2577"/>
  <c r="A2580"/>
  <c r="A2583"/>
  <c r="A2572"/>
  <c r="A2582"/>
  <c r="A2571"/>
  <c r="A2579"/>
  <c r="A2569"/>
  <c r="P2575"/>
  <c r="O2575"/>
  <c r="P2559"/>
  <c r="O2559"/>
  <c r="P2557"/>
  <c r="O2557"/>
  <c r="P2585"/>
  <c r="P2574"/>
  <c r="P2566"/>
  <c r="O2566"/>
  <c r="P2556"/>
  <c r="O2556"/>
  <c r="N2556" s="1"/>
  <c r="I2585"/>
  <c r="I2574"/>
  <c r="I2567"/>
  <c r="I2558"/>
  <c r="O2549"/>
  <c r="L2549" s="1"/>
  <c r="P2549"/>
  <c r="A2564"/>
  <c r="A2554"/>
  <c r="A2543"/>
  <c r="A2544"/>
  <c r="A2539"/>
  <c r="A2540"/>
  <c r="A2563"/>
  <c r="A2553"/>
  <c r="A2542"/>
  <c r="A2561"/>
  <c r="A2551"/>
  <c r="A2538"/>
  <c r="L2535"/>
  <c r="L2533"/>
  <c r="O2534"/>
  <c r="L2534" s="1"/>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P2502"/>
  <c r="O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209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59" s="1"/>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0"/>
  <c r="O1840"/>
  <c r="N1840"/>
  <c r="M1840"/>
  <c r="L1840"/>
  <c r="K1840"/>
  <c r="J1840"/>
  <c r="I1840"/>
  <c r="H1840"/>
  <c r="G1840"/>
  <c r="P1839"/>
  <c r="O1839"/>
  <c r="N1839"/>
  <c r="M1839"/>
  <c r="L1839"/>
  <c r="K1839"/>
  <c r="J1839"/>
  <c r="I1839"/>
  <c r="H1839"/>
  <c r="G1839"/>
  <c r="P1834"/>
  <c r="O1834"/>
  <c r="N1834"/>
  <c r="M1834"/>
  <c r="L1834"/>
  <c r="K1834"/>
  <c r="J1834"/>
  <c r="I1834"/>
  <c r="H1834"/>
  <c r="G1834"/>
  <c r="P1829"/>
  <c r="O1829"/>
  <c r="N1829"/>
  <c r="M1829"/>
  <c r="L1829"/>
  <c r="K1829"/>
  <c r="J1829"/>
  <c r="I1829"/>
  <c r="H1829"/>
  <c r="G1829"/>
  <c r="P1828"/>
  <c r="O1828"/>
  <c r="N1828"/>
  <c r="M1828"/>
  <c r="L1828"/>
  <c r="K1828"/>
  <c r="J1828"/>
  <c r="I1828"/>
  <c r="H1828"/>
  <c r="G1828"/>
  <c r="H1822"/>
  <c r="I1822"/>
  <c r="J1822"/>
  <c r="K1822"/>
  <c r="L1822"/>
  <c r="H1823"/>
  <c r="I1823"/>
  <c r="J1823"/>
  <c r="K1823"/>
  <c r="L1823"/>
  <c r="M1823"/>
  <c r="N1823"/>
  <c r="O1823"/>
  <c r="P1823"/>
  <c r="G1823"/>
  <c r="G1822"/>
  <c r="G1824" s="1"/>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K1726" s="1"/>
  <c r="L1726" s="1"/>
  <c r="J1726"/>
  <c r="B1727"/>
  <c r="C1727"/>
  <c r="D1727"/>
  <c r="E1727"/>
  <c r="F1727"/>
  <c r="G1727"/>
  <c r="H1727"/>
  <c r="I1727"/>
  <c r="J1727"/>
  <c r="B1728"/>
  <c r="C1728"/>
  <c r="D1728"/>
  <c r="E1728"/>
  <c r="F1728"/>
  <c r="G1728"/>
  <c r="H1728"/>
  <c r="I1728"/>
  <c r="K1728" s="1"/>
  <c r="L1728" s="1"/>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K1732" s="1"/>
  <c r="L1732" s="1"/>
  <c r="J1732"/>
  <c r="B1733"/>
  <c r="C1733"/>
  <c r="D1733"/>
  <c r="E1733"/>
  <c r="F1733"/>
  <c r="G1733"/>
  <c r="H1733"/>
  <c r="I1733"/>
  <c r="J1733"/>
  <c r="B1734"/>
  <c r="C1734"/>
  <c r="D1734"/>
  <c r="E1734"/>
  <c r="F1734"/>
  <c r="G1734"/>
  <c r="H1734"/>
  <c r="I1734"/>
  <c r="K1734" s="1"/>
  <c r="L1734" s="1"/>
  <c r="J1734"/>
  <c r="B1735"/>
  <c r="C1735"/>
  <c r="D1735"/>
  <c r="E1735"/>
  <c r="F1735"/>
  <c r="G1735"/>
  <c r="H1735"/>
  <c r="I1735"/>
  <c r="J1735"/>
  <c r="B1736"/>
  <c r="C1736"/>
  <c r="D1736"/>
  <c r="E1736"/>
  <c r="F1736"/>
  <c r="G1736"/>
  <c r="H1736"/>
  <c r="I1736"/>
  <c r="K1736" s="1"/>
  <c r="L1736" s="1"/>
  <c r="J1736"/>
  <c r="B1737"/>
  <c r="C1737"/>
  <c r="D1737"/>
  <c r="E1737"/>
  <c r="F1737"/>
  <c r="G1737"/>
  <c r="H1737"/>
  <c r="I1737"/>
  <c r="J1737"/>
  <c r="B1738"/>
  <c r="C1738"/>
  <c r="D1738"/>
  <c r="E1738"/>
  <c r="F1738"/>
  <c r="G1738"/>
  <c r="H1738"/>
  <c r="I1738"/>
  <c r="K1738" s="1"/>
  <c r="L1738" s="1"/>
  <c r="J1738"/>
  <c r="B1739"/>
  <c r="C1739"/>
  <c r="D1739"/>
  <c r="E1739"/>
  <c r="F1739"/>
  <c r="G1739"/>
  <c r="H1739"/>
  <c r="I1739"/>
  <c r="J1739"/>
  <c r="B1740"/>
  <c r="C1740"/>
  <c r="D1740"/>
  <c r="E1740"/>
  <c r="F1740"/>
  <c r="G1740"/>
  <c r="H1740"/>
  <c r="I1740"/>
  <c r="K1740" s="1"/>
  <c r="L1740" s="1"/>
  <c r="J1740"/>
  <c r="B1741"/>
  <c r="C1741"/>
  <c r="D1741"/>
  <c r="E1741"/>
  <c r="F1741"/>
  <c r="G1741"/>
  <c r="H1741"/>
  <c r="I1741"/>
  <c r="J1741"/>
  <c r="B1742"/>
  <c r="C1742"/>
  <c r="D1742"/>
  <c r="E1742"/>
  <c r="F1742"/>
  <c r="G1742"/>
  <c r="H1742"/>
  <c r="I1742"/>
  <c r="K1742" s="1"/>
  <c r="L1742" s="1"/>
  <c r="J1742"/>
  <c r="B1743"/>
  <c r="C1743"/>
  <c r="D1743"/>
  <c r="E1743"/>
  <c r="F1743"/>
  <c r="G1743"/>
  <c r="H1743"/>
  <c r="I1743"/>
  <c r="J1743"/>
  <c r="B1744"/>
  <c r="C1744"/>
  <c r="D1744"/>
  <c r="E1744"/>
  <c r="F1744"/>
  <c r="G1744"/>
  <c r="H1744"/>
  <c r="I1744"/>
  <c r="K1744" s="1"/>
  <c r="L1744" s="1"/>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K1748" s="1"/>
  <c r="L1748" s="1"/>
  <c r="J1748"/>
  <c r="B1749"/>
  <c r="C1749"/>
  <c r="D1749"/>
  <c r="E1749"/>
  <c r="F1749"/>
  <c r="G1749"/>
  <c r="H1749"/>
  <c r="I1749"/>
  <c r="J1749"/>
  <c r="B1750"/>
  <c r="C1750"/>
  <c r="D1750"/>
  <c r="E1750"/>
  <c r="F1750"/>
  <c r="G1750"/>
  <c r="H1750"/>
  <c r="I1750"/>
  <c r="K1750" s="1"/>
  <c r="L1750" s="1"/>
  <c r="J1750"/>
  <c r="B1751"/>
  <c r="C1751"/>
  <c r="D1751"/>
  <c r="E1751"/>
  <c r="F1751"/>
  <c r="G1751"/>
  <c r="H1751"/>
  <c r="I1751"/>
  <c r="J1751"/>
  <c r="B1752"/>
  <c r="C1752"/>
  <c r="D1752"/>
  <c r="E1752"/>
  <c r="F1752"/>
  <c r="G1752"/>
  <c r="H1752"/>
  <c r="I1752"/>
  <c r="K1752" s="1"/>
  <c r="L1752" s="1"/>
  <c r="J1752"/>
  <c r="B1753"/>
  <c r="C1753"/>
  <c r="D1753"/>
  <c r="E1753"/>
  <c r="F1753"/>
  <c r="G1753"/>
  <c r="H1753"/>
  <c r="I1753"/>
  <c r="J1753"/>
  <c r="B1754"/>
  <c r="C1754"/>
  <c r="AM1754" s="1"/>
  <c r="D1754"/>
  <c r="E1754"/>
  <c r="F1754"/>
  <c r="G1754"/>
  <c r="H1754"/>
  <c r="I1754"/>
  <c r="K1754" s="1"/>
  <c r="L1754" s="1"/>
  <c r="J1754"/>
  <c r="B1755"/>
  <c r="C1755"/>
  <c r="D1755"/>
  <c r="E1755"/>
  <c r="F1755"/>
  <c r="G1755"/>
  <c r="H1755"/>
  <c r="I1755"/>
  <c r="J1755"/>
  <c r="B1756"/>
  <c r="C1756"/>
  <c r="D1756"/>
  <c r="E1756"/>
  <c r="F1756"/>
  <c r="G1756"/>
  <c r="H1756"/>
  <c r="I1756"/>
  <c r="K1756" s="1"/>
  <c r="L1756" s="1"/>
  <c r="J1756"/>
  <c r="B1757"/>
  <c r="C1757"/>
  <c r="D1757"/>
  <c r="E1757"/>
  <c r="F1757"/>
  <c r="G1757"/>
  <c r="H1757"/>
  <c r="I1757"/>
  <c r="J1757"/>
  <c r="B1758"/>
  <c r="C1758"/>
  <c r="D1758"/>
  <c r="E1758"/>
  <c r="F1758"/>
  <c r="G1758"/>
  <c r="H1758"/>
  <c r="I1758"/>
  <c r="K1758" s="1"/>
  <c r="L1758" s="1"/>
  <c r="J1758"/>
  <c r="B1759"/>
  <c r="C1759"/>
  <c r="D1759"/>
  <c r="E1759"/>
  <c r="F1759"/>
  <c r="G1759"/>
  <c r="H1759"/>
  <c r="I1759"/>
  <c r="J1759"/>
  <c r="B1760"/>
  <c r="C1760"/>
  <c r="D1760"/>
  <c r="E1760"/>
  <c r="F1760"/>
  <c r="G1760"/>
  <c r="H1760"/>
  <c r="I1760"/>
  <c r="K1760" s="1"/>
  <c r="L1760" s="1"/>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J1617" s="1"/>
  <c r="G1616"/>
  <c r="G1615"/>
  <c r="P1612"/>
  <c r="P1611"/>
  <c r="M1612"/>
  <c r="M1611"/>
  <c r="J1612"/>
  <c r="S1611"/>
  <c r="S1610"/>
  <c r="S1607"/>
  <c r="G1610"/>
  <c r="G1611"/>
  <c r="G1612"/>
  <c r="S1604"/>
  <c r="S1603"/>
  <c r="S1602"/>
  <c r="P1604"/>
  <c r="P1603"/>
  <c r="P1602"/>
  <c r="M1604"/>
  <c r="M1603"/>
  <c r="M1602"/>
  <c r="J1603"/>
  <c r="J1602"/>
  <c r="G1603"/>
  <c r="F1603" s="1"/>
  <c r="G1604"/>
  <c r="F1604" s="1"/>
  <c r="S1598"/>
  <c r="S1597"/>
  <c r="S1596"/>
  <c r="G1597"/>
  <c r="G1598"/>
  <c r="G1599"/>
  <c r="S1593"/>
  <c r="S1592"/>
  <c r="S1591"/>
  <c r="S1590"/>
  <c r="S1589"/>
  <c r="S1588"/>
  <c r="S1587"/>
  <c r="S1586"/>
  <c r="S1585"/>
  <c r="G1586"/>
  <c r="G1587"/>
  <c r="G1588"/>
  <c r="G1589"/>
  <c r="G1590"/>
  <c r="G1591"/>
  <c r="G1592"/>
  <c r="G1593"/>
  <c r="J1611"/>
  <c r="J1613" s="1"/>
  <c r="G1607"/>
  <c r="G1602"/>
  <c r="G1596"/>
  <c r="G1585"/>
  <c r="S1578"/>
  <c r="S1577"/>
  <c r="S1576"/>
  <c r="S1575"/>
  <c r="S1574"/>
  <c r="S1573"/>
  <c r="S1572"/>
  <c r="P1578"/>
  <c r="P1577"/>
  <c r="P1576"/>
  <c r="P1575"/>
  <c r="P1574"/>
  <c r="M1578"/>
  <c r="M1577"/>
  <c r="M1576"/>
  <c r="M1575"/>
  <c r="M1574"/>
  <c r="J1575"/>
  <c r="J1576"/>
  <c r="J1577"/>
  <c r="J1578"/>
  <c r="G1573"/>
  <c r="G1572"/>
  <c r="G1574"/>
  <c r="G1575"/>
  <c r="G1576"/>
  <c r="G1577"/>
  <c r="G1578"/>
  <c r="U1578" s="1"/>
  <c r="S1569"/>
  <c r="S1568"/>
  <c r="S1567"/>
  <c r="S1566"/>
  <c r="P1569"/>
  <c r="P1568"/>
  <c r="P1567"/>
  <c r="P1566"/>
  <c r="M1569"/>
  <c r="M1568"/>
  <c r="M1567"/>
  <c r="M1566"/>
  <c r="J1569"/>
  <c r="J1568"/>
  <c r="J1567"/>
  <c r="J1566"/>
  <c r="G1567"/>
  <c r="G1566"/>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2"/>
  <c r="J1561"/>
  <c r="J1560"/>
  <c r="J1559"/>
  <c r="J1558"/>
  <c r="J1557"/>
  <c r="J1556"/>
  <c r="J1555"/>
  <c r="J1554"/>
  <c r="G1555"/>
  <c r="G1556"/>
  <c r="G1557"/>
  <c r="G1558"/>
  <c r="G1559"/>
  <c r="G1560"/>
  <c r="G1561"/>
  <c r="G1562"/>
  <c r="G1563"/>
  <c r="S1551"/>
  <c r="S1550"/>
  <c r="S1549"/>
  <c r="S1548"/>
  <c r="S1547"/>
  <c r="S1546"/>
  <c r="S1545"/>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S1538"/>
  <c r="P1538"/>
  <c r="M1538"/>
  <c r="J1538"/>
  <c r="S1531"/>
  <c r="S1530"/>
  <c r="P1531"/>
  <c r="P1530"/>
  <c r="M1531"/>
  <c r="M1530"/>
  <c r="S1527"/>
  <c r="S1526"/>
  <c r="S1525"/>
  <c r="P1527"/>
  <c r="P1526"/>
  <c r="P1525"/>
  <c r="M1527"/>
  <c r="M1526"/>
  <c r="M1525"/>
  <c r="J1527"/>
  <c r="J1526"/>
  <c r="J1525"/>
  <c r="J1528" s="1"/>
  <c r="G1526"/>
  <c r="G1527"/>
  <c r="G1554"/>
  <c r="G1544"/>
  <c r="G1538"/>
  <c r="F1538" s="1"/>
  <c r="G1525"/>
  <c r="S1522"/>
  <c r="J1522"/>
  <c r="G1522"/>
  <c r="M1518"/>
  <c r="S1516"/>
  <c r="S1517"/>
  <c r="S1518"/>
  <c r="G1516"/>
  <c r="G1517"/>
  <c r="G1518"/>
  <c r="S1512"/>
  <c r="S1511"/>
  <c r="S1510"/>
  <c r="S1509"/>
  <c r="S1508"/>
  <c r="S1507"/>
  <c r="S1506"/>
  <c r="S1505"/>
  <c r="S1504"/>
  <c r="G1521"/>
  <c r="M1521"/>
  <c r="M1523" s="1"/>
  <c r="P1521"/>
  <c r="P1523" s="1"/>
  <c r="S1515"/>
  <c r="M1517"/>
  <c r="M1519" s="1"/>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652"/>
  <c r="O1614"/>
  <c r="O1606"/>
  <c r="O1601"/>
  <c r="O1595"/>
  <c r="E1588"/>
  <c r="O1584"/>
  <c r="O1571"/>
  <c r="O1565"/>
  <c r="O1553"/>
  <c r="O1543"/>
  <c r="O1537"/>
  <c r="E1531"/>
  <c r="F1531" s="1"/>
  <c r="E1530"/>
  <c r="F1530" s="1"/>
  <c r="O1529"/>
  <c r="O1524"/>
  <c r="O1520"/>
  <c r="O1514"/>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K32" i="3"/>
  <c r="K385" i="35" s="1"/>
  <c r="E385"/>
  <c r="D376"/>
  <c r="D377"/>
  <c r="D375"/>
  <c r="P368"/>
  <c r="P369"/>
  <c r="N368"/>
  <c r="N369"/>
  <c r="L368"/>
  <c r="L369"/>
  <c r="L370"/>
  <c r="L371"/>
  <c r="L372"/>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762"/>
  <c r="P2771"/>
  <c r="O2631"/>
  <c r="M2786"/>
  <c r="R2751"/>
  <c r="L2751"/>
  <c r="R2735"/>
  <c r="L2726"/>
  <c r="L2721"/>
  <c r="L2720"/>
  <c r="L2719"/>
  <c r="L2692"/>
  <c r="L2685"/>
  <c r="A2671"/>
  <c r="A2670"/>
  <c r="L2660"/>
  <c r="L2628"/>
  <c r="M2615"/>
  <c r="M2614"/>
  <c r="M2591"/>
  <c r="M2589"/>
  <c r="A2493"/>
  <c r="O207" i="11"/>
  <c r="A2793" i="35"/>
  <c r="A2792"/>
  <c r="A2049"/>
  <c r="A2036"/>
  <c r="A2035"/>
  <c r="A2034"/>
  <c r="C1901"/>
  <c r="C1903" s="1"/>
  <c r="F2017"/>
  <c r="E2017"/>
  <c r="D2017"/>
  <c r="C2017"/>
  <c r="B2017"/>
  <c r="A1962"/>
  <c r="A1997" s="1"/>
  <c r="A2032" s="1"/>
  <c r="A1961"/>
  <c r="A1996" s="1"/>
  <c r="A2031" s="1"/>
  <c r="A1925"/>
  <c r="A1960" s="1"/>
  <c r="A1995" s="1"/>
  <c r="A2030" s="1"/>
  <c r="A1924"/>
  <c r="A1959" s="1"/>
  <c r="A1994" s="1"/>
  <c r="A2029" s="1"/>
  <c r="A1923"/>
  <c r="A1958" s="1"/>
  <c r="A1993" s="1"/>
  <c r="A2028" s="1"/>
  <c r="A1922"/>
  <c r="A1957" s="1"/>
  <c r="A1992" s="1"/>
  <c r="A2027"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C1902"/>
  <c r="B1902"/>
  <c r="B1903" s="1"/>
  <c r="B1905"/>
  <c r="K1912"/>
  <c r="J1912"/>
  <c r="I1912"/>
  <c r="H1912"/>
  <c r="G1912"/>
  <c r="F1912"/>
  <c r="E1912"/>
  <c r="D1912"/>
  <c r="C1912"/>
  <c r="B1912"/>
  <c r="B1906"/>
  <c r="B1907"/>
  <c r="B1909"/>
  <c r="C1907"/>
  <c r="K1906"/>
  <c r="J1906"/>
  <c r="I1906"/>
  <c r="H1906"/>
  <c r="G1906"/>
  <c r="F1906"/>
  <c r="E1906"/>
  <c r="D1906"/>
  <c r="C1906"/>
  <c r="K1905"/>
  <c r="J1905"/>
  <c r="I1905"/>
  <c r="H1905"/>
  <c r="G1905"/>
  <c r="F1905"/>
  <c r="E1905"/>
  <c r="D1905"/>
  <c r="C1905"/>
  <c r="K1895"/>
  <c r="K1894"/>
  <c r="K1893"/>
  <c r="A1889"/>
  <c r="T1725"/>
  <c r="T1729"/>
  <c r="T1745"/>
  <c r="T1761"/>
  <c r="Y1728"/>
  <c r="Y1736"/>
  <c r="Y1752"/>
  <c r="Y1756"/>
  <c r="Y1760"/>
  <c r="AI1748"/>
  <c r="BR1725"/>
  <c r="BR1731"/>
  <c r="BR1733"/>
  <c r="BR1735"/>
  <c r="BR1737"/>
  <c r="BR1743"/>
  <c r="BR1749"/>
  <c r="BR1751"/>
  <c r="BR1757"/>
  <c r="U1732"/>
  <c r="U1752"/>
  <c r="U1757"/>
  <c r="Z1729"/>
  <c r="Z1744"/>
  <c r="Z1745"/>
  <c r="Z1752"/>
  <c r="AJ1725"/>
  <c r="AJ1728"/>
  <c r="AJ1744"/>
  <c r="AJ1756"/>
  <c r="BS1727"/>
  <c r="BS1728"/>
  <c r="BS1735"/>
  <c r="BS1740"/>
  <c r="BS1744"/>
  <c r="BS1747"/>
  <c r="BS1751"/>
  <c r="BS1752"/>
  <c r="BS1759"/>
  <c r="V1741"/>
  <c r="V1745"/>
  <c r="V1761"/>
  <c r="AA1729"/>
  <c r="AA1745"/>
  <c r="AA1749"/>
  <c r="AK1728"/>
  <c r="AK1732"/>
  <c r="AK1733"/>
  <c r="AK1748"/>
  <c r="AK1749"/>
  <c r="AK1760"/>
  <c r="BT1727"/>
  <c r="BT1729"/>
  <c r="BT1731"/>
  <c r="BT1733"/>
  <c r="BT1735"/>
  <c r="BT1737"/>
  <c r="BT1739"/>
  <c r="BT1741"/>
  <c r="BT1743"/>
  <c r="BT1744"/>
  <c r="BT1745"/>
  <c r="BT1747"/>
  <c r="BT1748"/>
  <c r="BT1749"/>
  <c r="BT1751"/>
  <c r="BT1753"/>
  <c r="BT1755"/>
  <c r="BT1756"/>
  <c r="BT1757"/>
  <c r="BT1759"/>
  <c r="BT1760"/>
  <c r="BT1761"/>
  <c r="W1744"/>
  <c r="W1756"/>
  <c r="AB1728"/>
  <c r="AB1744"/>
  <c r="AB1760"/>
  <c r="AL1725"/>
  <c r="AL1745"/>
  <c r="AL1749"/>
  <c r="AL1761"/>
  <c r="BU1729"/>
  <c r="BU1732"/>
  <c r="BU1733"/>
  <c r="BU1737"/>
  <c r="BU1740"/>
  <c r="BU1745"/>
  <c r="BU1749"/>
  <c r="BU1752"/>
  <c r="BU1753"/>
  <c r="BU1760"/>
  <c r="BU1761"/>
  <c r="X1725"/>
  <c r="X1741"/>
  <c r="X1745"/>
  <c r="X1761"/>
  <c r="AC1728"/>
  <c r="AC1729"/>
  <c r="AC1737"/>
  <c r="AC1740"/>
  <c r="AC1745"/>
  <c r="AC1752"/>
  <c r="AC1756"/>
  <c r="AC1760"/>
  <c r="AM1736"/>
  <c r="AM1744"/>
  <c r="AM1748"/>
  <c r="BV1727"/>
  <c r="BV1729"/>
  <c r="BV1731"/>
  <c r="BV1733"/>
  <c r="BV1735"/>
  <c r="BV1737"/>
  <c r="BV1739"/>
  <c r="BV1740"/>
  <c r="BV1741"/>
  <c r="BV1743"/>
  <c r="BV1745"/>
  <c r="BV1747"/>
  <c r="BV1749"/>
  <c r="BV1751"/>
  <c r="BV1753"/>
  <c r="BV1755"/>
  <c r="BV1756"/>
  <c r="BV1757"/>
  <c r="BV1759"/>
  <c r="BV1761"/>
  <c r="J1875"/>
  <c r="J1874"/>
  <c r="N1873"/>
  <c r="J1873"/>
  <c r="P1849"/>
  <c r="O1849"/>
  <c r="O1852" s="1"/>
  <c r="N1849"/>
  <c r="M1849"/>
  <c r="M1852" s="1"/>
  <c r="L1849"/>
  <c r="K1849"/>
  <c r="K1852" s="1"/>
  <c r="J1849"/>
  <c r="I1849"/>
  <c r="I1852" s="1"/>
  <c r="H1849"/>
  <c r="G1849"/>
  <c r="G1852" s="1"/>
  <c r="P1838"/>
  <c r="O1838"/>
  <c r="O1841" s="1"/>
  <c r="N1838"/>
  <c r="M1838"/>
  <c r="M1841" s="1"/>
  <c r="L1838"/>
  <c r="K1838"/>
  <c r="K1841" s="1"/>
  <c r="J1838"/>
  <c r="I1838"/>
  <c r="I1841" s="1"/>
  <c r="H1838"/>
  <c r="G1838"/>
  <c r="G1841" s="1"/>
  <c r="P1827"/>
  <c r="O1827"/>
  <c r="O1830" s="1"/>
  <c r="N1827"/>
  <c r="M1827"/>
  <c r="M1830" s="1"/>
  <c r="L1827"/>
  <c r="K1827"/>
  <c r="K1830" s="1"/>
  <c r="J1827"/>
  <c r="I1827"/>
  <c r="I1830" s="1"/>
  <c r="H1827"/>
  <c r="G1827"/>
  <c r="G1830" s="1"/>
  <c r="K1824"/>
  <c r="J1824"/>
  <c r="I1824"/>
  <c r="K1730"/>
  <c r="L1730" s="1"/>
  <c r="K1731"/>
  <c r="L1731" s="1"/>
  <c r="K1735"/>
  <c r="L1735" s="1"/>
  <c r="K1743"/>
  <c r="L1743" s="1"/>
  <c r="K1746"/>
  <c r="L1746" s="1"/>
  <c r="K1751"/>
  <c r="L1751" s="1"/>
  <c r="K1755"/>
  <c r="L1755" s="1"/>
  <c r="K1762"/>
  <c r="L1762" s="1"/>
  <c r="BW1725"/>
  <c r="BW1741"/>
  <c r="BW1749"/>
  <c r="BW1753"/>
  <c r="CB1728"/>
  <c r="CB1729"/>
  <c r="CB1736"/>
  <c r="CB1744"/>
  <c r="CB1748"/>
  <c r="CB1752"/>
  <c r="CB1760"/>
  <c r="CB1761"/>
  <c r="CL1725"/>
  <c r="CL1745"/>
  <c r="CL1753"/>
  <c r="CL1761"/>
  <c r="CV1727"/>
  <c r="CV1728"/>
  <c r="CV1729"/>
  <c r="CV1731"/>
  <c r="CV1733"/>
  <c r="CV1735"/>
  <c r="CV1737"/>
  <c r="CV1739"/>
  <c r="CV1740"/>
  <c r="CV1741"/>
  <c r="CV1743"/>
  <c r="CV1745"/>
  <c r="CV1747"/>
  <c r="CV1748"/>
  <c r="CV1749"/>
  <c r="CV1751"/>
  <c r="CV1753"/>
  <c r="CV1755"/>
  <c r="CV1757"/>
  <c r="CV1759"/>
  <c r="CV1760"/>
  <c r="CV1761"/>
  <c r="BX1729"/>
  <c r="BX1741"/>
  <c r="BX1749"/>
  <c r="CC1728"/>
  <c r="CC1729"/>
  <c r="CC1732"/>
  <c r="CC1741"/>
  <c r="CC1745"/>
  <c r="CC1749"/>
  <c r="CC1756"/>
  <c r="CC1758"/>
  <c r="CC1760"/>
  <c r="CM1727"/>
  <c r="CM1729"/>
  <c r="CM1733"/>
  <c r="CM1743"/>
  <c r="CM1744"/>
  <c r="CM1748"/>
  <c r="CM1753"/>
  <c r="CM1757"/>
  <c r="CW1725"/>
  <c r="CW1727"/>
  <c r="CW1729"/>
  <c r="CW1731"/>
  <c r="CW1732"/>
  <c r="CW1733"/>
  <c r="CW1735"/>
  <c r="CW1737"/>
  <c r="CW1739"/>
  <c r="CW1740"/>
  <c r="CW1741"/>
  <c r="CW1743"/>
  <c r="CW1745"/>
  <c r="CW1747"/>
  <c r="CW1749"/>
  <c r="CW1751"/>
  <c r="CW1752"/>
  <c r="CW1753"/>
  <c r="CW1755"/>
  <c r="CW1756"/>
  <c r="CW1757"/>
  <c r="CW1759"/>
  <c r="CW1761"/>
  <c r="BY1725"/>
  <c r="BY1726"/>
  <c r="BY1732"/>
  <c r="BY1736"/>
  <c r="BY1741"/>
  <c r="BY1745"/>
  <c r="BY1753"/>
  <c r="BY1756"/>
  <c r="BY1757"/>
  <c r="CD1728"/>
  <c r="CD1732"/>
  <c r="CD1736"/>
  <c r="CD1739"/>
  <c r="CD1740"/>
  <c r="CD1743"/>
  <c r="CD1745"/>
  <c r="CD1753"/>
  <c r="CD1755"/>
  <c r="CD1756"/>
  <c r="CD1761"/>
  <c r="CN1725"/>
  <c r="CN1729"/>
  <c r="CN1733"/>
  <c r="CN1740"/>
  <c r="CN1741"/>
  <c r="CN1746"/>
  <c r="CN1748"/>
  <c r="CN1749"/>
  <c r="CN1756"/>
  <c r="CN1757"/>
  <c r="CN1761"/>
  <c r="CX1726"/>
  <c r="CX1727"/>
  <c r="CX1728"/>
  <c r="CX1729"/>
  <c r="CX1730"/>
  <c r="CX1731"/>
  <c r="CX1732"/>
  <c r="CX1733"/>
  <c r="CX1735"/>
  <c r="CX1737"/>
  <c r="CX1739"/>
  <c r="CX1741"/>
  <c r="CX1743"/>
  <c r="CX1744"/>
  <c r="CX1745"/>
  <c r="CX1747"/>
  <c r="CX1748"/>
  <c r="CX1749"/>
  <c r="CX1751"/>
  <c r="CX1753"/>
  <c r="CX1755"/>
  <c r="CX1756"/>
  <c r="CX1757"/>
  <c r="CX1759"/>
  <c r="CX1760"/>
  <c r="CX1761"/>
  <c r="BZ1728"/>
  <c r="BZ1729"/>
  <c r="BZ1732"/>
  <c r="BZ1734"/>
  <c r="BZ1740"/>
  <c r="BZ1744"/>
  <c r="BZ1745"/>
  <c r="BZ1746"/>
  <c r="BZ1749"/>
  <c r="BZ1752"/>
  <c r="BZ1753"/>
  <c r="BZ1758"/>
  <c r="BZ1760"/>
  <c r="CE1725"/>
  <c r="CE1728"/>
  <c r="CE1729"/>
  <c r="CE1731"/>
  <c r="CE1732"/>
  <c r="CE1733"/>
  <c r="CE1735"/>
  <c r="CE1740"/>
  <c r="CE1741"/>
  <c r="CE1747"/>
  <c r="CE1748"/>
  <c r="CE1749"/>
  <c r="CE1751"/>
  <c r="CE1752"/>
  <c r="CE1753"/>
  <c r="CE1756"/>
  <c r="CE1761"/>
  <c r="CO1725"/>
  <c r="CO1729"/>
  <c r="CO1730"/>
  <c r="CO1732"/>
  <c r="CO1736"/>
  <c r="CO1740"/>
  <c r="CO1742"/>
  <c r="CO1744"/>
  <c r="CO1745"/>
  <c r="CO1746"/>
  <c r="CO1749"/>
  <c r="CO1752"/>
  <c r="CO1753"/>
  <c r="CO1754"/>
  <c r="CO1756"/>
  <c r="CO1757"/>
  <c r="CO1758"/>
  <c r="CY1725"/>
  <c r="CY1726"/>
  <c r="CY1727"/>
  <c r="CY1728"/>
  <c r="CY1729"/>
  <c r="CY1730"/>
  <c r="CY1731"/>
  <c r="CY1732"/>
  <c r="CY1733"/>
  <c r="CY1734"/>
  <c r="CY1735"/>
  <c r="CY1736"/>
  <c r="CY1737"/>
  <c r="CY1738"/>
  <c r="CY1739"/>
  <c r="CY1740"/>
  <c r="CY1741"/>
  <c r="CY1742"/>
  <c r="CY1743"/>
  <c r="CY1744"/>
  <c r="CY1745"/>
  <c r="CY1746"/>
  <c r="CY1747"/>
  <c r="CY1749"/>
  <c r="CY1750"/>
  <c r="CY1751"/>
  <c r="CY1753"/>
  <c r="CY1754"/>
  <c r="CY1755"/>
  <c r="CY1757"/>
  <c r="CY1758"/>
  <c r="CY1759"/>
  <c r="CY1761"/>
  <c r="CY1762"/>
  <c r="CA1725"/>
  <c r="CA1728"/>
  <c r="CA1729"/>
  <c r="CA1732"/>
  <c r="CA1733"/>
  <c r="CA1734"/>
  <c r="CA1736"/>
  <c r="CA1740"/>
  <c r="CA1741"/>
  <c r="CA1744"/>
  <c r="CA1745"/>
  <c r="CA1748"/>
  <c r="CA1749"/>
  <c r="CA1752"/>
  <c r="CA1753"/>
  <c r="CA1756"/>
  <c r="CA1757"/>
  <c r="CA1758"/>
  <c r="CA1760"/>
  <c r="CA1761"/>
  <c r="CF1725"/>
  <c r="CF1726"/>
  <c r="CF1728"/>
  <c r="CF1729"/>
  <c r="CF1730"/>
  <c r="CF1732"/>
  <c r="CF1733"/>
  <c r="CF1734"/>
  <c r="CF1736"/>
  <c r="CF1738"/>
  <c r="CF1740"/>
  <c r="CF1741"/>
  <c r="CF1742"/>
  <c r="CF1744"/>
  <c r="CF1745"/>
  <c r="CF1746"/>
  <c r="CF1748"/>
  <c r="CF1749"/>
  <c r="CF1750"/>
  <c r="CF1752"/>
  <c r="CF1753"/>
  <c r="CF1754"/>
  <c r="CF1756"/>
  <c r="CF1757"/>
  <c r="CF1758"/>
  <c r="CF1760"/>
  <c r="CF1761"/>
  <c r="CF1762"/>
  <c r="CP1725"/>
  <c r="CP1728"/>
  <c r="CP1729"/>
  <c r="CP1730"/>
  <c r="CP1732"/>
  <c r="CP1733"/>
  <c r="CP1734"/>
  <c r="CP1736"/>
  <c r="CP1738"/>
  <c r="CP1740"/>
  <c r="CP1741"/>
  <c r="CP1744"/>
  <c r="CP1745"/>
  <c r="CP1746"/>
  <c r="CP1748"/>
  <c r="CP1749"/>
  <c r="CP1750"/>
  <c r="CP1752"/>
  <c r="CP1753"/>
  <c r="CP1756"/>
  <c r="CP1757"/>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8"/>
  <c r="FD1729"/>
  <c r="FD1732"/>
  <c r="FD1733"/>
  <c r="FD1734"/>
  <c r="FD1736"/>
  <c r="FD1737"/>
  <c r="FD1738"/>
  <c r="FD1740"/>
  <c r="FD1741"/>
  <c r="FD1742"/>
  <c r="FD1744"/>
  <c r="FD1745"/>
  <c r="FD1747"/>
  <c r="FD1748"/>
  <c r="FD1749"/>
  <c r="FD1751"/>
  <c r="FD1752"/>
  <c r="FD1753"/>
  <c r="FD1755"/>
  <c r="FD1756"/>
  <c r="FD1757"/>
  <c r="FD1759"/>
  <c r="FD1760"/>
  <c r="FD1761"/>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7"/>
  <c r="FF1728"/>
  <c r="FF1729"/>
  <c r="FF1731"/>
  <c r="FF1732"/>
  <c r="FF1733"/>
  <c r="FF1735"/>
  <c r="FF1736"/>
  <c r="FF1737"/>
  <c r="FF1739"/>
  <c r="FF1740"/>
  <c r="FF1741"/>
  <c r="FF1743"/>
  <c r="FF1744"/>
  <c r="FF1745"/>
  <c r="FF1747"/>
  <c r="FF1748"/>
  <c r="FF1749"/>
  <c r="FF1751"/>
  <c r="FF1752"/>
  <c r="FF1753"/>
  <c r="FF1755"/>
  <c r="FF1756"/>
  <c r="FF1757"/>
  <c r="FF1759"/>
  <c r="FF1760"/>
  <c r="FF1761"/>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7"/>
  <c r="FH1728"/>
  <c r="FH1729"/>
  <c r="FH1731"/>
  <c r="FH1732"/>
  <c r="FH1733"/>
  <c r="FH1735"/>
  <c r="FH1736"/>
  <c r="FH1737"/>
  <c r="FH1739"/>
  <c r="FH1740"/>
  <c r="FH1741"/>
  <c r="FH1743"/>
  <c r="FH1744"/>
  <c r="FH1745"/>
  <c r="FH1747"/>
  <c r="FH1748"/>
  <c r="FH1749"/>
  <c r="FH1751"/>
  <c r="FH1752"/>
  <c r="FH1753"/>
  <c r="FH1755"/>
  <c r="FH1756"/>
  <c r="FH1757"/>
  <c r="FH1759"/>
  <c r="FH1760"/>
  <c r="FH1761"/>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7"/>
  <c r="FJ1728"/>
  <c r="FJ1729"/>
  <c r="FJ1731"/>
  <c r="FJ1732"/>
  <c r="FJ1733"/>
  <c r="FJ1735"/>
  <c r="FJ1736"/>
  <c r="FJ1737"/>
  <c r="FJ1739"/>
  <c r="FJ1740"/>
  <c r="FJ1741"/>
  <c r="FJ1743"/>
  <c r="FJ1744"/>
  <c r="FJ1745"/>
  <c r="FJ1747"/>
  <c r="FJ1748"/>
  <c r="FJ1749"/>
  <c r="FJ1751"/>
  <c r="FJ1752"/>
  <c r="FJ1753"/>
  <c r="FJ1755"/>
  <c r="FJ1756"/>
  <c r="FJ1757"/>
  <c r="FJ1759"/>
  <c r="FJ1760"/>
  <c r="FJ1761"/>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7"/>
  <c r="FL1728"/>
  <c r="FL1729"/>
  <c r="FL1731"/>
  <c r="FL1732"/>
  <c r="FL1733"/>
  <c r="FL1735"/>
  <c r="FL1736"/>
  <c r="FL1737"/>
  <c r="FL1739"/>
  <c r="FL1740"/>
  <c r="FL1741"/>
  <c r="FL1743"/>
  <c r="FL1744"/>
  <c r="FL1745"/>
  <c r="FL1747"/>
  <c r="FL1748"/>
  <c r="FL1749"/>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2"/>
  <c r="A1733"/>
  <c r="A1734"/>
  <c r="A1735"/>
  <c r="A1736"/>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H402"/>
  <c r="M17" i="15"/>
  <c r="B387" i="35"/>
  <c r="B386"/>
  <c r="B385"/>
  <c r="R345"/>
  <c r="A205"/>
  <c r="I183"/>
  <c r="H88"/>
  <c r="L53"/>
  <c r="J36"/>
  <c r="J35"/>
  <c r="A30"/>
  <c r="A2"/>
  <c r="M85" i="11"/>
  <c r="M84"/>
  <c r="A105"/>
  <c r="A2597" i="35" s="1"/>
  <c r="O93" i="11"/>
  <c r="O2585" i="35"/>
  <c r="A179" i="11"/>
  <c r="A178"/>
  <c r="P40"/>
  <c r="O40"/>
  <c r="O38" s="1"/>
  <c r="O82"/>
  <c r="O2574" i="35" s="1"/>
  <c r="R2574" s="1"/>
  <c r="O8" i="11"/>
  <c r="O55"/>
  <c r="O139"/>
  <c r="O132" s="1"/>
  <c r="O166"/>
  <c r="O180"/>
  <c r="O175" s="1"/>
  <c r="O191"/>
  <c r="O199"/>
  <c r="O235"/>
  <c r="O227" s="1"/>
  <c r="O270"/>
  <c r="O279"/>
  <c r="L279" s="1"/>
  <c r="G109" i="15"/>
  <c r="A1" i="25"/>
  <c r="J54" i="35"/>
  <c r="I17" i="29"/>
  <c r="J117" i="15"/>
  <c r="J17"/>
  <c r="J27"/>
  <c r="J32"/>
  <c r="J56"/>
  <c r="J74"/>
  <c r="J83"/>
  <c r="J109"/>
  <c r="J121"/>
  <c r="J137"/>
  <c r="J141" s="1"/>
  <c r="BW10" i="36"/>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123" s="1"/>
  <c r="M140" s="1"/>
  <c r="M142" s="1"/>
  <c r="M144" s="1"/>
  <c r="M36"/>
  <c r="M56"/>
  <c r="M68"/>
  <c r="M74"/>
  <c r="M83"/>
  <c r="M109"/>
  <c r="M121"/>
  <c r="P117"/>
  <c r="P17"/>
  <c r="P27"/>
  <c r="P32"/>
  <c r="P36"/>
  <c r="P56"/>
  <c r="P68"/>
  <c r="P74"/>
  <c r="P83"/>
  <c r="P109"/>
  <c r="P121"/>
  <c r="P137"/>
  <c r="P141"/>
  <c r="BW11" i="36"/>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48" s="1"/>
  <c r="AA69" s="1"/>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7" i="15"/>
  <c r="G23"/>
  <c r="G56"/>
  <c r="G68"/>
  <c r="G83"/>
  <c r="G74"/>
  <c r="G98"/>
  <c r="G104"/>
  <c r="G121"/>
  <c r="BC11" i="36"/>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S36"/>
  <c r="S17"/>
  <c r="S23"/>
  <c r="S32"/>
  <c r="S56"/>
  <c r="S68"/>
  <c r="S74"/>
  <c r="S83"/>
  <c r="S98"/>
  <c r="S109"/>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175" s="1"/>
  <c r="P8"/>
  <c r="P55"/>
  <c r="P139"/>
  <c r="P132" s="1"/>
  <c r="P166"/>
  <c r="P191"/>
  <c r="P199"/>
  <c r="P235"/>
  <c r="P227" s="1"/>
  <c r="P270"/>
  <c r="P279"/>
  <c r="A3" i="38"/>
  <c r="A2"/>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P1730" i="35"/>
  <c r="P1731"/>
  <c r="P17" i="36"/>
  <c r="P1732" i="35" s="1"/>
  <c r="P1733"/>
  <c r="P1734"/>
  <c r="P1735"/>
  <c r="P21" i="36"/>
  <c r="P1736" i="35" s="1"/>
  <c r="P22" i="36"/>
  <c r="P23"/>
  <c r="P1738" i="35" s="1"/>
  <c r="P24" i="36"/>
  <c r="P1739" i="35" s="1"/>
  <c r="P25" i="36"/>
  <c r="P1740" i="35" s="1"/>
  <c r="P26" i="36"/>
  <c r="P1741" i="35"/>
  <c r="P27" i="36"/>
  <c r="P1742" i="35" s="1"/>
  <c r="P28" i="36"/>
  <c r="P1743" i="35"/>
  <c r="P29" i="36"/>
  <c r="P1744" i="35" s="1"/>
  <c r="P30" i="36"/>
  <c r="P1745" i="35" s="1"/>
  <c r="P31" i="36"/>
  <c r="P1746" i="35" s="1"/>
  <c r="P32" i="36"/>
  <c r="P1747" i="35" s="1"/>
  <c r="P33" i="36"/>
  <c r="P1748" i="35" s="1"/>
  <c r="P34" i="36"/>
  <c r="P1749" i="35"/>
  <c r="P35" i="36"/>
  <c r="P1750" i="35" s="1"/>
  <c r="P36" i="36"/>
  <c r="P1751" i="35" s="1"/>
  <c r="P37" i="36"/>
  <c r="P1752" i="35" s="1"/>
  <c r="P38" i="36"/>
  <c r="P1753" i="35" s="1"/>
  <c r="P39" i="36"/>
  <c r="P1754" i="35" s="1"/>
  <c r="P40" i="36"/>
  <c r="P1755" i="35" s="1"/>
  <c r="P41" i="36"/>
  <c r="P1756" i="35" s="1"/>
  <c r="P42" i="36"/>
  <c r="P1757" i="35"/>
  <c r="P43" i="36"/>
  <c r="P1758" i="35" s="1"/>
  <c r="P44" i="36"/>
  <c r="P1759" i="35"/>
  <c r="P45" i="36"/>
  <c r="P1760" i="35" s="1"/>
  <c r="P46" i="36"/>
  <c r="P1761" i="35" s="1"/>
  <c r="P47" i="36"/>
  <c r="P1762" i="35" s="1"/>
  <c r="P1726"/>
  <c r="P1727"/>
  <c r="P13" i="36"/>
  <c r="P1728" i="35" s="1"/>
  <c r="P1729"/>
  <c r="P1725"/>
  <c r="A37" i="8"/>
  <c r="A72" s="1"/>
  <c r="A107" s="1"/>
  <c r="A142" s="1"/>
  <c r="A36"/>
  <c r="A71" s="1"/>
  <c r="A106" s="1"/>
  <c r="A141" s="1"/>
  <c r="A35"/>
  <c r="A70" s="1"/>
  <c r="A105" s="1"/>
  <c r="A140" s="1"/>
  <c r="A34"/>
  <c r="A69" s="1"/>
  <c r="A104" s="1"/>
  <c r="A139" s="1"/>
  <c r="A73"/>
  <c r="A108" s="1"/>
  <c r="A143" s="1"/>
  <c r="A74"/>
  <c r="A109" s="1"/>
  <c r="A144" s="1"/>
  <c r="A63"/>
  <c r="A98"/>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68"/>
  <c r="R167"/>
  <c r="R31"/>
  <c r="L259"/>
  <c r="L247"/>
  <c r="L243"/>
  <c r="L238"/>
  <c r="L242"/>
  <c r="L241"/>
  <c r="L240"/>
  <c r="L239"/>
  <c r="L237"/>
  <c r="L236"/>
  <c r="L192"/>
  <c r="L168"/>
  <c r="G133"/>
  <c r="M37" i="3"/>
  <c r="D2024" i="35" s="1"/>
  <c r="F150" i="8"/>
  <c r="F2038" i="35" s="1"/>
  <c r="E150" i="8"/>
  <c r="E2038" i="35" s="1"/>
  <c r="D150" i="8"/>
  <c r="D2038" i="35" s="1"/>
  <c r="C150" i="8"/>
  <c r="C2038" i="35" s="1"/>
  <c r="B150" i="8"/>
  <c r="B2038" i="35" s="1"/>
  <c r="M35" i="3"/>
  <c r="F1950" i="35" s="1"/>
  <c r="F148" i="8"/>
  <c r="F2036" i="35" s="1"/>
  <c r="E148" i="8"/>
  <c r="E2036" i="35" s="1"/>
  <c r="D148" i="8"/>
  <c r="D2036" i="35" s="1"/>
  <c r="C148" i="8"/>
  <c r="C2036" i="35" s="1"/>
  <c r="B148" i="8"/>
  <c r="B2036" i="35" s="1"/>
  <c r="M33" i="3"/>
  <c r="M386"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0" i="8"/>
  <c r="K1968" i="35" s="1"/>
  <c r="J80" i="8"/>
  <c r="J1968" i="35" s="1"/>
  <c r="I80" i="8"/>
  <c r="I1968" i="35" s="1"/>
  <c r="H80" i="8"/>
  <c r="H1968" i="35" s="1"/>
  <c r="G80" i="8"/>
  <c r="G1968" i="35" s="1"/>
  <c r="F80" i="8"/>
  <c r="F1968" i="35" s="1"/>
  <c r="E80" i="8"/>
  <c r="E1968" i="35" s="1"/>
  <c r="D80" i="8"/>
  <c r="D1968" i="35" s="1"/>
  <c r="C80" i="8"/>
  <c r="C1968" i="35" s="1"/>
  <c r="B80" i="8"/>
  <c r="B1968"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5" i="8"/>
  <c r="C1933" i="35" s="1"/>
  <c r="D45" i="8"/>
  <c r="D1933" i="35" s="1"/>
  <c r="E45" i="8"/>
  <c r="E1933" i="35" s="1"/>
  <c r="F45" i="8"/>
  <c r="F1933" i="35" s="1"/>
  <c r="G45" i="8"/>
  <c r="G1933" i="35" s="1"/>
  <c r="H45" i="8"/>
  <c r="H1933" i="35" s="1"/>
  <c r="I45" i="8"/>
  <c r="I1933" i="35" s="1"/>
  <c r="J45" i="8"/>
  <c r="J1933" i="35" s="1"/>
  <c r="K45" i="8"/>
  <c r="K1933" i="35" s="1"/>
  <c r="B43" i="8"/>
  <c r="B1931" i="35" s="1"/>
  <c r="B45" i="8"/>
  <c r="B1933" i="35" s="1"/>
  <c r="M36" i="3"/>
  <c r="I1916" i="35" s="1"/>
  <c r="M34" i="3"/>
  <c r="C2019" i="35" s="1"/>
  <c r="H1916"/>
  <c r="K1916"/>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48" s="1"/>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48" s="1"/>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CQ48" s="1"/>
  <c r="A1" i="26"/>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A148" i="8"/>
  <c r="A147"/>
  <c r="A146"/>
  <c r="A113"/>
  <c r="A112"/>
  <c r="A111"/>
  <c r="A78"/>
  <c r="A77"/>
  <c r="A76"/>
  <c r="B38" i="26"/>
  <c r="B39"/>
  <c r="B40"/>
  <c r="B41"/>
  <c r="B42"/>
  <c r="B43"/>
  <c r="B44"/>
  <c r="B45"/>
  <c r="B46"/>
  <c r="B37"/>
  <c r="B28"/>
  <c r="B29"/>
  <c r="B30"/>
  <c r="B31"/>
  <c r="B32"/>
  <c r="B33"/>
  <c r="B34"/>
  <c r="B35"/>
  <c r="B36"/>
  <c r="B27"/>
  <c r="B18"/>
  <c r="B19"/>
  <c r="B20"/>
  <c r="B21"/>
  <c r="B22"/>
  <c r="B23"/>
  <c r="B24"/>
  <c r="B25"/>
  <c r="B26"/>
  <c r="B17"/>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48" s="1"/>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W10"/>
  <c r="FV10"/>
  <c r="FU10"/>
  <c r="FT10"/>
  <c r="A1" i="11"/>
  <c r="O7" i="15"/>
  <c r="O18"/>
  <c r="O24"/>
  <c r="O28"/>
  <c r="O33"/>
  <c r="O47"/>
  <c r="O57"/>
  <c r="O69"/>
  <c r="O75"/>
  <c r="O88"/>
  <c r="O99"/>
  <c r="O105"/>
  <c r="O110"/>
  <c r="O118"/>
  <c r="J156"/>
  <c r="CT48" i="36"/>
  <c r="M294" i="11"/>
  <c r="P38"/>
  <c r="P2532" i="35"/>
  <c r="A3"/>
  <c r="A354"/>
  <c r="A414"/>
  <c r="A471"/>
  <c r="G471"/>
  <c r="A959"/>
  <c r="A1008"/>
  <c r="I1675"/>
  <c r="P2530"/>
  <c r="O2624"/>
  <c r="L2548"/>
  <c r="O2532"/>
  <c r="F72"/>
  <c r="F43" i="7"/>
  <c r="B1985" i="35"/>
  <c r="F1915"/>
  <c r="D1985"/>
  <c r="C1985"/>
  <c r="F2020"/>
  <c r="E1950"/>
  <c r="K1950"/>
  <c r="D1916"/>
  <c r="C1914"/>
  <c r="B1951"/>
  <c r="H1949"/>
  <c r="G1986"/>
  <c r="K1951"/>
  <c r="C1951"/>
  <c r="A1" i="34"/>
  <c r="I3" i="29"/>
  <c r="A3" i="37"/>
  <c r="E33" i="15"/>
  <c r="A1512" i="35"/>
  <c r="M1532"/>
  <c r="U1512"/>
  <c r="F1602"/>
  <c r="A1510"/>
  <c r="G1513"/>
  <c r="M1513"/>
  <c r="P1513"/>
  <c r="J1552"/>
  <c r="J1570"/>
  <c r="S1528"/>
  <c r="M1552"/>
  <c r="P1564"/>
  <c r="M1570"/>
  <c r="P1570"/>
  <c r="S1570"/>
  <c r="M1579"/>
  <c r="M1605"/>
  <c r="P1605"/>
  <c r="U1511"/>
  <c r="U1592"/>
  <c r="K1868"/>
  <c r="M1564"/>
  <c r="P1579"/>
  <c r="S1605"/>
  <c r="A1593"/>
  <c r="P1633"/>
  <c r="P1637" s="1"/>
  <c r="BS1761"/>
  <c r="BS1757"/>
  <c r="BS1753"/>
  <c r="BS1749"/>
  <c r="BS1745"/>
  <c r="BS1741"/>
  <c r="BS1733"/>
  <c r="BS1729"/>
  <c r="P1737"/>
  <c r="FN48" i="36"/>
  <c r="BS1737" i="35"/>
  <c r="EK48" i="36"/>
  <c r="I80" s="1"/>
  <c r="EZ1763" i="35"/>
  <c r="Z1801" s="1"/>
  <c r="FA1763"/>
  <c r="J1801" s="1"/>
  <c r="FG1763"/>
  <c r="K1804" s="1"/>
  <c r="C1918"/>
  <c r="A1612"/>
  <c r="U1612"/>
  <c r="AI1725"/>
  <c r="BS1725"/>
  <c r="W1725"/>
  <c r="AB1725"/>
  <c r="AM1725"/>
  <c r="AI1761"/>
  <c r="W1761"/>
  <c r="AB1761"/>
  <c r="AM1761"/>
  <c r="BR1760"/>
  <c r="V1760"/>
  <c r="AA1760"/>
  <c r="AL1760"/>
  <c r="AI1757"/>
  <c r="W1757"/>
  <c r="AB1757"/>
  <c r="AM1757"/>
  <c r="BR1756"/>
  <c r="V1756"/>
  <c r="AA1756"/>
  <c r="AL1756"/>
  <c r="AI1753"/>
  <c r="W1753"/>
  <c r="AB1753"/>
  <c r="AM1753"/>
  <c r="BR1752"/>
  <c r="V1752"/>
  <c r="AA1752"/>
  <c r="AL1752"/>
  <c r="AI1749"/>
  <c r="W1749"/>
  <c r="AB1749"/>
  <c r="AM1749"/>
  <c r="BR1748"/>
  <c r="V1748"/>
  <c r="AA1748"/>
  <c r="AL1748"/>
  <c r="AI1745"/>
  <c r="W1745"/>
  <c r="AB1745"/>
  <c r="AM1745"/>
  <c r="BR1744"/>
  <c r="V1744"/>
  <c r="AA1744"/>
  <c r="AL1744"/>
  <c r="AI1741"/>
  <c r="W1741"/>
  <c r="AB1741"/>
  <c r="AM1741"/>
  <c r="BR1740"/>
  <c r="V1740"/>
  <c r="AA1740"/>
  <c r="AL1740"/>
  <c r="BR1736"/>
  <c r="V1736"/>
  <c r="AA1736"/>
  <c r="AL1736"/>
  <c r="AI1733"/>
  <c r="W1733"/>
  <c r="AB1733"/>
  <c r="AM1733"/>
  <c r="BR1732"/>
  <c r="V1732"/>
  <c r="AA1732"/>
  <c r="AL1732"/>
  <c r="AI1729"/>
  <c r="W1729"/>
  <c r="AB1729"/>
  <c r="AM1729"/>
  <c r="BR1728"/>
  <c r="V1728"/>
  <c r="AA1728"/>
  <c r="AL1728"/>
  <c r="J1633"/>
  <c r="J1637" s="1"/>
  <c r="O2727"/>
  <c r="O2719" s="1"/>
  <c r="L2728"/>
  <c r="R2728"/>
  <c r="L2730"/>
  <c r="R2730"/>
  <c r="L2732"/>
  <c r="R2732"/>
  <c r="L2734"/>
  <c r="R2734"/>
  <c r="L2739"/>
  <c r="R2739"/>
  <c r="E1529"/>
  <c r="K2509"/>
  <c r="G2503" s="1"/>
  <c r="P2509"/>
  <c r="G2504" s="1"/>
  <c r="A1511"/>
  <c r="U1593"/>
  <c r="P1552"/>
  <c r="A1551"/>
  <c r="U1551"/>
  <c r="U1759"/>
  <c r="Z1759"/>
  <c r="AK1759"/>
  <c r="BU1759"/>
  <c r="U1755"/>
  <c r="Z1755"/>
  <c r="AK1755"/>
  <c r="BU1755"/>
  <c r="U1751"/>
  <c r="Z1751"/>
  <c r="AK1751"/>
  <c r="BU1751"/>
  <c r="U1747"/>
  <c r="Z1747"/>
  <c r="AK1747"/>
  <c r="BU1747"/>
  <c r="U1743"/>
  <c r="Z1743"/>
  <c r="AK1743"/>
  <c r="BU1743"/>
  <c r="U1739"/>
  <c r="Z1739"/>
  <c r="AK1739"/>
  <c r="BU1739"/>
  <c r="U1735"/>
  <c r="Z1735"/>
  <c r="AK1735"/>
  <c r="BU1735"/>
  <c r="U1731"/>
  <c r="Z1731"/>
  <c r="AK1731"/>
  <c r="BU1731"/>
  <c r="U1727"/>
  <c r="Z1727"/>
  <c r="AK1727"/>
  <c r="BU1727"/>
  <c r="G1519"/>
  <c r="S1564"/>
  <c r="G1594"/>
  <c r="G1600"/>
  <c r="B1934"/>
  <c r="B1919"/>
  <c r="B44" i="8"/>
  <c r="B1932" i="35" s="1"/>
  <c r="C44" i="8"/>
  <c r="C1932" i="35" s="1"/>
  <c r="D44" i="8"/>
  <c r="D1932" i="35" s="1"/>
  <c r="E44" i="8"/>
  <c r="E1932" i="35" s="1"/>
  <c r="F44" i="8"/>
  <c r="F1932" i="35" s="1"/>
  <c r="G44" i="8"/>
  <c r="G1932" i="35" s="1"/>
  <c r="H44" i="8"/>
  <c r="H1932" i="35" s="1"/>
  <c r="I44" i="8"/>
  <c r="I1932" i="35" s="1"/>
  <c r="J44" i="8"/>
  <c r="J1932" i="35" s="1"/>
  <c r="K44" i="8"/>
  <c r="K1932" i="35" s="1"/>
  <c r="B79" i="8"/>
  <c r="B1967" i="35" s="1"/>
  <c r="C79" i="8"/>
  <c r="C1967" i="35" s="1"/>
  <c r="D79" i="8"/>
  <c r="D1967" i="35" s="1"/>
  <c r="E79" i="8"/>
  <c r="E1967" i="35" s="1"/>
  <c r="F79" i="8"/>
  <c r="F1967" i="35" s="1"/>
  <c r="G79" i="8"/>
  <c r="G1967" i="35" s="1"/>
  <c r="H79" i="8"/>
  <c r="H1967" i="35" s="1"/>
  <c r="I79" i="8"/>
  <c r="I1967" i="35" s="1"/>
  <c r="J79" i="8"/>
  <c r="J1967" i="35" s="1"/>
  <c r="K79" i="8"/>
  <c r="K1967" i="35" s="1"/>
  <c r="B114" i="8"/>
  <c r="B2002" i="35" s="1"/>
  <c r="C114" i="8"/>
  <c r="C2002" i="35" s="1"/>
  <c r="D114" i="8"/>
  <c r="D2002" i="35" s="1"/>
  <c r="E114" i="8"/>
  <c r="E2002" i="35" s="1"/>
  <c r="F114" i="8"/>
  <c r="B118"/>
  <c r="C118" s="1"/>
  <c r="D118" s="1"/>
  <c r="E118" s="1"/>
  <c r="F118" s="1"/>
  <c r="F2002" i="35"/>
  <c r="G114" i="8"/>
  <c r="G2002" i="35" s="1"/>
  <c r="H114" i="8"/>
  <c r="H2002" i="35" s="1"/>
  <c r="I114" i="8"/>
  <c r="I2002" i="35" s="1"/>
  <c r="J114" i="8"/>
  <c r="J2002" i="35" s="1"/>
  <c r="K114" i="8"/>
  <c r="K2002" i="35" s="1"/>
  <c r="B149" i="8"/>
  <c r="B2037" i="35" s="1"/>
  <c r="C149" i="8"/>
  <c r="C2037" i="35" s="1"/>
  <c r="D149" i="8"/>
  <c r="D2037" i="35" s="1"/>
  <c r="E149" i="8"/>
  <c r="E2037" i="35" s="1"/>
  <c r="F149" i="8"/>
  <c r="F2037" i="35" s="1"/>
  <c r="GG1763" l="1"/>
  <c r="GL1763"/>
  <c r="EX1763"/>
  <c r="AC1800" s="1"/>
  <c r="EV1763"/>
  <c r="FC1763"/>
  <c r="L1801" s="1"/>
  <c r="FR1763"/>
  <c r="AC1802" s="1"/>
  <c r="FO1763"/>
  <c r="I1802" s="1"/>
  <c r="FM1763"/>
  <c r="FI1763"/>
  <c r="FE1763"/>
  <c r="CZ1763"/>
  <c r="K1761"/>
  <c r="L1761" s="1"/>
  <c r="K1759"/>
  <c r="L1759" s="1"/>
  <c r="K1757"/>
  <c r="L1757" s="1"/>
  <c r="K1753"/>
  <c r="L1753" s="1"/>
  <c r="K1749"/>
  <c r="L1749" s="1"/>
  <c r="K1747"/>
  <c r="L1747" s="1"/>
  <c r="CB1747"/>
  <c r="K1745"/>
  <c r="L1745" s="1"/>
  <c r="K1739"/>
  <c r="L1739" s="1"/>
  <c r="BY1734"/>
  <c r="S1552"/>
  <c r="K1727"/>
  <c r="L1727" s="1"/>
  <c r="K1729"/>
  <c r="L1729" s="1"/>
  <c r="K1689"/>
  <c r="L1689"/>
  <c r="AA1800"/>
  <c r="J1800"/>
  <c r="AC1803"/>
  <c r="L1803"/>
  <c r="Z1804"/>
  <c r="I1804"/>
  <c r="BM48" i="36"/>
  <c r="Y69" s="1"/>
  <c r="EW1763" i="35"/>
  <c r="K1800" s="1"/>
  <c r="EU1763"/>
  <c r="I1800" s="1"/>
  <c r="FP1763"/>
  <c r="AA1801"/>
  <c r="CR48" i="36"/>
  <c r="GW48"/>
  <c r="HB48"/>
  <c r="HK48"/>
  <c r="HH48"/>
  <c r="DA48"/>
  <c r="H73" s="1"/>
  <c r="DY48"/>
  <c r="DW48"/>
  <c r="DU48"/>
  <c r="EN48"/>
  <c r="L80" s="1"/>
  <c r="EI48"/>
  <c r="EM48"/>
  <c r="AB80" s="1"/>
  <c r="EQ48"/>
  <c r="EG48"/>
  <c r="J79" s="1"/>
  <c r="EO48"/>
  <c r="EJ48"/>
  <c r="H80" s="1"/>
  <c r="EE48"/>
  <c r="CY48"/>
  <c r="K97" s="1"/>
  <c r="DA1763" i="35"/>
  <c r="EY1763"/>
  <c r="Y1801" s="1"/>
  <c r="FQ1763"/>
  <c r="AB1802" s="1"/>
  <c r="DO48" i="36"/>
  <c r="BF48"/>
  <c r="BH48"/>
  <c r="BN48"/>
  <c r="CO48"/>
  <c r="AB95" s="1"/>
  <c r="CF48"/>
  <c r="L93" s="1"/>
  <c r="HH1763" i="35"/>
  <c r="DC1763"/>
  <c r="AA1788" s="1"/>
  <c r="EK1763"/>
  <c r="I1795" s="1"/>
  <c r="BT1725"/>
  <c r="AC1725"/>
  <c r="CV1725"/>
  <c r="BX1725"/>
  <c r="Y1725"/>
  <c r="U1725"/>
  <c r="AK1725"/>
  <c r="BU1725"/>
  <c r="CM1725"/>
  <c r="BZ1725"/>
  <c r="Z1761"/>
  <c r="BW1761"/>
  <c r="BX1761"/>
  <c r="CM1761"/>
  <c r="BY1761"/>
  <c r="BZ1761"/>
  <c r="AJ1760"/>
  <c r="BV1760"/>
  <c r="CM1760"/>
  <c r="CW1760"/>
  <c r="BY1760"/>
  <c r="BS1760"/>
  <c r="W1760"/>
  <c r="AM1760"/>
  <c r="CN1760"/>
  <c r="CO1760"/>
  <c r="T1757"/>
  <c r="V1757"/>
  <c r="AA1757"/>
  <c r="AL1757"/>
  <c r="AC1757"/>
  <c r="CB1757"/>
  <c r="X1757"/>
  <c r="BW1757"/>
  <c r="CL1757"/>
  <c r="BX1757"/>
  <c r="CC1757"/>
  <c r="CD1757"/>
  <c r="CE1757"/>
  <c r="U1756"/>
  <c r="BS1756"/>
  <c r="AB1756"/>
  <c r="BU1756"/>
  <c r="Z1756"/>
  <c r="AK1756"/>
  <c r="CB1756"/>
  <c r="BZ1756"/>
  <c r="AK1753"/>
  <c r="U1753"/>
  <c r="V1753"/>
  <c r="AC1753"/>
  <c r="AI1752"/>
  <c r="BT1752"/>
  <c r="W1752"/>
  <c r="AM1752"/>
  <c r="CV1752"/>
  <c r="CC1752"/>
  <c r="CM1752"/>
  <c r="BY1752"/>
  <c r="CD1752"/>
  <c r="AB1752"/>
  <c r="CN1752"/>
  <c r="CX1752"/>
  <c r="Z1749"/>
  <c r="X1749"/>
  <c r="AC1749"/>
  <c r="CB1749"/>
  <c r="CL1749"/>
  <c r="CM1749"/>
  <c r="BY1749"/>
  <c r="CD1749"/>
  <c r="Y1748"/>
  <c r="BU1748"/>
  <c r="BS1748"/>
  <c r="BV1748"/>
  <c r="CC1748"/>
  <c r="CW1748"/>
  <c r="BZ1748"/>
  <c r="CO1748"/>
  <c r="BW1745"/>
  <c r="BX1745"/>
  <c r="CB1745"/>
  <c r="CN1745"/>
  <c r="CE1745"/>
  <c r="AK1744"/>
  <c r="BV1744"/>
  <c r="CC1744"/>
  <c r="CW1744"/>
  <c r="BY1744"/>
  <c r="CD1744"/>
  <c r="Y1744"/>
  <c r="BU1744"/>
  <c r="AC1744"/>
  <c r="AC1741"/>
  <c r="CB1741"/>
  <c r="T1741"/>
  <c r="AA1741"/>
  <c r="AL1741"/>
  <c r="CD1741"/>
  <c r="BZ1741"/>
  <c r="U1740"/>
  <c r="AJ1740"/>
  <c r="Z1740"/>
  <c r="AK1740"/>
  <c r="BT1740"/>
  <c r="CM1740"/>
  <c r="BY1740"/>
  <c r="AK1737"/>
  <c r="BW1737"/>
  <c r="Z1736"/>
  <c r="BT1736"/>
  <c r="AB1736"/>
  <c r="CV1736"/>
  <c r="AI1736"/>
  <c r="BS1736"/>
  <c r="W1736"/>
  <c r="BV1736"/>
  <c r="CC1736"/>
  <c r="CW1736"/>
  <c r="CN1736"/>
  <c r="CX1736"/>
  <c r="CE1736"/>
  <c r="T1733"/>
  <c r="AA1733"/>
  <c r="AL1733"/>
  <c r="AC1733"/>
  <c r="CC1733"/>
  <c r="X1733"/>
  <c r="CB1733"/>
  <c r="CL1733"/>
  <c r="BX1733"/>
  <c r="CD1733"/>
  <c r="BZ1733"/>
  <c r="CO1733"/>
  <c r="Y1732"/>
  <c r="AI1732"/>
  <c r="AM1732"/>
  <c r="CB1732"/>
  <c r="AJ1732"/>
  <c r="AC1732"/>
  <c r="V1729"/>
  <c r="AK1729"/>
  <c r="X1729"/>
  <c r="BW1729"/>
  <c r="CL1729"/>
  <c r="CD1729"/>
  <c r="BY1729"/>
  <c r="W1728"/>
  <c r="BV1728"/>
  <c r="CW1728"/>
  <c r="BY1728"/>
  <c r="BT1728"/>
  <c r="AM1728"/>
  <c r="CN1728"/>
  <c r="CO1728"/>
  <c r="DJ48" i="36"/>
  <c r="AC74" s="1"/>
  <c r="DF48"/>
  <c r="BK1763" i="35"/>
  <c r="EA1763"/>
  <c r="ET1763"/>
  <c r="H1800" s="1"/>
  <c r="FB1763"/>
  <c r="K1801" s="1"/>
  <c r="FN1763"/>
  <c r="Y1802" s="1"/>
  <c r="FK1763"/>
  <c r="AA1803" s="1"/>
  <c r="FL48" i="36"/>
  <c r="K88" s="1"/>
  <c r="CS48"/>
  <c r="FO48"/>
  <c r="EY48"/>
  <c r="GD48"/>
  <c r="DC48"/>
  <c r="R180" i="11"/>
  <c r="H1951" i="35"/>
  <c r="M389"/>
  <c r="F1951"/>
  <c r="GA48" i="36"/>
  <c r="GF48"/>
  <c r="GC48"/>
  <c r="EU48"/>
  <c r="B1949" i="35"/>
  <c r="O3" i="36"/>
  <c r="CU1763" i="35"/>
  <c r="FY1763"/>
  <c r="FZ1763"/>
  <c r="GE1763"/>
  <c r="BH1763"/>
  <c r="H1785" s="1"/>
  <c r="ES1763"/>
  <c r="CY1760"/>
  <c r="CY1756"/>
  <c r="CY1752"/>
  <c r="CY1748"/>
  <c r="CY1763" s="1"/>
  <c r="CO1761"/>
  <c r="CO1741"/>
  <c r="CE1760"/>
  <c r="CE1744"/>
  <c r="BZ1757"/>
  <c r="BZ1736"/>
  <c r="CX1740"/>
  <c r="CX1725"/>
  <c r="CN1753"/>
  <c r="CN1744"/>
  <c r="CN1732"/>
  <c r="CD1760"/>
  <c r="CD1748"/>
  <c r="CD1725"/>
  <c r="BY1748"/>
  <c r="BY1733"/>
  <c r="CM1756"/>
  <c r="CC1761"/>
  <c r="CC1753"/>
  <c r="CC1740"/>
  <c r="BX1753"/>
  <c r="CV1756"/>
  <c r="CV1744"/>
  <c r="CV1732"/>
  <c r="CL1741"/>
  <c r="CB1753"/>
  <c r="CB1740"/>
  <c r="CB1725"/>
  <c r="BW1733"/>
  <c r="BV1752"/>
  <c r="BV1732"/>
  <c r="BV1725"/>
  <c r="AC1761"/>
  <c r="AC1748"/>
  <c r="AC1736"/>
  <c r="X1753"/>
  <c r="BU1736"/>
  <c r="BU1728"/>
  <c r="AL1729"/>
  <c r="AB1740"/>
  <c r="W1740"/>
  <c r="BT1732"/>
  <c r="AK1761"/>
  <c r="AK1745"/>
  <c r="AA1761"/>
  <c r="AA1725"/>
  <c r="V1725"/>
  <c r="BS1732"/>
  <c r="AJ1748"/>
  <c r="Z1757"/>
  <c r="Z1733"/>
  <c r="U1745"/>
  <c r="AI1744"/>
  <c r="Y1740"/>
  <c r="T1749"/>
  <c r="R2763"/>
  <c r="J1521"/>
  <c r="J1523" s="1"/>
  <c r="J1830"/>
  <c r="D968"/>
  <c r="D976" s="1"/>
  <c r="D978" s="1"/>
  <c r="O2547"/>
  <c r="CC1725"/>
  <c r="FD1743"/>
  <c r="FD1739"/>
  <c r="FD1735"/>
  <c r="FD1731"/>
  <c r="FD1727"/>
  <c r="D18" i="25"/>
  <c r="D20" s="1"/>
  <c r="A48" i="36"/>
  <c r="A7" s="1"/>
  <c r="AD1737" i="35"/>
  <c r="CH1737"/>
  <c r="CH1763" s="1"/>
  <c r="GZ1737"/>
  <c r="GZ1763" s="1"/>
  <c r="AU1737"/>
  <c r="DO1737"/>
  <c r="DO1763" s="1"/>
  <c r="DY1737"/>
  <c r="DY1763" s="1"/>
  <c r="L1792" s="1"/>
  <c r="EI1737"/>
  <c r="EI1763" s="1"/>
  <c r="AC1794" s="1"/>
  <c r="AF1737"/>
  <c r="AF1763" s="1"/>
  <c r="CJ1737"/>
  <c r="GP1737"/>
  <c r="GP1763" s="1"/>
  <c r="HF1737"/>
  <c r="HF1763" s="1"/>
  <c r="BL1737"/>
  <c r="BL1763" s="1"/>
  <c r="AC1785" s="1"/>
  <c r="DM1737"/>
  <c r="DM1763" s="1"/>
  <c r="DW1737"/>
  <c r="DW1763" s="1"/>
  <c r="AA1792" s="1"/>
  <c r="EG1737"/>
  <c r="EG1763" s="1"/>
  <c r="AA1794" s="1"/>
  <c r="AB1737"/>
  <c r="AH1737"/>
  <c r="BE1737"/>
  <c r="BE1763" s="1"/>
  <c r="GT1737"/>
  <c r="GT1763" s="1"/>
  <c r="HB1737"/>
  <c r="HB1763" s="1"/>
  <c r="HJ1737"/>
  <c r="HJ1763" s="1"/>
  <c r="AT1737"/>
  <c r="AT1763" s="1"/>
  <c r="I1781" s="1"/>
  <c r="BJ1737"/>
  <c r="BJ1763" s="1"/>
  <c r="AA1785" s="1"/>
  <c r="DE1737"/>
  <c r="DE1763" s="1"/>
  <c r="L1788" s="1"/>
  <c r="DG1737"/>
  <c r="DG1763" s="1"/>
  <c r="EC1737"/>
  <c r="EC1763" s="1"/>
  <c r="DQ1737"/>
  <c r="DQ1763" s="1"/>
  <c r="I1791" s="1"/>
  <c r="EM1737"/>
  <c r="EO1737"/>
  <c r="EO1763" s="1"/>
  <c r="CO1737"/>
  <c r="BZ1737"/>
  <c r="CL1737"/>
  <c r="CB1737"/>
  <c r="AM1737"/>
  <c r="CM1737"/>
  <c r="GU48" i="36"/>
  <c r="A1737" i="35"/>
  <c r="AO1737"/>
  <c r="AO1763" s="1"/>
  <c r="BG1737"/>
  <c r="BG1763" s="1"/>
  <c r="GN1737"/>
  <c r="GN1763" s="1"/>
  <c r="GV1737"/>
  <c r="GV1763" s="1"/>
  <c r="HD1737"/>
  <c r="HD1763" s="1"/>
  <c r="AW1737"/>
  <c r="AW1763" s="1"/>
  <c r="AS1737"/>
  <c r="BI1737"/>
  <c r="BI1763" s="1"/>
  <c r="DI1737"/>
  <c r="DI1763" s="1"/>
  <c r="K1789" s="1"/>
  <c r="DK1737"/>
  <c r="DK1763" s="1"/>
  <c r="DS1737"/>
  <c r="DS1763" s="1"/>
  <c r="AB1791" s="1"/>
  <c r="DU1737"/>
  <c r="DU1763" s="1"/>
  <c r="EQ1737"/>
  <c r="EE1737"/>
  <c r="EE1763" s="1"/>
  <c r="H1794" s="1"/>
  <c r="CN1737"/>
  <c r="BY1737"/>
  <c r="V1737"/>
  <c r="AI1737"/>
  <c r="HA48" i="36"/>
  <c r="GY48"/>
  <c r="AU48"/>
  <c r="AA66" s="1"/>
  <c r="AY48"/>
  <c r="Z65" s="1"/>
  <c r="BG48"/>
  <c r="BK48"/>
  <c r="AB70" s="1"/>
  <c r="BI48"/>
  <c r="I70" s="1"/>
  <c r="BP48"/>
  <c r="AB69" s="1"/>
  <c r="CL48"/>
  <c r="Y95" s="1"/>
  <c r="BZ48"/>
  <c r="K92" s="1"/>
  <c r="CD48"/>
  <c r="AA93" s="1"/>
  <c r="BX48"/>
  <c r="I92" s="1"/>
  <c r="CB48"/>
  <c r="Y93" s="1"/>
  <c r="CN48"/>
  <c r="J95" s="1"/>
  <c r="CP1737" i="35"/>
  <c r="CF1737"/>
  <c r="U1737"/>
  <c r="W1737"/>
  <c r="AE1737"/>
  <c r="AE1763" s="1"/>
  <c r="AG1737"/>
  <c r="AG1763" s="1"/>
  <c r="AN1737"/>
  <c r="AN1763" s="1"/>
  <c r="AP1737"/>
  <c r="AP1763" s="1"/>
  <c r="AR1737"/>
  <c r="AR1763" s="1"/>
  <c r="BD1737"/>
  <c r="BF1737"/>
  <c r="CG1737"/>
  <c r="CG1763" s="1"/>
  <c r="CI1737"/>
  <c r="CI1763" s="1"/>
  <c r="CK1737"/>
  <c r="CK1763" s="1"/>
  <c r="GM1737"/>
  <c r="GM1763" s="1"/>
  <c r="GO1737"/>
  <c r="GO1763" s="1"/>
  <c r="GQ1737"/>
  <c r="GQ1763" s="1"/>
  <c r="GS1737"/>
  <c r="GS1763" s="1"/>
  <c r="GU1737"/>
  <c r="GW1737"/>
  <c r="GW1763" s="1"/>
  <c r="GY1737"/>
  <c r="GY1763" s="1"/>
  <c r="HA1737"/>
  <c r="HA1763" s="1"/>
  <c r="HC1737"/>
  <c r="HC1763" s="1"/>
  <c r="HE1737"/>
  <c r="HE1763" s="1"/>
  <c r="HG1737"/>
  <c r="HG1763" s="1"/>
  <c r="HI1737"/>
  <c r="HI1763" s="1"/>
  <c r="HK1737"/>
  <c r="HK1763" s="1"/>
  <c r="BB1737"/>
  <c r="BA1737"/>
  <c r="BA1763" s="1"/>
  <c r="AZ1737"/>
  <c r="AZ1763" s="1"/>
  <c r="AA1780" s="1"/>
  <c r="AY1737"/>
  <c r="AY1763" s="1"/>
  <c r="Z1780" s="1"/>
  <c r="AX1737"/>
  <c r="AX1763" s="1"/>
  <c r="Y1780" s="1"/>
  <c r="BQ1737"/>
  <c r="BQ1763" s="1"/>
  <c r="BP1737"/>
  <c r="BO1737"/>
  <c r="BO1763" s="1"/>
  <c r="BN1737"/>
  <c r="BN1763" s="1"/>
  <c r="BM1737"/>
  <c r="BM1763" s="1"/>
  <c r="H1784" s="1"/>
  <c r="DJ1737"/>
  <c r="DJ1763" s="1"/>
  <c r="AC1789" s="1"/>
  <c r="DN1737"/>
  <c r="DN1763" s="1"/>
  <c r="DD1737"/>
  <c r="DD1763" s="1"/>
  <c r="K1788" s="1"/>
  <c r="DH1737"/>
  <c r="DH1763" s="1"/>
  <c r="AA1789" s="1"/>
  <c r="AA1790" s="1"/>
  <c r="DL1737"/>
  <c r="DL1763" s="1"/>
  <c r="DB1737"/>
  <c r="DB1763" s="1"/>
  <c r="Z1788" s="1"/>
  <c r="DF1737"/>
  <c r="DF1763" s="1"/>
  <c r="ED1737"/>
  <c r="ED1763" s="1"/>
  <c r="DT1737"/>
  <c r="DT1763" s="1"/>
  <c r="DX1737"/>
  <c r="DX1763" s="1"/>
  <c r="AB1792" s="1"/>
  <c r="EB1737"/>
  <c r="EB1763" s="1"/>
  <c r="DR1737"/>
  <c r="DR1763" s="1"/>
  <c r="AA1791" s="1"/>
  <c r="DV1737"/>
  <c r="DV1763" s="1"/>
  <c r="Z1792" s="1"/>
  <c r="DZ1737"/>
  <c r="DZ1763" s="1"/>
  <c r="DP1737"/>
  <c r="DP1763" s="1"/>
  <c r="EN1737"/>
  <c r="EN1763" s="1"/>
  <c r="L1795" s="1"/>
  <c r="ER1737"/>
  <c r="ER1763" s="1"/>
  <c r="EH1737"/>
  <c r="EH1763" s="1"/>
  <c r="AB1794" s="1"/>
  <c r="EL1737"/>
  <c r="EL1763" s="1"/>
  <c r="EP1737"/>
  <c r="EP1763" s="1"/>
  <c r="EF1737"/>
  <c r="EF1763" s="1"/>
  <c r="I1794" s="1"/>
  <c r="EJ1737"/>
  <c r="EJ1763" s="1"/>
  <c r="Y1795" s="1"/>
  <c r="CA1737"/>
  <c r="CE1737"/>
  <c r="CD1737"/>
  <c r="CC1737"/>
  <c r="BX1737"/>
  <c r="X1737"/>
  <c r="AB1785"/>
  <c r="K1785"/>
  <c r="Y1785"/>
  <c r="Y74" i="36"/>
  <c r="H74"/>
  <c r="BD48"/>
  <c r="BL48"/>
  <c r="L70" s="1"/>
  <c r="BQ48"/>
  <c r="AC69" s="1"/>
  <c r="CM48"/>
  <c r="I95" s="1"/>
  <c r="HD48"/>
  <c r="GT48"/>
  <c r="GR48"/>
  <c r="DD48"/>
  <c r="K73" s="1"/>
  <c r="DB48"/>
  <c r="I73" s="1"/>
  <c r="DR48"/>
  <c r="AA76" s="1"/>
  <c r="DV48"/>
  <c r="Z77" s="1"/>
  <c r="DZ48"/>
  <c r="ER48"/>
  <c r="EH48"/>
  <c r="AB79" s="1"/>
  <c r="EP48"/>
  <c r="AH48"/>
  <c r="HF48"/>
  <c r="GM48"/>
  <c r="DE48"/>
  <c r="L73" s="1"/>
  <c r="DM48"/>
  <c r="DH48"/>
  <c r="AA74" s="1"/>
  <c r="BJ48"/>
  <c r="AA70" s="1"/>
  <c r="AA71" s="1"/>
  <c r="CE48"/>
  <c r="AB93" s="1"/>
  <c r="CC48"/>
  <c r="I93" s="1"/>
  <c r="GO48"/>
  <c r="GV48"/>
  <c r="ED48"/>
  <c r="DX48"/>
  <c r="AB77" s="1"/>
  <c r="AQ1763" i="35"/>
  <c r="BD1763"/>
  <c r="GU1763"/>
  <c r="BB1763"/>
  <c r="AC1780" s="1"/>
  <c r="AV1763"/>
  <c r="K1781" s="1"/>
  <c r="AS1763"/>
  <c r="Y1781" s="1"/>
  <c r="EM1763"/>
  <c r="AB1795" s="1"/>
  <c r="EQ1763"/>
  <c r="K80" i="36"/>
  <c r="AA77"/>
  <c r="J77"/>
  <c r="J93"/>
  <c r="Z92"/>
  <c r="Y73"/>
  <c r="AC79"/>
  <c r="L79"/>
  <c r="H86"/>
  <c r="Y86"/>
  <c r="GJ48"/>
  <c r="FX48"/>
  <c r="FI48"/>
  <c r="CU48"/>
  <c r="K1915" i="35"/>
  <c r="AC93" i="36"/>
  <c r="J1954" i="35"/>
  <c r="H1954"/>
  <c r="M388"/>
  <c r="G1915"/>
  <c r="H1985"/>
  <c r="J1915"/>
  <c r="FW48" i="36"/>
  <c r="GG48"/>
  <c r="GL48"/>
  <c r="FV48"/>
  <c r="AG48"/>
  <c r="J69"/>
  <c r="AC80"/>
  <c r="B1989" i="35"/>
  <c r="D1989"/>
  <c r="C1954"/>
  <c r="D1915"/>
  <c r="E1985"/>
  <c r="B1950"/>
  <c r="C2020"/>
  <c r="C1950"/>
  <c r="E2020"/>
  <c r="D1950"/>
  <c r="J1985"/>
  <c r="F46" i="7"/>
  <c r="HG48" i="36"/>
  <c r="GP48"/>
  <c r="GS48"/>
  <c r="DN48"/>
  <c r="DL48"/>
  <c r="DG48"/>
  <c r="I74" s="1"/>
  <c r="DT48"/>
  <c r="EC48"/>
  <c r="DS48"/>
  <c r="EA48"/>
  <c r="DQ48"/>
  <c r="Z76" s="1"/>
  <c r="ES48"/>
  <c r="EL48"/>
  <c r="G1985" i="35"/>
  <c r="C1919"/>
  <c r="P2672"/>
  <c r="P2667" s="1"/>
  <c r="CV48" i="36"/>
  <c r="FT48"/>
  <c r="GX48"/>
  <c r="L1800" i="35"/>
  <c r="G1954"/>
  <c r="I1915"/>
  <c r="K1985"/>
  <c r="G1950"/>
  <c r="C1915"/>
  <c r="I1950"/>
  <c r="B1915"/>
  <c r="D2020"/>
  <c r="E1915"/>
  <c r="B2020"/>
  <c r="E1954"/>
  <c r="CZ48" i="36"/>
  <c r="CX48"/>
  <c r="CD1762" i="35"/>
  <c r="CB1762"/>
  <c r="CL1762"/>
  <c r="BX1762"/>
  <c r="CC1762"/>
  <c r="BY1762"/>
  <c r="CE1762"/>
  <c r="CA1762"/>
  <c r="CW1762"/>
  <c r="FD1762"/>
  <c r="FF1762"/>
  <c r="FH1762"/>
  <c r="FJ1762"/>
  <c r="CN1762"/>
  <c r="CO1762"/>
  <c r="BX1759"/>
  <c r="CE1759"/>
  <c r="CF1759"/>
  <c r="BX1758"/>
  <c r="CL1758"/>
  <c r="CM1758"/>
  <c r="CD1758"/>
  <c r="AL1758"/>
  <c r="CN1758"/>
  <c r="CE1758"/>
  <c r="CP1758"/>
  <c r="CW1758"/>
  <c r="FD1758"/>
  <c r="FF1758"/>
  <c r="FH1758"/>
  <c r="FJ1758"/>
  <c r="CB1758"/>
  <c r="Y1755"/>
  <c r="CL1755"/>
  <c r="BW1755"/>
  <c r="CF1755"/>
  <c r="CE1755"/>
  <c r="CB1754"/>
  <c r="CC1754"/>
  <c r="BY1754"/>
  <c r="CD1754"/>
  <c r="BX1754"/>
  <c r="BZ1754"/>
  <c r="CE1754"/>
  <c r="CW1754"/>
  <c r="CN1754"/>
  <c r="CA1754"/>
  <c r="CP1754"/>
  <c r="FD1754"/>
  <c r="FF1754"/>
  <c r="FH1754"/>
  <c r="FJ1754"/>
  <c r="CM1754"/>
  <c r="CL1751"/>
  <c r="BX1751"/>
  <c r="BW1751"/>
  <c r="CD1751"/>
  <c r="CF1751"/>
  <c r="CD1750"/>
  <c r="CM1750"/>
  <c r="CE1750"/>
  <c r="CO1750"/>
  <c r="BR1750"/>
  <c r="CW1750"/>
  <c r="FD1750"/>
  <c r="FF1750"/>
  <c r="FH1750"/>
  <c r="FJ1750"/>
  <c r="FL1750"/>
  <c r="BY1750"/>
  <c r="CN1750"/>
  <c r="CA1750"/>
  <c r="CL1747"/>
  <c r="CF1747"/>
  <c r="CD1747"/>
  <c r="AA1746"/>
  <c r="CD1746"/>
  <c r="CL1746"/>
  <c r="BX1746"/>
  <c r="CC1746"/>
  <c r="BY1746"/>
  <c r="CE1746"/>
  <c r="CA1746"/>
  <c r="CM1746"/>
  <c r="CW1746"/>
  <c r="FD1746"/>
  <c r="FF1746"/>
  <c r="FH1746"/>
  <c r="FJ1746"/>
  <c r="FL1746"/>
  <c r="BW1746"/>
  <c r="CB1743"/>
  <c r="BX1743"/>
  <c r="CE1743"/>
  <c r="CF1743"/>
  <c r="BT1742"/>
  <c r="CL1742"/>
  <c r="CD1742"/>
  <c r="CN1742"/>
  <c r="CE1742"/>
  <c r="CP1742"/>
  <c r="CW1742"/>
  <c r="BY1742"/>
  <c r="BZ1742"/>
  <c r="CA1742"/>
  <c r="FF1742"/>
  <c r="FH1742"/>
  <c r="FJ1742"/>
  <c r="FL1742"/>
  <c r="CC1742"/>
  <c r="CB1739"/>
  <c r="CL1739"/>
  <c r="CM1739"/>
  <c r="CF1739"/>
  <c r="CE1739"/>
  <c r="BT1738"/>
  <c r="CC1738"/>
  <c r="BY1738"/>
  <c r="CD1738"/>
  <c r="BX1738"/>
  <c r="CM1738"/>
  <c r="BZ1738"/>
  <c r="CE1738"/>
  <c r="T1738"/>
  <c r="CW1738"/>
  <c r="CO1738"/>
  <c r="FF1738"/>
  <c r="FH1738"/>
  <c r="FJ1738"/>
  <c r="FL1738"/>
  <c r="CN1738"/>
  <c r="CA1738"/>
  <c r="CB1735"/>
  <c r="CL1735"/>
  <c r="BX1735"/>
  <c r="CD1735"/>
  <c r="CF1735"/>
  <c r="BW1735"/>
  <c r="BT1734"/>
  <c r="CD1734"/>
  <c r="CN1734"/>
  <c r="CC1734"/>
  <c r="CE1734"/>
  <c r="CO1734"/>
  <c r="CW1734"/>
  <c r="FF1734"/>
  <c r="FH1734"/>
  <c r="FJ1734"/>
  <c r="FL1734"/>
  <c r="V1731"/>
  <c r="CB1731"/>
  <c r="CF1731"/>
  <c r="CM1731"/>
  <c r="CD1731"/>
  <c r="BT1730"/>
  <c r="CD1730"/>
  <c r="BW1730"/>
  <c r="CL1730"/>
  <c r="BX1730"/>
  <c r="CC1730"/>
  <c r="BY1730"/>
  <c r="CE1730"/>
  <c r="CA1730"/>
  <c r="U1730"/>
  <c r="CW1730"/>
  <c r="CN1730"/>
  <c r="BZ1730"/>
  <c r="FD1730"/>
  <c r="FF1730"/>
  <c r="FH1730"/>
  <c r="FJ1730"/>
  <c r="FL1730"/>
  <c r="CB1727"/>
  <c r="BX1727"/>
  <c r="CE1727"/>
  <c r="CF1727"/>
  <c r="BT1726"/>
  <c r="CL1726"/>
  <c r="CM1726"/>
  <c r="CD1726"/>
  <c r="CN1726"/>
  <c r="CE1726"/>
  <c r="CP1726"/>
  <c r="CC1726"/>
  <c r="CW1726"/>
  <c r="CO1726"/>
  <c r="FF1726"/>
  <c r="FH1726"/>
  <c r="FJ1726"/>
  <c r="FJ1763" s="1"/>
  <c r="Z1803" s="1"/>
  <c r="FL1726"/>
  <c r="BZ1726"/>
  <c r="CA1726"/>
  <c r="HJ48" i="36"/>
  <c r="Z1795" i="35"/>
  <c r="H69" i="36"/>
  <c r="C2024" i="35"/>
  <c r="J1950"/>
  <c r="H1915"/>
  <c r="I1985"/>
  <c r="F1985"/>
  <c r="GB48" i="36"/>
  <c r="GH48"/>
  <c r="FY48"/>
  <c r="AN48"/>
  <c r="AR48"/>
  <c r="AV48"/>
  <c r="AZ48"/>
  <c r="AX48"/>
  <c r="Y65" s="1"/>
  <c r="AP48"/>
  <c r="AS48"/>
  <c r="H66" s="1"/>
  <c r="AO48"/>
  <c r="AQ48"/>
  <c r="BB48"/>
  <c r="L65" s="1"/>
  <c r="BZ1762" i="35"/>
  <c r="BZ1750"/>
  <c r="CX1762"/>
  <c r="CX1758"/>
  <c r="CX1754"/>
  <c r="CX1750"/>
  <c r="CX1746"/>
  <c r="CX1742"/>
  <c r="CX1738"/>
  <c r="CX1734"/>
  <c r="CD1759"/>
  <c r="CD1727"/>
  <c r="BY1758"/>
  <c r="CM1762"/>
  <c r="CM1734"/>
  <c r="CC1750"/>
  <c r="R2684"/>
  <c r="L2684"/>
  <c r="O2691"/>
  <c r="R2692"/>
  <c r="W48" i="36"/>
  <c r="P2624" i="35"/>
  <c r="A1599"/>
  <c r="B311" i="25"/>
  <c r="B307"/>
  <c r="B303"/>
  <c r="B299"/>
  <c r="B295"/>
  <c r="B291"/>
  <c r="B287"/>
  <c r="B283"/>
  <c r="B279"/>
  <c r="B275"/>
  <c r="B271"/>
  <c r="B267"/>
  <c r="B263"/>
  <c r="B259"/>
  <c r="B255"/>
  <c r="B249"/>
  <c r="B244"/>
  <c r="B237"/>
  <c r="B229"/>
  <c r="B221"/>
  <c r="B213"/>
  <c r="B205"/>
  <c r="B197"/>
  <c r="B189"/>
  <c r="B181"/>
  <c r="B173"/>
  <c r="B165"/>
  <c r="B157"/>
  <c r="B149"/>
  <c r="B141"/>
  <c r="B133"/>
  <c r="A1731" i="35"/>
  <c r="B293" i="25"/>
  <c r="B289"/>
  <c r="B285"/>
  <c r="B281"/>
  <c r="B277"/>
  <c r="B273"/>
  <c r="B269"/>
  <c r="B265"/>
  <c r="B261"/>
  <c r="B257"/>
  <c r="B252"/>
  <c r="B247"/>
  <c r="B241"/>
  <c r="B233"/>
  <c r="B225"/>
  <c r="B217"/>
  <c r="B209"/>
  <c r="B201"/>
  <c r="B193"/>
  <c r="B185"/>
  <c r="B177"/>
  <c r="B169"/>
  <c r="B161"/>
  <c r="B153"/>
  <c r="B145"/>
  <c r="B137"/>
  <c r="B129"/>
  <c r="G1528" i="35"/>
  <c r="P2683"/>
  <c r="P2727"/>
  <c r="P2719" s="1"/>
  <c r="F1989"/>
  <c r="J1989"/>
  <c r="F34" i="15"/>
  <c r="F35"/>
  <c r="G1531" i="35" s="1"/>
  <c r="Y79" i="36"/>
  <c r="H79"/>
  <c r="I89"/>
  <c r="Z89"/>
  <c r="CG48"/>
  <c r="J65"/>
  <c r="AA65"/>
  <c r="H87"/>
  <c r="Y87"/>
  <c r="H88"/>
  <c r="Y88"/>
  <c r="H97"/>
  <c r="Y97"/>
  <c r="Y1803" i="35"/>
  <c r="H1803"/>
  <c r="Y70" i="36"/>
  <c r="H70"/>
  <c r="CK48"/>
  <c r="CI48"/>
  <c r="J73"/>
  <c r="AA73"/>
  <c r="I87"/>
  <c r="Z87"/>
  <c r="FS48"/>
  <c r="FG48"/>
  <c r="ET48"/>
  <c r="AF48"/>
  <c r="AE48"/>
  <c r="AD48"/>
  <c r="L97"/>
  <c r="AC97"/>
  <c r="J97"/>
  <c r="AA97"/>
  <c r="Z69"/>
  <c r="I69"/>
  <c r="CH48"/>
  <c r="I85"/>
  <c r="Z85"/>
  <c r="GE48"/>
  <c r="FH48"/>
  <c r="FD48"/>
  <c r="FM48"/>
  <c r="FK48"/>
  <c r="FJ48"/>
  <c r="FP48"/>
  <c r="FB48"/>
  <c r="EX48"/>
  <c r="EW48"/>
  <c r="EV48"/>
  <c r="H77"/>
  <c r="Y77"/>
  <c r="L77"/>
  <c r="AC77"/>
  <c r="AC1812" i="35"/>
  <c r="L1812"/>
  <c r="FC48" i="36"/>
  <c r="FU48"/>
  <c r="CJ48"/>
  <c r="AB76"/>
  <c r="K76"/>
  <c r="H1914" i="35"/>
  <c r="GI48" i="36"/>
  <c r="FR48"/>
  <c r="EZ48"/>
  <c r="E2021" i="35"/>
  <c r="F2021"/>
  <c r="F1916"/>
  <c r="H1986"/>
  <c r="I1986"/>
  <c r="C1986"/>
  <c r="B2021"/>
  <c r="D1986"/>
  <c r="I1951"/>
  <c r="E1916"/>
  <c r="P294" i="11"/>
  <c r="P6" s="1"/>
  <c r="CW48" i="36"/>
  <c r="C109" i="15"/>
  <c r="F106"/>
  <c r="D37" i="3"/>
  <c r="D390" i="35" s="1"/>
  <c r="FV1763"/>
  <c r="GH1763"/>
  <c r="B1984"/>
  <c r="C1984"/>
  <c r="FZ48" i="36"/>
  <c r="FF48"/>
  <c r="FQ48"/>
  <c r="C1949" i="35"/>
  <c r="E1984"/>
  <c r="B2019"/>
  <c r="Z80" i="36"/>
  <c r="Y80"/>
  <c r="F108" i="15"/>
  <c r="K1919" i="35"/>
  <c r="E1986"/>
  <c r="D2021"/>
  <c r="H1984"/>
  <c r="F1954"/>
  <c r="F2024"/>
  <c r="G1919"/>
  <c r="K1914"/>
  <c r="HE48" i="36"/>
  <c r="GN48"/>
  <c r="DI48"/>
  <c r="DK48"/>
  <c r="EB48"/>
  <c r="DP48"/>
  <c r="EF48"/>
  <c r="I1914" i="35"/>
  <c r="J1949"/>
  <c r="I1984"/>
  <c r="D1954"/>
  <c r="F2019"/>
  <c r="G1984"/>
  <c r="I1949"/>
  <c r="D1914"/>
  <c r="J1914"/>
  <c r="B1914"/>
  <c r="E1914"/>
  <c r="K1949"/>
  <c r="D2019"/>
  <c r="E1949"/>
  <c r="E2019"/>
  <c r="F1984"/>
  <c r="F1949"/>
  <c r="F1914"/>
  <c r="M387"/>
  <c r="D1984"/>
  <c r="D1949"/>
  <c r="GK48" i="36"/>
  <c r="FA48"/>
  <c r="GZ48"/>
  <c r="GQ48"/>
  <c r="G1914" i="35"/>
  <c r="E1951"/>
  <c r="J1984"/>
  <c r="K1984"/>
  <c r="I1954"/>
  <c r="E2024"/>
  <c r="E1989"/>
  <c r="J1919"/>
  <c r="C1989"/>
  <c r="H1989"/>
  <c r="B1954"/>
  <c r="F1919"/>
  <c r="G1989"/>
  <c r="K1989"/>
  <c r="K1954"/>
  <c r="E1919"/>
  <c r="M390"/>
  <c r="F107" i="15"/>
  <c r="BA48" i="36"/>
  <c r="AW48"/>
  <c r="AT48"/>
  <c r="BE48"/>
  <c r="BC48"/>
  <c r="CP48"/>
  <c r="CA48"/>
  <c r="BY48"/>
  <c r="BW48"/>
  <c r="O2762" i="35"/>
  <c r="R2764"/>
  <c r="C56" i="25"/>
  <c r="B28"/>
  <c r="S104" i="15"/>
  <c r="S1599" i="35"/>
  <c r="BX1747"/>
  <c r="BX1742"/>
  <c r="BX1731"/>
  <c r="BX1726"/>
  <c r="CL1734"/>
  <c r="X1742"/>
  <c r="X1731"/>
  <c r="AB1734"/>
  <c r="AB48" i="36"/>
  <c r="P123" i="15"/>
  <c r="P140" s="1"/>
  <c r="P142" s="1"/>
  <c r="P144" s="1"/>
  <c r="T1762" i="35"/>
  <c r="U1762"/>
  <c r="CL1759"/>
  <c r="BW1759"/>
  <c r="AI1758"/>
  <c r="BW1758"/>
  <c r="X1758"/>
  <c r="Z1758"/>
  <c r="AJ1758"/>
  <c r="CL1754"/>
  <c r="BW1754"/>
  <c r="AJ1751"/>
  <c r="W1751"/>
  <c r="AL1751"/>
  <c r="Y1750"/>
  <c r="CB1750"/>
  <c r="BW1750"/>
  <c r="AM1747"/>
  <c r="BW1747"/>
  <c r="X1747"/>
  <c r="V1746"/>
  <c r="AB1746"/>
  <c r="BS1746"/>
  <c r="CB1746"/>
  <c r="AI1743"/>
  <c r="CL1743"/>
  <c r="T1743"/>
  <c r="BW1743"/>
  <c r="BR1742"/>
  <c r="BW1742"/>
  <c r="CV1742"/>
  <c r="CB1742"/>
  <c r="BU1742"/>
  <c r="AM1742"/>
  <c r="Y1739"/>
  <c r="AJ1739"/>
  <c r="V1739"/>
  <c r="AB1739"/>
  <c r="AL1739"/>
  <c r="BW1739"/>
  <c r="CL1738"/>
  <c r="CV1738"/>
  <c r="BW1738"/>
  <c r="CB1738"/>
  <c r="U1738"/>
  <c r="Z1738"/>
  <c r="BS1738"/>
  <c r="W1738"/>
  <c r="AA1734"/>
  <c r="AM1734"/>
  <c r="CV1734"/>
  <c r="BR1734"/>
  <c r="CB1734"/>
  <c r="Y1734"/>
  <c r="BW1734"/>
  <c r="W1731"/>
  <c r="BW1731"/>
  <c r="BU1730"/>
  <c r="CV1730"/>
  <c r="T1730"/>
  <c r="AI1730"/>
  <c r="CB1730"/>
  <c r="CL1727"/>
  <c r="AA1727"/>
  <c r="BW1727"/>
  <c r="BS1726"/>
  <c r="BW1726"/>
  <c r="CV1726"/>
  <c r="AJ1726"/>
  <c r="AB1726"/>
  <c r="X1726"/>
  <c r="CB1726"/>
  <c r="BR1726"/>
  <c r="AL1726"/>
  <c r="AM48" i="36"/>
  <c r="BS48"/>
  <c r="CP1759" i="35"/>
  <c r="CP1755"/>
  <c r="CP1751"/>
  <c r="CP1747"/>
  <c r="CP1743"/>
  <c r="CP1739"/>
  <c r="CP1735"/>
  <c r="CP1731"/>
  <c r="CP1727"/>
  <c r="CA1759"/>
  <c r="CA1755"/>
  <c r="CA1751"/>
  <c r="CA1747"/>
  <c r="CA1743"/>
  <c r="CA1739"/>
  <c r="CA1735"/>
  <c r="CA1731"/>
  <c r="CA1727"/>
  <c r="CO1759"/>
  <c r="CO1755"/>
  <c r="CO1751"/>
  <c r="CO1747"/>
  <c r="CO1743"/>
  <c r="CO1739"/>
  <c r="CO1735"/>
  <c r="CO1731"/>
  <c r="CO1727"/>
  <c r="BZ1759"/>
  <c r="BZ1755"/>
  <c r="BZ1751"/>
  <c r="BZ1747"/>
  <c r="BZ1743"/>
  <c r="BZ1739"/>
  <c r="BZ1735"/>
  <c r="BZ1731"/>
  <c r="BZ1727"/>
  <c r="CN1759"/>
  <c r="CN1755"/>
  <c r="CN1751"/>
  <c r="CN1747"/>
  <c r="CN1743"/>
  <c r="CN1739"/>
  <c r="CN1735"/>
  <c r="CN1731"/>
  <c r="CN1727"/>
  <c r="BY1759"/>
  <c r="BY1755"/>
  <c r="BY1751"/>
  <c r="BY1747"/>
  <c r="BY1743"/>
  <c r="BY1739"/>
  <c r="BY1735"/>
  <c r="BY1731"/>
  <c r="BY1727"/>
  <c r="CM1759"/>
  <c r="CM1755"/>
  <c r="CM1751"/>
  <c r="CM1747"/>
  <c r="CM1742"/>
  <c r="CM1735"/>
  <c r="CM1730"/>
  <c r="CC1759"/>
  <c r="CC1755"/>
  <c r="CC1751"/>
  <c r="CC1747"/>
  <c r="CC1743"/>
  <c r="CC1739"/>
  <c r="CC1735"/>
  <c r="CC1731"/>
  <c r="CC1727"/>
  <c r="BX1755"/>
  <c r="BX1750"/>
  <c r="BX1739"/>
  <c r="BX1734"/>
  <c r="CV1762"/>
  <c r="CV1758"/>
  <c r="CV1754"/>
  <c r="CV1750"/>
  <c r="CV1746"/>
  <c r="CL1750"/>
  <c r="CL1731"/>
  <c r="CB1759"/>
  <c r="CB1755"/>
  <c r="CB1751"/>
  <c r="BW1762"/>
  <c r="AB1758"/>
  <c r="U1754"/>
  <c r="AI48" i="36"/>
  <c r="J1841" i="35"/>
  <c r="N1841"/>
  <c r="P1852"/>
  <c r="U1510"/>
  <c r="B239" i="25"/>
  <c r="B235"/>
  <c r="B231"/>
  <c r="B227"/>
  <c r="B223"/>
  <c r="B219"/>
  <c r="B215"/>
  <c r="B211"/>
  <c r="B207"/>
  <c r="B203"/>
  <c r="B199"/>
  <c r="B195"/>
  <c r="B191"/>
  <c r="B187"/>
  <c r="B183"/>
  <c r="B179"/>
  <c r="B175"/>
  <c r="B171"/>
  <c r="B167"/>
  <c r="B163"/>
  <c r="B159"/>
  <c r="B155"/>
  <c r="B151"/>
  <c r="B147"/>
  <c r="B143"/>
  <c r="B139"/>
  <c r="B135"/>
  <c r="B131"/>
  <c r="B127"/>
  <c r="AI1760" i="35"/>
  <c r="BR1759"/>
  <c r="AJ1752"/>
  <c r="U1748"/>
  <c r="BS1743"/>
  <c r="U1736"/>
  <c r="AI1728"/>
  <c r="BR1727"/>
  <c r="B254" i="25"/>
  <c r="B250"/>
  <c r="B246"/>
  <c r="B242"/>
  <c r="B238"/>
  <c r="B234"/>
  <c r="B230"/>
  <c r="B226"/>
  <c r="B222"/>
  <c r="B218"/>
  <c r="B214"/>
  <c r="B210"/>
  <c r="B206"/>
  <c r="B202"/>
  <c r="B198"/>
  <c r="B194"/>
  <c r="B190"/>
  <c r="B186"/>
  <c r="B182"/>
  <c r="B178"/>
  <c r="B174"/>
  <c r="B170"/>
  <c r="B166"/>
  <c r="B162"/>
  <c r="B158"/>
  <c r="B154"/>
  <c r="B150"/>
  <c r="B146"/>
  <c r="B142"/>
  <c r="B138"/>
  <c r="B134"/>
  <c r="S1600" i="35"/>
  <c r="I1780"/>
  <c r="A1578"/>
  <c r="P1532"/>
  <c r="G1552"/>
  <c r="K1802"/>
  <c r="H1802"/>
  <c r="G1605"/>
  <c r="C1605" s="1"/>
  <c r="A1592"/>
  <c r="Z1725"/>
  <c r="K1725"/>
  <c r="L1725" s="1"/>
  <c r="K1741"/>
  <c r="L1741" s="1"/>
  <c r="K1737"/>
  <c r="L1737" s="1"/>
  <c r="K1733"/>
  <c r="L1733" s="1"/>
  <c r="L1824"/>
  <c r="H1824"/>
  <c r="F1861"/>
  <c r="K1878"/>
  <c r="A2051"/>
  <c r="H2051" s="1"/>
  <c r="G1564"/>
  <c r="J68" i="15"/>
  <c r="J1564" i="35"/>
  <c r="U1599"/>
  <c r="O2530"/>
  <c r="O294" i="11"/>
  <c r="O6" s="1"/>
  <c r="G1916" i="35"/>
  <c r="G1951"/>
  <c r="B1986"/>
  <c r="J1986"/>
  <c r="C2021"/>
  <c r="B1918"/>
  <c r="O2672"/>
  <c r="C1910"/>
  <c r="C1921" s="1"/>
  <c r="C1908"/>
  <c r="C1928" s="1"/>
  <c r="C1904"/>
  <c r="C1909"/>
  <c r="D1901"/>
  <c r="AI1762"/>
  <c r="Z1762"/>
  <c r="AK1762"/>
  <c r="AB1762"/>
  <c r="BU1762"/>
  <c r="AJ1762"/>
  <c r="BS1762"/>
  <c r="W1762"/>
  <c r="AL1762"/>
  <c r="X1762"/>
  <c r="BV1762"/>
  <c r="Y1762"/>
  <c r="BR1762"/>
  <c r="V1762"/>
  <c r="AA1762"/>
  <c r="AC1762"/>
  <c r="AM1762"/>
  <c r="T1759"/>
  <c r="AC1759"/>
  <c r="Y1759"/>
  <c r="AM1759"/>
  <c r="AI1759"/>
  <c r="AJ1759"/>
  <c r="AL1759"/>
  <c r="X1759"/>
  <c r="Y1758"/>
  <c r="AM1758"/>
  <c r="U1758"/>
  <c r="V1758"/>
  <c r="AA1758"/>
  <c r="AK1758"/>
  <c r="BU1758"/>
  <c r="BV1758"/>
  <c r="T1758"/>
  <c r="W1758"/>
  <c r="AC1758"/>
  <c r="AJ1755"/>
  <c r="AB1755"/>
  <c r="AL1755"/>
  <c r="X1755"/>
  <c r="AC1755"/>
  <c r="T1755"/>
  <c r="AI1755"/>
  <c r="W1755"/>
  <c r="V1755"/>
  <c r="AA1755"/>
  <c r="AM1755"/>
  <c r="T1754"/>
  <c r="AI1754"/>
  <c r="BR1754"/>
  <c r="BS1754"/>
  <c r="W1754"/>
  <c r="Y1754"/>
  <c r="BV1754"/>
  <c r="Z1754"/>
  <c r="AJ1754"/>
  <c r="AK1754"/>
  <c r="AB1754"/>
  <c r="AL1754"/>
  <c r="BU1754"/>
  <c r="X1754"/>
  <c r="AC1754"/>
  <c r="V1751"/>
  <c r="AC1751"/>
  <c r="AA1751"/>
  <c r="AB1751"/>
  <c r="X1751"/>
  <c r="T1751"/>
  <c r="Y1751"/>
  <c r="AA1750"/>
  <c r="AB1750"/>
  <c r="BU1750"/>
  <c r="X1750"/>
  <c r="AM1750"/>
  <c r="Z1750"/>
  <c r="AJ1750"/>
  <c r="BS1750"/>
  <c r="AK1750"/>
  <c r="W1750"/>
  <c r="AL1750"/>
  <c r="BV1750"/>
  <c r="U1750"/>
  <c r="V1750"/>
  <c r="AC1750"/>
  <c r="Y1747"/>
  <c r="W1747"/>
  <c r="AC1747"/>
  <c r="AB1747"/>
  <c r="T1746"/>
  <c r="AI1746"/>
  <c r="BR1746"/>
  <c r="BU1746"/>
  <c r="X1746"/>
  <c r="AM1746"/>
  <c r="BV1746"/>
  <c r="Y1746"/>
  <c r="Z1746"/>
  <c r="AJ1746"/>
  <c r="W1746"/>
  <c r="AL1746"/>
  <c r="AC1746"/>
  <c r="AA1743"/>
  <c r="AC1743"/>
  <c r="Y1743"/>
  <c r="AJ1743"/>
  <c r="AL1743"/>
  <c r="X1743"/>
  <c r="AM1743"/>
  <c r="Y1742"/>
  <c r="U1742"/>
  <c r="Z1742"/>
  <c r="AJ1742"/>
  <c r="BS1742"/>
  <c r="V1742"/>
  <c r="AB1742"/>
  <c r="AL1742"/>
  <c r="T1742"/>
  <c r="AI1742"/>
  <c r="W1742"/>
  <c r="BV1742"/>
  <c r="AA1742"/>
  <c r="AK1742"/>
  <c r="AC1742"/>
  <c r="AI1739"/>
  <c r="X1739"/>
  <c r="AC1739"/>
  <c r="AA1739"/>
  <c r="AM1739"/>
  <c r="T1739"/>
  <c r="W1739"/>
  <c r="AA1738"/>
  <c r="BU1738"/>
  <c r="AM1738"/>
  <c r="Y1738"/>
  <c r="BR1738"/>
  <c r="AJ1738"/>
  <c r="V1738"/>
  <c r="AK1738"/>
  <c r="AB1738"/>
  <c r="AL1738"/>
  <c r="BV1738"/>
  <c r="AI1738"/>
  <c r="X1738"/>
  <c r="AC1738"/>
  <c r="AJ1735"/>
  <c r="W1735"/>
  <c r="AL1735"/>
  <c r="AC1735"/>
  <c r="T1735"/>
  <c r="X1735"/>
  <c r="Y1735"/>
  <c r="AA1735"/>
  <c r="AB1735"/>
  <c r="T1734"/>
  <c r="U1734"/>
  <c r="Z1734"/>
  <c r="X1734"/>
  <c r="AI1734"/>
  <c r="BU1734"/>
  <c r="BV1734"/>
  <c r="AJ1734"/>
  <c r="BS1734"/>
  <c r="V1734"/>
  <c r="AK1734"/>
  <c r="W1734"/>
  <c r="AL1734"/>
  <c r="AC1734"/>
  <c r="Y1731"/>
  <c r="AC1731"/>
  <c r="AM1731"/>
  <c r="AB1731"/>
  <c r="AI1731"/>
  <c r="AA1730"/>
  <c r="AK1730"/>
  <c r="AB1730"/>
  <c r="AJ1730"/>
  <c r="BS1730"/>
  <c r="V1730"/>
  <c r="W1730"/>
  <c r="AL1730"/>
  <c r="X1730"/>
  <c r="BV1730"/>
  <c r="Y1730"/>
  <c r="BR1730"/>
  <c r="AC1730"/>
  <c r="AM1730"/>
  <c r="T1727"/>
  <c r="AC1727"/>
  <c r="Y1727"/>
  <c r="AI1727"/>
  <c r="AM1727"/>
  <c r="AJ1727"/>
  <c r="AL1727"/>
  <c r="X1727"/>
  <c r="Y1726"/>
  <c r="AI1726"/>
  <c r="Z1726"/>
  <c r="AM1726"/>
  <c r="U1726"/>
  <c r="AA1726"/>
  <c r="AK1726"/>
  <c r="BV1726"/>
  <c r="T1726"/>
  <c r="V1726"/>
  <c r="W1726"/>
  <c r="BU1726"/>
  <c r="AC1726"/>
  <c r="O2683"/>
  <c r="R2685"/>
  <c r="R2729"/>
  <c r="L2729"/>
  <c r="L2731"/>
  <c r="R2731"/>
  <c r="R2733"/>
  <c r="L2733"/>
  <c r="AB1801"/>
  <c r="L2523"/>
  <c r="R2523"/>
  <c r="B1916"/>
  <c r="J1916"/>
  <c r="C1916"/>
  <c r="D1951"/>
  <c r="J1951"/>
  <c r="I1919"/>
  <c r="L1830"/>
  <c r="BT1762"/>
  <c r="BT1758"/>
  <c r="BT1754"/>
  <c r="BT1750"/>
  <c r="BT1746"/>
  <c r="AK1746"/>
  <c r="AA1754"/>
  <c r="V1754"/>
  <c r="BS1758"/>
  <c r="Z1730"/>
  <c r="U1746"/>
  <c r="BR1758"/>
  <c r="AI1750"/>
  <c r="T1750"/>
  <c r="AC48" i="36"/>
  <c r="M32" i="3"/>
  <c r="H23" i="8" s="1"/>
  <c r="H49" i="3"/>
  <c r="J1650" i="35" s="1"/>
  <c r="P1830"/>
  <c r="H1852"/>
  <c r="L1852"/>
  <c r="S1594"/>
  <c r="T1747"/>
  <c r="V1735"/>
  <c r="T1731"/>
  <c r="F1870"/>
  <c r="F1881"/>
  <c r="P1860"/>
  <c r="Z48" i="36"/>
  <c r="L109"/>
  <c r="G17" i="8" s="1"/>
  <c r="H1830" i="35"/>
  <c r="N1830"/>
  <c r="H1841"/>
  <c r="J1852"/>
  <c r="N1852"/>
  <c r="BV48" i="36"/>
  <c r="AA48"/>
  <c r="L1841" i="35"/>
  <c r="P1841"/>
  <c r="O2658"/>
  <c r="X48" i="36"/>
  <c r="AK48"/>
  <c r="BR48"/>
  <c r="Y48"/>
  <c r="P2658" i="35"/>
  <c r="BU48" i="36"/>
  <c r="BT48"/>
  <c r="AL48"/>
  <c r="V48"/>
  <c r="AJ48"/>
  <c r="U48"/>
  <c r="T48"/>
  <c r="L48"/>
  <c r="L49" s="1"/>
  <c r="B56" i="25"/>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D1918" i="35"/>
  <c r="L1802"/>
  <c r="S1532"/>
  <c r="J1605"/>
  <c r="P2500"/>
  <c r="O2500"/>
  <c r="F2509"/>
  <c r="G2502" s="1"/>
  <c r="I1801"/>
  <c r="M1528"/>
  <c r="P1528"/>
  <c r="G1570"/>
  <c r="P2547"/>
  <c r="P2691"/>
  <c r="L2699"/>
  <c r="J1579"/>
  <c r="Y1761"/>
  <c r="Y1757"/>
  <c r="T1753"/>
  <c r="Y1749"/>
  <c r="Y1745"/>
  <c r="Y1741"/>
  <c r="T1737"/>
  <c r="Y1733"/>
  <c r="Y1729"/>
  <c r="CQ1763"/>
  <c r="BP1763"/>
  <c r="S1519"/>
  <c r="S1513"/>
  <c r="S1579"/>
  <c r="M1613"/>
  <c r="M1617"/>
  <c r="S1617"/>
  <c r="AA1802"/>
  <c r="J1802"/>
  <c r="K1986"/>
  <c r="H1919"/>
  <c r="AC1801"/>
  <c r="AD1763"/>
  <c r="AH1763"/>
  <c r="BC1763"/>
  <c r="BF1763"/>
  <c r="I1989"/>
  <c r="G1949"/>
  <c r="H1788"/>
  <c r="Y1788"/>
  <c r="H1950"/>
  <c r="AB1804"/>
  <c r="J1803"/>
  <c r="AB1800"/>
  <c r="Z1802"/>
  <c r="AD1802" s="1"/>
  <c r="H1801"/>
  <c r="J1788"/>
  <c r="B2024"/>
  <c r="F1986"/>
  <c r="CJ1763"/>
  <c r="CR1763"/>
  <c r="CS1763"/>
  <c r="CT1763"/>
  <c r="FS1763"/>
  <c r="FT1763"/>
  <c r="FU1763"/>
  <c r="FW1763"/>
  <c r="FX1763"/>
  <c r="GA1763"/>
  <c r="GB1763"/>
  <c r="GC1763"/>
  <c r="GD1763"/>
  <c r="GF1763"/>
  <c r="GI1763"/>
  <c r="GJ1763"/>
  <c r="GK1763"/>
  <c r="GR1763"/>
  <c r="GX1763"/>
  <c r="AU1763"/>
  <c r="A1763"/>
  <c r="A1722" s="1"/>
  <c r="G1530"/>
  <c r="U1563"/>
  <c r="A1563"/>
  <c r="AA1759"/>
  <c r="V1747"/>
  <c r="BS1731"/>
  <c r="AJ1747"/>
  <c r="AJ1736"/>
  <c r="AJ1731"/>
  <c r="Z1760"/>
  <c r="Z1741"/>
  <c r="Z1728"/>
  <c r="U1761"/>
  <c r="U1741"/>
  <c r="U1729"/>
  <c r="BR1753"/>
  <c r="BR1747"/>
  <c r="BR1741"/>
  <c r="AI1747"/>
  <c r="Y1753"/>
  <c r="Y1737"/>
  <c r="B1904"/>
  <c r="B1908" s="1"/>
  <c r="B1928" s="1"/>
  <c r="J1513"/>
  <c r="G1523"/>
  <c r="P1613"/>
  <c r="P1617"/>
  <c r="I58" i="8"/>
  <c r="G1617" i="35"/>
  <c r="U1616"/>
  <c r="A1616"/>
  <c r="T1760"/>
  <c r="U1760"/>
  <c r="X1760"/>
  <c r="BW1760"/>
  <c r="CL1760"/>
  <c r="BX1760"/>
  <c r="V1759"/>
  <c r="W1759"/>
  <c r="AB1759"/>
  <c r="T1756"/>
  <c r="AI1756"/>
  <c r="X1756"/>
  <c r="AM1756"/>
  <c r="BW1756"/>
  <c r="CL1756"/>
  <c r="BX1756"/>
  <c r="BR1755"/>
  <c r="BS1755"/>
  <c r="T1752"/>
  <c r="AK1752"/>
  <c r="X1752"/>
  <c r="BW1752"/>
  <c r="CL1752"/>
  <c r="BX1752"/>
  <c r="AI1751"/>
  <c r="AM1751"/>
  <c r="T1748"/>
  <c r="Z1748"/>
  <c r="W1748"/>
  <c r="AB1748"/>
  <c r="X1748"/>
  <c r="BW1748"/>
  <c r="CL1748"/>
  <c r="BX1748"/>
  <c r="AA1747"/>
  <c r="AL1747"/>
  <c r="T1744"/>
  <c r="U1744"/>
  <c r="X1744"/>
  <c r="BW1744"/>
  <c r="CL1744"/>
  <c r="BX1744"/>
  <c r="V1743"/>
  <c r="W1743"/>
  <c r="AB1743"/>
  <c r="T1740"/>
  <c r="AI1740"/>
  <c r="X1740"/>
  <c r="AM1740"/>
  <c r="BW1740"/>
  <c r="CL1740"/>
  <c r="BX1740"/>
  <c r="BR1739"/>
  <c r="BS1739"/>
  <c r="T1736"/>
  <c r="AK1736"/>
  <c r="X1736"/>
  <c r="BW1736"/>
  <c r="CL1736"/>
  <c r="BX1736"/>
  <c r="CM1736"/>
  <c r="AI1735"/>
  <c r="AM1735"/>
  <c r="T1732"/>
  <c r="Z1732"/>
  <c r="W1732"/>
  <c r="AB1732"/>
  <c r="X1732"/>
  <c r="BW1732"/>
  <c r="CL1732"/>
  <c r="BX1732"/>
  <c r="CM1732"/>
  <c r="AA1731"/>
  <c r="AL1731"/>
  <c r="T1728"/>
  <c r="U1728"/>
  <c r="X1728"/>
  <c r="BW1728"/>
  <c r="CL1728"/>
  <c r="BX1728"/>
  <c r="CM1728"/>
  <c r="V1727"/>
  <c r="W1727"/>
  <c r="AB1727"/>
  <c r="BR1761"/>
  <c r="AJ1761"/>
  <c r="AJ1757"/>
  <c r="AK1757"/>
  <c r="BU1757"/>
  <c r="Z1753"/>
  <c r="AJ1753"/>
  <c r="AA1753"/>
  <c r="AL1753"/>
  <c r="U1749"/>
  <c r="AJ1749"/>
  <c r="V1749"/>
  <c r="BR1745"/>
  <c r="AJ1745"/>
  <c r="CM1745"/>
  <c r="AJ1741"/>
  <c r="AK1741"/>
  <c r="BU1741"/>
  <c r="CM1741"/>
  <c r="Z1737"/>
  <c r="AJ1737"/>
  <c r="AA1737"/>
  <c r="AL1737"/>
  <c r="U1733"/>
  <c r="AJ1733"/>
  <c r="V1733"/>
  <c r="BR1729"/>
  <c r="AJ1729"/>
  <c r="C23" i="8"/>
  <c r="G2625" i="35"/>
  <c r="L2625"/>
  <c r="G1579"/>
  <c r="J1654"/>
  <c r="M1800" l="1"/>
  <c r="AB1812"/>
  <c r="K1812"/>
  <c r="K58" i="8"/>
  <c r="F23"/>
  <c r="Z1800" i="35"/>
  <c r="G23" i="8"/>
  <c r="AB88" i="36"/>
  <c r="AB97"/>
  <c r="FH1763" i="35"/>
  <c r="FD1763"/>
  <c r="Y1804" s="1"/>
  <c r="AA95" i="36"/>
  <c r="AA79"/>
  <c r="Y1800" i="35"/>
  <c r="K95" i="36"/>
  <c r="S1521" i="35"/>
  <c r="S1523" s="1"/>
  <c r="S27" i="15"/>
  <c r="D93" i="8"/>
  <c r="L74" i="36"/>
  <c r="L75" s="1"/>
  <c r="AD1800" i="35"/>
  <c r="CW1763"/>
  <c r="P6" i="36"/>
  <c r="J55" i="35"/>
  <c r="P1721"/>
  <c r="O1718"/>
  <c r="D56" i="25"/>
  <c r="E56" s="1"/>
  <c r="C57" s="1"/>
  <c r="D57" s="1"/>
  <c r="E57" s="1"/>
  <c r="B130"/>
  <c r="B128"/>
  <c r="B144"/>
  <c r="B160"/>
  <c r="B176"/>
  <c r="B192"/>
  <c r="B208"/>
  <c r="B224"/>
  <c r="B240"/>
  <c r="B251"/>
  <c r="B260"/>
  <c r="B268"/>
  <c r="B276"/>
  <c r="B284"/>
  <c r="B292"/>
  <c r="B298"/>
  <c r="B304"/>
  <c r="B309"/>
  <c r="B314"/>
  <c r="B318"/>
  <c r="B322"/>
  <c r="B326"/>
  <c r="B330"/>
  <c r="B334"/>
  <c r="B338"/>
  <c r="B342"/>
  <c r="B346"/>
  <c r="B350"/>
  <c r="B354"/>
  <c r="B358"/>
  <c r="B362"/>
  <c r="B366"/>
  <c r="B370"/>
  <c r="B374"/>
  <c r="B378"/>
  <c r="B382"/>
  <c r="B386"/>
  <c r="B390"/>
  <c r="B394"/>
  <c r="B398"/>
  <c r="B402"/>
  <c r="B406"/>
  <c r="B410"/>
  <c r="B414"/>
  <c r="B418"/>
  <c r="B422"/>
  <c r="B426"/>
  <c r="B430"/>
  <c r="B434"/>
  <c r="B438"/>
  <c r="B442"/>
  <c r="B446"/>
  <c r="B450"/>
  <c r="B454"/>
  <c r="B458"/>
  <c r="B462"/>
  <c r="B466"/>
  <c r="B470"/>
  <c r="B474"/>
  <c r="B478"/>
  <c r="B482"/>
  <c r="B486"/>
  <c r="B490"/>
  <c r="B494"/>
  <c r="B498"/>
  <c r="B502"/>
  <c r="B506"/>
  <c r="B510"/>
  <c r="B514"/>
  <c r="B518"/>
  <c r="B522"/>
  <c r="B525"/>
  <c r="B529"/>
  <c r="B533"/>
  <c r="B404"/>
  <c r="B412"/>
  <c r="B420"/>
  <c r="B428"/>
  <c r="B436"/>
  <c r="B448"/>
  <c r="B456"/>
  <c r="B464"/>
  <c r="B472"/>
  <c r="B480"/>
  <c r="B488"/>
  <c r="B132"/>
  <c r="B148"/>
  <c r="B164"/>
  <c r="B180"/>
  <c r="B196"/>
  <c r="B212"/>
  <c r="B228"/>
  <c r="B243"/>
  <c r="B253"/>
  <c r="B262"/>
  <c r="B270"/>
  <c r="B278"/>
  <c r="B286"/>
  <c r="B294"/>
  <c r="B300"/>
  <c r="B305"/>
  <c r="B310"/>
  <c r="B315"/>
  <c r="B319"/>
  <c r="B323"/>
  <c r="B327"/>
  <c r="B331"/>
  <c r="B335"/>
  <c r="B339"/>
  <c r="B343"/>
  <c r="B347"/>
  <c r="B351"/>
  <c r="B355"/>
  <c r="B359"/>
  <c r="B363"/>
  <c r="B367"/>
  <c r="B371"/>
  <c r="B375"/>
  <c r="B379"/>
  <c r="B383"/>
  <c r="B387"/>
  <c r="B391"/>
  <c r="B395"/>
  <c r="B399"/>
  <c r="B403"/>
  <c r="B407"/>
  <c r="B411"/>
  <c r="B415"/>
  <c r="B419"/>
  <c r="B423"/>
  <c r="B427"/>
  <c r="B431"/>
  <c r="B435"/>
  <c r="B439"/>
  <c r="B443"/>
  <c r="B447"/>
  <c r="B451"/>
  <c r="B455"/>
  <c r="B459"/>
  <c r="B463"/>
  <c r="B467"/>
  <c r="B471"/>
  <c r="B475"/>
  <c r="B479"/>
  <c r="B483"/>
  <c r="B487"/>
  <c r="B491"/>
  <c r="B495"/>
  <c r="B499"/>
  <c r="B503"/>
  <c r="B507"/>
  <c r="B511"/>
  <c r="B515"/>
  <c r="B519"/>
  <c r="B523"/>
  <c r="B526"/>
  <c r="B530"/>
  <c r="B534"/>
  <c r="B408"/>
  <c r="B416"/>
  <c r="B424"/>
  <c r="B432"/>
  <c r="B440"/>
  <c r="B444"/>
  <c r="B452"/>
  <c r="B460"/>
  <c r="B468"/>
  <c r="B476"/>
  <c r="B484"/>
  <c r="B136"/>
  <c r="B152"/>
  <c r="B168"/>
  <c r="B184"/>
  <c r="B200"/>
  <c r="B216"/>
  <c r="B232"/>
  <c r="B245"/>
  <c r="B256"/>
  <c r="B264"/>
  <c r="B272"/>
  <c r="B280"/>
  <c r="B288"/>
  <c r="B296"/>
  <c r="B301"/>
  <c r="B306"/>
  <c r="B312"/>
  <c r="B316"/>
  <c r="B320"/>
  <c r="B324"/>
  <c r="B328"/>
  <c r="B332"/>
  <c r="B336"/>
  <c r="B340"/>
  <c r="B344"/>
  <c r="B348"/>
  <c r="B352"/>
  <c r="B356"/>
  <c r="B360"/>
  <c r="B364"/>
  <c r="B368"/>
  <c r="B372"/>
  <c r="B376"/>
  <c r="B380"/>
  <c r="B384"/>
  <c r="B388"/>
  <c r="B392"/>
  <c r="B396"/>
  <c r="B400"/>
  <c r="B156"/>
  <c r="B220"/>
  <c r="B266"/>
  <c r="B297"/>
  <c r="B317"/>
  <c r="B333"/>
  <c r="B349"/>
  <c r="B365"/>
  <c r="B381"/>
  <c r="B397"/>
  <c r="B405"/>
  <c r="B421"/>
  <c r="B437"/>
  <c r="B453"/>
  <c r="B469"/>
  <c r="B485"/>
  <c r="B496"/>
  <c r="B504"/>
  <c r="B512"/>
  <c r="B520"/>
  <c r="B527"/>
  <c r="B535"/>
  <c r="B188"/>
  <c r="B282"/>
  <c r="B325"/>
  <c r="B357"/>
  <c r="B389"/>
  <c r="B429"/>
  <c r="B461"/>
  <c r="B477"/>
  <c r="B500"/>
  <c r="B516"/>
  <c r="B531"/>
  <c r="B204"/>
  <c r="B313"/>
  <c r="B345"/>
  <c r="B377"/>
  <c r="B417"/>
  <c r="B449"/>
  <c r="B493"/>
  <c r="B509"/>
  <c r="B532"/>
  <c r="B172"/>
  <c r="B236"/>
  <c r="B274"/>
  <c r="B302"/>
  <c r="B321"/>
  <c r="B337"/>
  <c r="B353"/>
  <c r="B369"/>
  <c r="B385"/>
  <c r="B401"/>
  <c r="B409"/>
  <c r="B425"/>
  <c r="B441"/>
  <c r="B457"/>
  <c r="B473"/>
  <c r="B489"/>
  <c r="B497"/>
  <c r="B505"/>
  <c r="B513"/>
  <c r="B521"/>
  <c r="B528"/>
  <c r="B248"/>
  <c r="B308"/>
  <c r="B341"/>
  <c r="B373"/>
  <c r="B413"/>
  <c r="B445"/>
  <c r="B492"/>
  <c r="B508"/>
  <c r="B140"/>
  <c r="B258"/>
  <c r="B290"/>
  <c r="B329"/>
  <c r="B361"/>
  <c r="B393"/>
  <c r="B433"/>
  <c r="B465"/>
  <c r="B481"/>
  <c r="B501"/>
  <c r="B517"/>
  <c r="B524"/>
  <c r="D1919" i="35"/>
  <c r="AC73" i="36"/>
  <c r="AC75" s="1"/>
  <c r="L1785" i="35"/>
  <c r="I1788"/>
  <c r="M1788" s="1"/>
  <c r="AB73" i="36"/>
  <c r="H1786" i="35"/>
  <c r="K1792"/>
  <c r="K1794"/>
  <c r="K1795"/>
  <c r="I77" i="36"/>
  <c r="J1794" i="35"/>
  <c r="L69" i="36"/>
  <c r="L71" s="1"/>
  <c r="H71"/>
  <c r="I1792" i="35"/>
  <c r="J1792"/>
  <c r="J70" i="36"/>
  <c r="J71" s="1"/>
  <c r="Z1794" i="35"/>
  <c r="Z1796" s="1"/>
  <c r="L1789"/>
  <c r="L1790" s="1"/>
  <c r="I65" i="36"/>
  <c r="J74"/>
  <c r="Z78"/>
  <c r="K69"/>
  <c r="AA67"/>
  <c r="L1794" i="35"/>
  <c r="AC1788"/>
  <c r="AC1790" s="1"/>
  <c r="Y1794"/>
  <c r="K1791"/>
  <c r="K1793" s="1"/>
  <c r="AC1792"/>
  <c r="H65" i="36"/>
  <c r="H67" s="1"/>
  <c r="AB1780" i="35"/>
  <c r="K1780"/>
  <c r="K1782" s="1"/>
  <c r="H1792"/>
  <c r="Y1792"/>
  <c r="Z1785"/>
  <c r="AD1785" s="1"/>
  <c r="I1785"/>
  <c r="I1789"/>
  <c r="Z1789"/>
  <c r="Z1790" s="1"/>
  <c r="Y1796"/>
  <c r="I71" i="36"/>
  <c r="Z70"/>
  <c r="Z71" s="1"/>
  <c r="AB81"/>
  <c r="K1790" i="35"/>
  <c r="Z1791"/>
  <c r="Z1793" s="1"/>
  <c r="J76" i="36"/>
  <c r="J78" s="1"/>
  <c r="Y66"/>
  <c r="Y67" s="1"/>
  <c r="J1785" i="35"/>
  <c r="J66" i="36"/>
  <c r="J67" s="1"/>
  <c r="L81"/>
  <c r="AC70"/>
  <c r="AC71" s="1"/>
  <c r="AD1780" i="35"/>
  <c r="Z1781"/>
  <c r="Z1782" s="1"/>
  <c r="I1793"/>
  <c r="AB1781"/>
  <c r="I1782"/>
  <c r="K79" i="36"/>
  <c r="AB1789" i="35"/>
  <c r="I94" i="36"/>
  <c r="AB92"/>
  <c r="AB94"/>
  <c r="AB96" s="1"/>
  <c r="AB98" s="1"/>
  <c r="AB1796" i="35"/>
  <c r="AB1793"/>
  <c r="H1791"/>
  <c r="H1793" s="1"/>
  <c r="Y1791"/>
  <c r="H1789"/>
  <c r="Y1789"/>
  <c r="Y1790" s="1"/>
  <c r="I1784"/>
  <c r="I1786" s="1"/>
  <c r="Z1784"/>
  <c r="AB71" i="36"/>
  <c r="L1780" i="35"/>
  <c r="H1780"/>
  <c r="Z74" i="36"/>
  <c r="J1780" i="35"/>
  <c r="AC1795"/>
  <c r="AC1796" s="1"/>
  <c r="H93" i="36"/>
  <c r="K93"/>
  <c r="K94" s="1"/>
  <c r="K70"/>
  <c r="AA78"/>
  <c r="H95"/>
  <c r="L1784" i="35"/>
  <c r="AC1784"/>
  <c r="AC1786" s="1"/>
  <c r="AA1793"/>
  <c r="H1781"/>
  <c r="AD70" i="36"/>
  <c r="I75"/>
  <c r="H1795" i="35"/>
  <c r="H1796" s="1"/>
  <c r="M93" i="36"/>
  <c r="L1791" i="35"/>
  <c r="L1793" s="1"/>
  <c r="AC1791"/>
  <c r="M73" i="36"/>
  <c r="AB78"/>
  <c r="Y1784" i="35"/>
  <c r="Y1786" s="1"/>
  <c r="J1795"/>
  <c r="AA1795"/>
  <c r="AD1795" s="1"/>
  <c r="I1796"/>
  <c r="AB1788"/>
  <c r="Y71" i="36"/>
  <c r="AA75"/>
  <c r="AC81"/>
  <c r="K77"/>
  <c r="K78" s="1"/>
  <c r="Z95"/>
  <c r="J1789" i="35"/>
  <c r="J1790" s="1"/>
  <c r="H1790"/>
  <c r="J1791"/>
  <c r="H75" i="36"/>
  <c r="Z93"/>
  <c r="AD93" s="1"/>
  <c r="K81"/>
  <c r="Z73"/>
  <c r="Y75"/>
  <c r="I76"/>
  <c r="I78" s="1"/>
  <c r="AC65"/>
  <c r="CD1763" i="35"/>
  <c r="CF1763"/>
  <c r="AC76" i="36"/>
  <c r="AC78" s="1"/>
  <c r="L76"/>
  <c r="L78" s="1"/>
  <c r="I1803" i="35"/>
  <c r="AD77" i="36"/>
  <c r="CX1763" i="35"/>
  <c r="FF1763"/>
  <c r="J80" i="36"/>
  <c r="M80" s="1"/>
  <c r="AA80"/>
  <c r="AA81" s="1"/>
  <c r="M1801" i="35"/>
  <c r="C1934"/>
  <c r="J75" i="36"/>
  <c r="K57"/>
  <c r="AB57"/>
  <c r="K66"/>
  <c r="AB66"/>
  <c r="FL1763" i="35"/>
  <c r="CE1763"/>
  <c r="L1763"/>
  <c r="L1764" s="1"/>
  <c r="G1817" s="1"/>
  <c r="P2786"/>
  <c r="P2498" s="1"/>
  <c r="CN1763"/>
  <c r="J1810" s="1"/>
  <c r="CP1763"/>
  <c r="L1810" s="1"/>
  <c r="J1531"/>
  <c r="G36" i="15"/>
  <c r="AB74" i="36"/>
  <c r="AB75" s="1"/>
  <c r="K74"/>
  <c r="L87"/>
  <c r="AC87"/>
  <c r="L86"/>
  <c r="AC86"/>
  <c r="J88"/>
  <c r="AA88"/>
  <c r="L1796" i="35"/>
  <c r="AD1801"/>
  <c r="AC1763"/>
  <c r="AC1773" s="1"/>
  <c r="H60" i="36"/>
  <c r="Y60"/>
  <c r="BZ1763" i="35"/>
  <c r="I62" i="36"/>
  <c r="Z62"/>
  <c r="CB1763" i="35"/>
  <c r="CV1763"/>
  <c r="B24" i="8"/>
  <c r="C28" i="25"/>
  <c r="Y92" i="36"/>
  <c r="H92"/>
  <c r="K65"/>
  <c r="AB65"/>
  <c r="AB67" s="1"/>
  <c r="Y76"/>
  <c r="H76"/>
  <c r="AB86"/>
  <c r="K86"/>
  <c r="L88"/>
  <c r="AC88"/>
  <c r="Y81"/>
  <c r="AC95"/>
  <c r="L95"/>
  <c r="AC85"/>
  <c r="L85"/>
  <c r="AB89"/>
  <c r="K89"/>
  <c r="BR1763" i="35"/>
  <c r="AD69" i="36"/>
  <c r="CO1763" i="35"/>
  <c r="L60" i="36"/>
  <c r="AC60"/>
  <c r="K58"/>
  <c r="AB58"/>
  <c r="AA92"/>
  <c r="AA94" s="1"/>
  <c r="AA96" s="1"/>
  <c r="AA98" s="1"/>
  <c r="J92"/>
  <c r="J94" s="1"/>
  <c r="J96" s="1"/>
  <c r="J98" s="1"/>
  <c r="AA86"/>
  <c r="J86"/>
  <c r="J85"/>
  <c r="AA85"/>
  <c r="AA87"/>
  <c r="J87"/>
  <c r="Y89"/>
  <c r="H89"/>
  <c r="AD73"/>
  <c r="L66"/>
  <c r="L67" s="1"/>
  <c r="AC66"/>
  <c r="I79"/>
  <c r="I81" s="1"/>
  <c r="Z79"/>
  <c r="J89"/>
  <c r="AA89"/>
  <c r="AM1763" i="35"/>
  <c r="L1775" s="1"/>
  <c r="M1802"/>
  <c r="BW1763"/>
  <c r="H1807" s="1"/>
  <c r="H81" i="36"/>
  <c r="CC1763" i="35"/>
  <c r="BY1763"/>
  <c r="CA1763"/>
  <c r="L92" i="36"/>
  <c r="L94" s="1"/>
  <c r="AC92"/>
  <c r="AC94" s="1"/>
  <c r="I66"/>
  <c r="Z66"/>
  <c r="Z67" s="1"/>
  <c r="K87"/>
  <c r="AB87"/>
  <c r="Z97"/>
  <c r="AD97" s="1"/>
  <c r="I97"/>
  <c r="M97" s="1"/>
  <c r="I86"/>
  <c r="M86" s="1"/>
  <c r="Z86"/>
  <c r="K85"/>
  <c r="AB85"/>
  <c r="I88"/>
  <c r="Z88"/>
  <c r="AD88" s="1"/>
  <c r="L89"/>
  <c r="AC89"/>
  <c r="Y85"/>
  <c r="H85"/>
  <c r="W1763" i="35"/>
  <c r="K1772" s="1"/>
  <c r="T1763"/>
  <c r="H1772" s="1"/>
  <c r="Q1800"/>
  <c r="CL1763"/>
  <c r="H1810" s="1"/>
  <c r="G102" i="36"/>
  <c r="B14" i="8"/>
  <c r="K62" i="36"/>
  <c r="AB62"/>
  <c r="H62"/>
  <c r="Y62"/>
  <c r="I58"/>
  <c r="Z58"/>
  <c r="E93" i="8"/>
  <c r="I23"/>
  <c r="G93"/>
  <c r="B58"/>
  <c r="C93"/>
  <c r="I60" i="36"/>
  <c r="Z60"/>
  <c r="J62"/>
  <c r="AA62"/>
  <c r="H58"/>
  <c r="Y58"/>
  <c r="L57"/>
  <c r="AC57"/>
  <c r="J58"/>
  <c r="AA58"/>
  <c r="M109"/>
  <c r="H17" i="8" s="1"/>
  <c r="M1822" i="35"/>
  <c r="M1824" s="1"/>
  <c r="J154" i="15"/>
  <c r="BT1763" i="35"/>
  <c r="K93" i="8"/>
  <c r="F93"/>
  <c r="B93"/>
  <c r="H58"/>
  <c r="J23"/>
  <c r="B23"/>
  <c r="B1929" i="35" s="1"/>
  <c r="D58" i="8"/>
  <c r="E23"/>
  <c r="D2016" i="35"/>
  <c r="H1946"/>
  <c r="B1911"/>
  <c r="B1923" s="1"/>
  <c r="G1981"/>
  <c r="K1911"/>
  <c r="B2016"/>
  <c r="C2016"/>
  <c r="F2016"/>
  <c r="D1911"/>
  <c r="C1946"/>
  <c r="F128" i="8"/>
  <c r="J1981" i="35"/>
  <c r="D1946"/>
  <c r="C128" i="8"/>
  <c r="C1981" i="35"/>
  <c r="G1911"/>
  <c r="D1981"/>
  <c r="E1981"/>
  <c r="E1993" s="1"/>
  <c r="H1981"/>
  <c r="D128" i="8"/>
  <c r="E1911" i="35"/>
  <c r="E1923" s="1"/>
  <c r="B128" i="8"/>
  <c r="F1981" i="35"/>
  <c r="J1911"/>
  <c r="E2016"/>
  <c r="I1946"/>
  <c r="C1911"/>
  <c r="F1946"/>
  <c r="G1946"/>
  <c r="J1946"/>
  <c r="I1981"/>
  <c r="M385"/>
  <c r="B1981"/>
  <c r="F1911"/>
  <c r="K1981"/>
  <c r="E1946"/>
  <c r="E128" i="8"/>
  <c r="H1911" i="35"/>
  <c r="I1911"/>
  <c r="B1946"/>
  <c r="K1946"/>
  <c r="E1901"/>
  <c r="D1902"/>
  <c r="D1909"/>
  <c r="D1907"/>
  <c r="D1903"/>
  <c r="I96" i="36"/>
  <c r="G58" i="8"/>
  <c r="J58"/>
  <c r="AI1763" i="35"/>
  <c r="H1775" s="1"/>
  <c r="E58" i="8"/>
  <c r="M1619" i="35"/>
  <c r="M1636" s="1"/>
  <c r="M1638" s="1"/>
  <c r="M1640" s="1"/>
  <c r="H57" i="36"/>
  <c r="Y57"/>
  <c r="K60"/>
  <c r="AB60"/>
  <c r="J60"/>
  <c r="AA60"/>
  <c r="L58"/>
  <c r="AC58"/>
  <c r="BV1763" i="35"/>
  <c r="O2667"/>
  <c r="O2786" s="1"/>
  <c r="O2498" s="1"/>
  <c r="R2672"/>
  <c r="J57" i="36"/>
  <c r="J59" s="1"/>
  <c r="AA57"/>
  <c r="L62"/>
  <c r="AC62"/>
  <c r="D23" i="8"/>
  <c r="BU1763" i="35"/>
  <c r="AB1777" s="1"/>
  <c r="H93" i="8"/>
  <c r="C58"/>
  <c r="J93"/>
  <c r="F58"/>
  <c r="I93"/>
  <c r="K23"/>
  <c r="Y1763" i="35"/>
  <c r="H1773" s="1"/>
  <c r="I57" i="36"/>
  <c r="Z57"/>
  <c r="E1918" i="35"/>
  <c r="Z1763"/>
  <c r="Z1773" s="1"/>
  <c r="AB1784"/>
  <c r="AB1786" s="1"/>
  <c r="K1784"/>
  <c r="K1786" s="1"/>
  <c r="AA1763"/>
  <c r="AA1773" s="1"/>
  <c r="P1619"/>
  <c r="P1636" s="1"/>
  <c r="P1638" s="1"/>
  <c r="P1640" s="1"/>
  <c r="AA1784"/>
  <c r="J1784"/>
  <c r="BS1763"/>
  <c r="I1777" s="1"/>
  <c r="H1777"/>
  <c r="Y1777"/>
  <c r="AB1763"/>
  <c r="BX1763"/>
  <c r="U1763"/>
  <c r="AK1763"/>
  <c r="B1910"/>
  <c r="Q1802"/>
  <c r="AC1781"/>
  <c r="AC1782" s="1"/>
  <c r="L1781"/>
  <c r="L1782" s="1"/>
  <c r="AJ1763"/>
  <c r="CM1763"/>
  <c r="X1763"/>
  <c r="G1532"/>
  <c r="B1535" s="1"/>
  <c r="J1530"/>
  <c r="J1781"/>
  <c r="AA1781"/>
  <c r="AA1782" s="1"/>
  <c r="Y1793"/>
  <c r="V1763"/>
  <c r="AL1763"/>
  <c r="Y1782"/>
  <c r="Q1801"/>
  <c r="K1796" l="1"/>
  <c r="J36" i="15"/>
  <c r="J123" s="1"/>
  <c r="J140" s="1"/>
  <c r="J142" s="1"/>
  <c r="J144" s="1"/>
  <c r="I59" i="36"/>
  <c r="H1804" i="35"/>
  <c r="AD1792"/>
  <c r="Z1812"/>
  <c r="I1812"/>
  <c r="K96" i="36"/>
  <c r="K98" s="1"/>
  <c r="AD1794" i="35"/>
  <c r="Q16" i="36"/>
  <c r="Q1731" i="35" s="1"/>
  <c r="Q18" i="36"/>
  <c r="Q1733" i="35" s="1"/>
  <c r="Q19" i="36"/>
  <c r="Q1734" i="35" s="1"/>
  <c r="Q14" i="36"/>
  <c r="Q1729" i="35" s="1"/>
  <c r="Q20" i="36"/>
  <c r="Q1735" i="35" s="1"/>
  <c r="Q12" i="36"/>
  <c r="Q1727" i="35" s="1"/>
  <c r="Q10" i="36"/>
  <c r="Q1725" i="35" s="1"/>
  <c r="Q11" i="36"/>
  <c r="Q1726" i="35" s="1"/>
  <c r="Q23" i="36"/>
  <c r="Q1738" i="35" s="1"/>
  <c r="Q24" i="36"/>
  <c r="Q1739" i="35" s="1"/>
  <c r="Q22" i="36"/>
  <c r="Q1737" i="35" s="1"/>
  <c r="Q15" i="36"/>
  <c r="Q1730" i="35" s="1"/>
  <c r="L1804"/>
  <c r="AC1804"/>
  <c r="D1934"/>
  <c r="M69" i="36"/>
  <c r="Q69" s="1"/>
  <c r="AB1772" i="35"/>
  <c r="I61" i="36"/>
  <c r="I63" s="1"/>
  <c r="L1786" i="35"/>
  <c r="I1790"/>
  <c r="AA1810"/>
  <c r="M1785"/>
  <c r="Q1785" s="1"/>
  <c r="AC96" i="36"/>
  <c r="AC98" s="1"/>
  <c r="AB1782" i="35"/>
  <c r="AC1775"/>
  <c r="M95" i="36"/>
  <c r="P50" i="7" s="1"/>
  <c r="Z75" i="36"/>
  <c r="J1793" i="35"/>
  <c r="AB1790"/>
  <c r="AD1790" s="1"/>
  <c r="K71" i="36"/>
  <c r="M71" s="1"/>
  <c r="Z1786" i="35"/>
  <c r="J1796"/>
  <c r="M1792"/>
  <c r="Q1792" s="1"/>
  <c r="M1794"/>
  <c r="Q1794" s="1"/>
  <c r="AB59" i="36"/>
  <c r="AB61" s="1"/>
  <c r="AB63" s="1"/>
  <c r="AD1788" i="35"/>
  <c r="Q1788" s="1"/>
  <c r="AC67" i="36"/>
  <c r="AD67" s="1"/>
  <c r="AC1793" i="35"/>
  <c r="AD1793" s="1"/>
  <c r="M1790"/>
  <c r="Q93" i="36"/>
  <c r="M1789" i="35"/>
  <c r="M1793"/>
  <c r="Q1793" s="1"/>
  <c r="M70" i="36"/>
  <c r="Q70" s="1"/>
  <c r="M1780" i="35"/>
  <c r="Q1780" s="1"/>
  <c r="AD71" i="36"/>
  <c r="M1796" i="35"/>
  <c r="J1782"/>
  <c r="H1782"/>
  <c r="M77" i="36"/>
  <c r="AD1789" i="35"/>
  <c r="AC1810"/>
  <c r="AD74" i="36"/>
  <c r="AD1791" i="35"/>
  <c r="Y1810"/>
  <c r="Q73" i="36"/>
  <c r="Z94"/>
  <c r="Z96" s="1"/>
  <c r="Z98" s="1"/>
  <c r="M1795" i="35"/>
  <c r="Q1795" s="1"/>
  <c r="Y1772"/>
  <c r="Z59" i="36"/>
  <c r="Z61" s="1"/>
  <c r="Z63" s="1"/>
  <c r="L96"/>
  <c r="L98" s="1"/>
  <c r="AD95"/>
  <c r="J81"/>
  <c r="M81" s="1"/>
  <c r="AD80"/>
  <c r="Q80" s="1"/>
  <c r="M1791" i="35"/>
  <c r="Q77" i="36"/>
  <c r="K59"/>
  <c r="K61" s="1"/>
  <c r="K63" s="1"/>
  <c r="AD75"/>
  <c r="AA1796" i="35"/>
  <c r="AD1796" s="1"/>
  <c r="K1808"/>
  <c r="AB1808"/>
  <c r="AD87" i="36"/>
  <c r="K1803" i="35"/>
  <c r="M1803" s="1"/>
  <c r="AB1803"/>
  <c r="AD1803" s="1"/>
  <c r="AA1804"/>
  <c r="AD1804" s="1"/>
  <c r="J1804"/>
  <c r="M1804" s="1"/>
  <c r="L1808"/>
  <c r="AC1808"/>
  <c r="AD89" i="36"/>
  <c r="AA1812" i="35"/>
  <c r="J1812"/>
  <c r="AA1808"/>
  <c r="J1808"/>
  <c r="K1777"/>
  <c r="J1532"/>
  <c r="J1619" s="1"/>
  <c r="J1636" s="1"/>
  <c r="J1638" s="1"/>
  <c r="J1640" s="1"/>
  <c r="B39" i="15"/>
  <c r="F42" s="1"/>
  <c r="L26" i="3"/>
  <c r="L379" i="35"/>
  <c r="Q97" i="36"/>
  <c r="P52" i="7"/>
  <c r="P81" i="35"/>
  <c r="Y78" i="36"/>
  <c r="AD78" s="1"/>
  <c r="AD76"/>
  <c r="K1807" i="35"/>
  <c r="AB1807"/>
  <c r="M74" i="36"/>
  <c r="K75"/>
  <c r="M75" s="1"/>
  <c r="Y1807" i="35"/>
  <c r="C1929"/>
  <c r="L1807"/>
  <c r="AC1807"/>
  <c r="AD79" i="36"/>
  <c r="Z81"/>
  <c r="AD81" s="1"/>
  <c r="AD66"/>
  <c r="Y94"/>
  <c r="AD92"/>
  <c r="H1808" i="35"/>
  <c r="Y1808"/>
  <c r="AD65" i="36"/>
  <c r="M87"/>
  <c r="H1812" i="35"/>
  <c r="M1812" s="1"/>
  <c r="Y1812"/>
  <c r="AD1812" s="1"/>
  <c r="Q71" i="36"/>
  <c r="Y1775" i="35"/>
  <c r="AA59" i="36"/>
  <c r="AA61" s="1"/>
  <c r="AA63" s="1"/>
  <c r="AC59"/>
  <c r="AC61" s="1"/>
  <c r="AC63" s="1"/>
  <c r="M88"/>
  <c r="Q88" s="1"/>
  <c r="AD86"/>
  <c r="Q86" s="1"/>
  <c r="I67"/>
  <c r="M66"/>
  <c r="AA1807" i="35"/>
  <c r="AA1809" s="1"/>
  <c r="AA1811" s="1"/>
  <c r="J1807"/>
  <c r="M89" i="36"/>
  <c r="Q89" s="1"/>
  <c r="K1810" i="35"/>
  <c r="AB1810"/>
  <c r="H94" i="36"/>
  <c r="M92"/>
  <c r="L1773" i="35"/>
  <c r="I1808"/>
  <c r="Z1808"/>
  <c r="M85" i="36"/>
  <c r="AD85"/>
  <c r="M76"/>
  <c r="H78"/>
  <c r="M78" s="1"/>
  <c r="K67"/>
  <c r="M65"/>
  <c r="M79"/>
  <c r="J1773" i="35"/>
  <c r="C58" i="25"/>
  <c r="D58" s="1"/>
  <c r="E58" s="1"/>
  <c r="G1958" i="35"/>
  <c r="D1993"/>
  <c r="K1923"/>
  <c r="I1773"/>
  <c r="F1901"/>
  <c r="E1903"/>
  <c r="E1902"/>
  <c r="E1907"/>
  <c r="E1909"/>
  <c r="H1923"/>
  <c r="F1923"/>
  <c r="J1958"/>
  <c r="I1958"/>
  <c r="C1958"/>
  <c r="B2028"/>
  <c r="H1958"/>
  <c r="J1777"/>
  <c r="AA1777"/>
  <c r="M58" i="36"/>
  <c r="M60"/>
  <c r="D1923" i="35"/>
  <c r="AD62" i="36"/>
  <c r="K84" i="8"/>
  <c r="B15"/>
  <c r="B16" s="1"/>
  <c r="K5" s="1"/>
  <c r="I84"/>
  <c r="H84"/>
  <c r="C84"/>
  <c r="F84"/>
  <c r="F49"/>
  <c r="E49"/>
  <c r="D49"/>
  <c r="G84"/>
  <c r="I49"/>
  <c r="G49"/>
  <c r="H14"/>
  <c r="E84"/>
  <c r="K49"/>
  <c r="C49"/>
  <c r="B49"/>
  <c r="F14"/>
  <c r="E14"/>
  <c r="B84"/>
  <c r="J49"/>
  <c r="I14"/>
  <c r="G14"/>
  <c r="D14"/>
  <c r="D84"/>
  <c r="J14"/>
  <c r="H49"/>
  <c r="K14"/>
  <c r="C14"/>
  <c r="B119"/>
  <c r="D119"/>
  <c r="C119"/>
  <c r="F119"/>
  <c r="E119"/>
  <c r="J84"/>
  <c r="Y1773" i="35"/>
  <c r="M1781"/>
  <c r="J61" i="36"/>
  <c r="J63" s="1"/>
  <c r="AD57"/>
  <c r="Y59"/>
  <c r="B1958" i="35"/>
  <c r="E1958"/>
  <c r="F1958"/>
  <c r="J1923"/>
  <c r="G1923"/>
  <c r="J1993"/>
  <c r="F2028"/>
  <c r="G1993"/>
  <c r="N109" i="36"/>
  <c r="I17" i="8" s="1"/>
  <c r="N1822" i="35"/>
  <c r="N1824" s="1"/>
  <c r="L59" i="36"/>
  <c r="L61" s="1"/>
  <c r="L63" s="1"/>
  <c r="M62"/>
  <c r="K1958" i="35"/>
  <c r="B1993"/>
  <c r="E2028"/>
  <c r="D1958"/>
  <c r="D2028"/>
  <c r="L1777"/>
  <c r="AC1777"/>
  <c r="H59" i="36"/>
  <c r="M57"/>
  <c r="I98"/>
  <c r="D1908" i="35"/>
  <c r="D1928" s="1"/>
  <c r="D1910"/>
  <c r="D1921" s="1"/>
  <c r="D1904"/>
  <c r="I1923"/>
  <c r="K1993"/>
  <c r="I1993"/>
  <c r="C1922"/>
  <c r="C1923"/>
  <c r="F1993"/>
  <c r="H1993"/>
  <c r="C1993"/>
  <c r="C2028"/>
  <c r="AD58" i="36"/>
  <c r="AD60"/>
  <c r="J1786" i="35"/>
  <c r="M1784"/>
  <c r="AD1781"/>
  <c r="AD1782"/>
  <c r="Z1777"/>
  <c r="F1918"/>
  <c r="AD1784"/>
  <c r="AA1786"/>
  <c r="I1807"/>
  <c r="Z1807"/>
  <c r="J1772"/>
  <c r="AA1772"/>
  <c r="AA1774" s="1"/>
  <c r="H1809"/>
  <c r="I1772"/>
  <c r="Z1772"/>
  <c r="Z1774" s="1"/>
  <c r="K1775"/>
  <c r="AB1775"/>
  <c r="Z1810"/>
  <c r="I1810"/>
  <c r="J1775"/>
  <c r="AA1775"/>
  <c r="H1774"/>
  <c r="L1772"/>
  <c r="AC1772"/>
  <c r="AC1774" s="1"/>
  <c r="AC1776" s="1"/>
  <c r="Z1775"/>
  <c r="I1775"/>
  <c r="B1922"/>
  <c r="K1773"/>
  <c r="K1774" s="1"/>
  <c r="AB1773"/>
  <c r="AB1774" s="1"/>
  <c r="Q1803" l="1"/>
  <c r="Q87" i="36"/>
  <c r="AA1813" i="35"/>
  <c r="L373"/>
  <c r="Q1804"/>
  <c r="E1929"/>
  <c r="M1786"/>
  <c r="AD1786"/>
  <c r="Y1774"/>
  <c r="Y1776" s="1"/>
  <c r="Q1796"/>
  <c r="P79"/>
  <c r="Q95" i="36"/>
  <c r="AB1809" i="35"/>
  <c r="AB1811" s="1"/>
  <c r="AB1813" s="1"/>
  <c r="Q1790"/>
  <c r="Q1791"/>
  <c r="Q1789"/>
  <c r="M1782"/>
  <c r="Q1782" s="1"/>
  <c r="L1774"/>
  <c r="L1776" s="1"/>
  <c r="L1778" s="1"/>
  <c r="K1809"/>
  <c r="K1811" s="1"/>
  <c r="K1813" s="1"/>
  <c r="AD1810"/>
  <c r="Q74" i="36"/>
  <c r="J1774" i="35"/>
  <c r="J1776" s="1"/>
  <c r="J1778" s="1"/>
  <c r="L1809"/>
  <c r="L1811" s="1"/>
  <c r="L1813" s="1"/>
  <c r="I1774"/>
  <c r="I1776" s="1"/>
  <c r="I1778" s="1"/>
  <c r="Z1809"/>
  <c r="Q1781"/>
  <c r="AD1777"/>
  <c r="J1809"/>
  <c r="J1811" s="1"/>
  <c r="J1813" s="1"/>
  <c r="M1777"/>
  <c r="Q79" i="36"/>
  <c r="AC1809" i="35"/>
  <c r="AC1811" s="1"/>
  <c r="AC1813" s="1"/>
  <c r="Q76" i="36"/>
  <c r="AB1776" i="35"/>
  <c r="AB1778" s="1"/>
  <c r="M1810"/>
  <c r="Q1812"/>
  <c r="AD1775"/>
  <c r="AD1808"/>
  <c r="H96" i="36"/>
  <c r="M94"/>
  <c r="Q75"/>
  <c r="F42" i="7"/>
  <c r="F71" i="35"/>
  <c r="AC1778"/>
  <c r="Q85" i="36"/>
  <c r="M1808" i="35"/>
  <c r="Q1808" s="1"/>
  <c r="I80"/>
  <c r="I51" i="7"/>
  <c r="Q65" i="36"/>
  <c r="I1809" i="35"/>
  <c r="I1811" s="1"/>
  <c r="I1813" s="1"/>
  <c r="F44" i="7"/>
  <c r="F73" i="35"/>
  <c r="Q78" i="36"/>
  <c r="F74" i="35"/>
  <c r="F45" i="7"/>
  <c r="Q81" i="36"/>
  <c r="I50" i="7"/>
  <c r="Q66" i="36"/>
  <c r="I79" i="35"/>
  <c r="K1776"/>
  <c r="K1778" s="1"/>
  <c r="AD1807"/>
  <c r="Y1809"/>
  <c r="Y1811" s="1"/>
  <c r="Q92" i="36"/>
  <c r="M67"/>
  <c r="Q67" s="1"/>
  <c r="Y96"/>
  <c r="AD94"/>
  <c r="M1775" i="35"/>
  <c r="M1807"/>
  <c r="C59" i="25"/>
  <c r="D59" s="1"/>
  <c r="E59" s="1"/>
  <c r="H61" i="36"/>
  <c r="M59"/>
  <c r="H50" i="7"/>
  <c r="Q58" i="36"/>
  <c r="H79" i="35"/>
  <c r="H80"/>
  <c r="H51" i="7"/>
  <c r="Q57" i="36"/>
  <c r="H52" i="7"/>
  <c r="H81" i="35"/>
  <c r="Q60" i="36"/>
  <c r="E1908" i="35"/>
  <c r="E1928" s="1"/>
  <c r="E1904"/>
  <c r="E1910"/>
  <c r="Q62" i="36"/>
  <c r="H83" i="35"/>
  <c r="H54" i="7"/>
  <c r="O109" i="36"/>
  <c r="J17" i="8" s="1"/>
  <c r="O1822" i="35"/>
  <c r="O1824" s="1"/>
  <c r="J85" i="8"/>
  <c r="J86" s="1"/>
  <c r="C120"/>
  <c r="C121" s="1"/>
  <c r="F120"/>
  <c r="B120"/>
  <c r="B121" s="1"/>
  <c r="D120"/>
  <c r="D121" s="1"/>
  <c r="D125" s="1"/>
  <c r="E120"/>
  <c r="E121" s="1"/>
  <c r="E125" s="1"/>
  <c r="C15"/>
  <c r="G15"/>
  <c r="G16" s="1"/>
  <c r="G20" s="1"/>
  <c r="K15"/>
  <c r="K16" s="1"/>
  <c r="E50"/>
  <c r="E51" s="1"/>
  <c r="I50"/>
  <c r="I51" s="1"/>
  <c r="C85"/>
  <c r="C86" s="1"/>
  <c r="G85"/>
  <c r="G86" s="1"/>
  <c r="D15"/>
  <c r="D16" s="1"/>
  <c r="D20" s="1"/>
  <c r="H15"/>
  <c r="H16" s="1"/>
  <c r="H20" s="1"/>
  <c r="B50"/>
  <c r="B51" s="1"/>
  <c r="F50"/>
  <c r="F51" s="1"/>
  <c r="D85"/>
  <c r="D86" s="1"/>
  <c r="E15"/>
  <c r="I15"/>
  <c r="I16" s="1"/>
  <c r="I20" s="1"/>
  <c r="C50"/>
  <c r="C51" s="1"/>
  <c r="K50"/>
  <c r="K51" s="1"/>
  <c r="I85"/>
  <c r="J50"/>
  <c r="J51" s="1"/>
  <c r="H85"/>
  <c r="H86" s="1"/>
  <c r="E85"/>
  <c r="E86" s="1"/>
  <c r="K85"/>
  <c r="F15"/>
  <c r="F16" s="1"/>
  <c r="F20" s="1"/>
  <c r="J15"/>
  <c r="J16" s="1"/>
  <c r="D50"/>
  <c r="D51" s="1"/>
  <c r="H50"/>
  <c r="H51" s="1"/>
  <c r="B85"/>
  <c r="B86" s="1"/>
  <c r="F85"/>
  <c r="F86" s="1"/>
  <c r="G50"/>
  <c r="G51" s="1"/>
  <c r="D1922" i="35"/>
  <c r="F1902"/>
  <c r="G1901"/>
  <c r="F1907"/>
  <c r="F1909"/>
  <c r="F1903"/>
  <c r="Y61" i="36"/>
  <c r="AD59"/>
  <c r="E16" i="8"/>
  <c r="E20" s="1"/>
  <c r="I86"/>
  <c r="F121"/>
  <c r="F125" s="1"/>
  <c r="C16"/>
  <c r="C20" s="1"/>
  <c r="K86"/>
  <c r="B20"/>
  <c r="Q1786" i="35"/>
  <c r="M1773"/>
  <c r="Q1784"/>
  <c r="G1918"/>
  <c r="E1934"/>
  <c r="AD1772"/>
  <c r="AD1773"/>
  <c r="M1772"/>
  <c r="Z1776"/>
  <c r="Z1778" s="1"/>
  <c r="H1776"/>
  <c r="H1811"/>
  <c r="Q1777"/>
  <c r="AA1776"/>
  <c r="AA1778" s="1"/>
  <c r="D1929" l="1"/>
  <c r="F1929"/>
  <c r="AD1774"/>
  <c r="Q1807"/>
  <c r="AD1809"/>
  <c r="Z1811"/>
  <c r="Z1813" s="1"/>
  <c r="Q1810"/>
  <c r="Q1773"/>
  <c r="M1809"/>
  <c r="Q1809" s="1"/>
  <c r="M1774"/>
  <c r="Q1774" s="1"/>
  <c r="Q1775"/>
  <c r="Y98" i="36"/>
  <c r="AD98" s="1"/>
  <c r="AD96"/>
  <c r="P49" i="7"/>
  <c r="P51" s="1"/>
  <c r="P53" s="1"/>
  <c r="P58" s="1"/>
  <c r="P78" i="35"/>
  <c r="P80" s="1"/>
  <c r="P82" s="1"/>
  <c r="P87" s="1"/>
  <c r="Q94" i="36"/>
  <c r="H98"/>
  <c r="M98" s="1"/>
  <c r="M96"/>
  <c r="C125" i="8"/>
  <c r="H78" i="35"/>
  <c r="H82" s="1"/>
  <c r="H84" s="1"/>
  <c r="C60" i="25"/>
  <c r="D60" s="1"/>
  <c r="E60" s="1"/>
  <c r="K7" i="8"/>
  <c r="P1863" i="35"/>
  <c r="P1873" s="1"/>
  <c r="P148" i="36"/>
  <c r="Y63"/>
  <c r="AD63" s="1"/>
  <c r="AD61"/>
  <c r="H1901" i="35"/>
  <c r="G1907"/>
  <c r="G1902"/>
  <c r="G1903"/>
  <c r="G1909"/>
  <c r="J20" i="8"/>
  <c r="B125"/>
  <c r="P109" i="36"/>
  <c r="K17" i="8" s="1"/>
  <c r="K20" s="1"/>
  <c r="P1822" i="35"/>
  <c r="P1824" s="1"/>
  <c r="Q59" i="36"/>
  <c r="E1922" i="35"/>
  <c r="E1921"/>
  <c r="H63" i="36"/>
  <c r="M61"/>
  <c r="H49" i="7"/>
  <c r="H53" s="1"/>
  <c r="H55" s="1"/>
  <c r="F1908" i="35"/>
  <c r="F1928" s="1"/>
  <c r="F1910"/>
  <c r="F1904"/>
  <c r="F1934"/>
  <c r="H1918"/>
  <c r="Y1813"/>
  <c r="H1813"/>
  <c r="M1813" s="1"/>
  <c r="M1811"/>
  <c r="M1776"/>
  <c r="H1778"/>
  <c r="M1778" s="1"/>
  <c r="AD1776"/>
  <c r="Y1778"/>
  <c r="AD1778" s="1"/>
  <c r="Q1772"/>
  <c r="AD1811" l="1"/>
  <c r="AD1813"/>
  <c r="Q1813" s="1"/>
  <c r="G1929"/>
  <c r="Q96" i="36"/>
  <c r="J145" i="15"/>
  <c r="J146" s="1"/>
  <c r="J148" s="1"/>
  <c r="Q1811" i="35"/>
  <c r="M1641"/>
  <c r="M1642" s="1"/>
  <c r="M1644" s="1"/>
  <c r="D1535"/>
  <c r="Q98" i="36"/>
  <c r="D39" i="15"/>
  <c r="C61" i="25"/>
  <c r="D61" s="1"/>
  <c r="E61" s="1"/>
  <c r="M32" i="11"/>
  <c r="P141" i="7"/>
  <c r="P169" i="35"/>
  <c r="P170"/>
  <c r="Q61" i="36"/>
  <c r="P140" i="7"/>
  <c r="M2524" i="35"/>
  <c r="P1641"/>
  <c r="P1642" s="1"/>
  <c r="P1644" s="1"/>
  <c r="M145" i="15"/>
  <c r="M146" s="1"/>
  <c r="M148" s="1"/>
  <c r="G1908" i="35"/>
  <c r="G1928" s="1"/>
  <c r="G1904"/>
  <c r="G1910"/>
  <c r="F1921"/>
  <c r="F1922"/>
  <c r="M63" i="36"/>
  <c r="N149" s="1"/>
  <c r="R13" i="24"/>
  <c r="R11"/>
  <c r="R12"/>
  <c r="J1641" i="35"/>
  <c r="J1642" s="1"/>
  <c r="J1644" s="1"/>
  <c r="G120" i="36"/>
  <c r="B52" i="8" s="1"/>
  <c r="B55" s="1"/>
  <c r="G1833" i="35"/>
  <c r="G1835" s="1"/>
  <c r="P158" i="36"/>
  <c r="P145" i="15"/>
  <c r="P146" s="1"/>
  <c r="P148" s="1"/>
  <c r="I1901" i="35"/>
  <c r="H1902"/>
  <c r="H1909"/>
  <c r="H1907"/>
  <c r="H1903"/>
  <c r="G1934"/>
  <c r="I1918"/>
  <c r="Q1776"/>
  <c r="P1876"/>
  <c r="P1881" s="1"/>
  <c r="Q1778"/>
  <c r="N1864"/>
  <c r="N1865"/>
  <c r="H1929" l="1"/>
  <c r="J1645"/>
  <c r="N150" i="36"/>
  <c r="J149" i="15"/>
  <c r="C62" i="25"/>
  <c r="D62" s="1"/>
  <c r="E62" s="1"/>
  <c r="B19" i="8"/>
  <c r="N158" i="36"/>
  <c r="J1901" i="35"/>
  <c r="I1902"/>
  <c r="I1909"/>
  <c r="I1903"/>
  <c r="I1907"/>
  <c r="H120" i="36"/>
  <c r="C52" i="8" s="1"/>
  <c r="C55" s="1"/>
  <c r="H1833" i="35"/>
  <c r="H1835" s="1"/>
  <c r="G1921"/>
  <c r="G1922"/>
  <c r="H1908"/>
  <c r="H1928" s="1"/>
  <c r="H1904"/>
  <c r="H1910"/>
  <c r="D1621"/>
  <c r="D125" i="15"/>
  <c r="P161" i="36"/>
  <c r="B21" i="8" s="1"/>
  <c r="P67" i="7"/>
  <c r="J160" i="36"/>
  <c r="P69" i="7"/>
  <c r="E1589" i="35"/>
  <c r="J158" i="36"/>
  <c r="E93" i="15"/>
  <c r="J159" i="36"/>
  <c r="F115" i="15"/>
  <c r="P96" i="35"/>
  <c r="P71" i="7"/>
  <c r="F1611" i="35"/>
  <c r="P100"/>
  <c r="P98"/>
  <c r="Q63" i="36"/>
  <c r="Q54" s="1"/>
  <c r="D38" i="15"/>
  <c r="D1534" i="35"/>
  <c r="H1934"/>
  <c r="J1918"/>
  <c r="Q1769"/>
  <c r="P166" i="36" l="1"/>
  <c r="C63" i="25"/>
  <c r="D63" s="1"/>
  <c r="E63" s="1"/>
  <c r="H1921" i="35"/>
  <c r="H1922"/>
  <c r="J1902"/>
  <c r="J1909"/>
  <c r="K1901"/>
  <c r="J1903"/>
  <c r="J1907"/>
  <c r="K91" i="8"/>
  <c r="H91"/>
  <c r="F91"/>
  <c r="E91"/>
  <c r="D91"/>
  <c r="E56"/>
  <c r="D56"/>
  <c r="C56"/>
  <c r="I91"/>
  <c r="B91"/>
  <c r="G56"/>
  <c r="F56"/>
  <c r="H21"/>
  <c r="G91"/>
  <c r="C91"/>
  <c r="K56"/>
  <c r="B56"/>
  <c r="J21"/>
  <c r="F21"/>
  <c r="E21"/>
  <c r="D21"/>
  <c r="H56"/>
  <c r="I56"/>
  <c r="K21"/>
  <c r="J91"/>
  <c r="I21"/>
  <c r="G21"/>
  <c r="J56"/>
  <c r="C21"/>
  <c r="E126"/>
  <c r="C126"/>
  <c r="F126"/>
  <c r="B126"/>
  <c r="D126"/>
  <c r="I120" i="36"/>
  <c r="D52" i="8" s="1"/>
  <c r="I1833" i="35"/>
  <c r="I1835" s="1"/>
  <c r="I1908"/>
  <c r="I1928" s="1"/>
  <c r="I1904"/>
  <c r="I1910"/>
  <c r="I89" i="8"/>
  <c r="E89"/>
  <c r="K54"/>
  <c r="G54"/>
  <c r="C54"/>
  <c r="I19"/>
  <c r="E19"/>
  <c r="E124"/>
  <c r="B22"/>
  <c r="H89"/>
  <c r="D89"/>
  <c r="J54"/>
  <c r="F54"/>
  <c r="B54"/>
  <c r="H19"/>
  <c r="D19"/>
  <c r="B124"/>
  <c r="B40"/>
  <c r="G89"/>
  <c r="E54"/>
  <c r="G19"/>
  <c r="C124"/>
  <c r="J89"/>
  <c r="F89"/>
  <c r="B89"/>
  <c r="H54"/>
  <c r="D54"/>
  <c r="J19"/>
  <c r="F19"/>
  <c r="D124"/>
  <c r="F124"/>
  <c r="K89"/>
  <c r="C89"/>
  <c r="I54"/>
  <c r="K19"/>
  <c r="C19"/>
  <c r="I1934" i="35"/>
  <c r="K1918"/>
  <c r="I1929"/>
  <c r="B33" i="8" l="1"/>
  <c r="G1608" i="35"/>
  <c r="S1609"/>
  <c r="G1609"/>
  <c r="C64" i="25"/>
  <c r="D64" s="1"/>
  <c r="E64" s="1"/>
  <c r="K40" i="8"/>
  <c r="K22"/>
  <c r="H40"/>
  <c r="H22"/>
  <c r="E22"/>
  <c r="E40"/>
  <c r="D55"/>
  <c r="D75" s="1"/>
  <c r="F22"/>
  <c r="F40"/>
  <c r="G40"/>
  <c r="G22"/>
  <c r="B127"/>
  <c r="B145"/>
  <c r="B35"/>
  <c r="B34"/>
  <c r="C57"/>
  <c r="C75"/>
  <c r="C40"/>
  <c r="C22"/>
  <c r="J22"/>
  <c r="J40"/>
  <c r="D40"/>
  <c r="D22"/>
  <c r="E127"/>
  <c r="E145"/>
  <c r="I1921" i="35"/>
  <c r="I1922"/>
  <c r="J120" i="36"/>
  <c r="E52" i="8" s="1"/>
  <c r="J1833" i="35"/>
  <c r="J1835" s="1"/>
  <c r="B1936"/>
  <c r="K1909"/>
  <c r="K1903"/>
  <c r="K1902"/>
  <c r="K1907"/>
  <c r="F127" i="8"/>
  <c r="F145"/>
  <c r="D145"/>
  <c r="D127"/>
  <c r="C145"/>
  <c r="C127"/>
  <c r="B75"/>
  <c r="B57"/>
  <c r="I22"/>
  <c r="I40"/>
  <c r="J1908" i="35"/>
  <c r="J1928" s="1"/>
  <c r="J1910"/>
  <c r="J1904"/>
  <c r="J1934"/>
  <c r="B1953"/>
  <c r="J1929"/>
  <c r="C139" i="8" l="1"/>
  <c r="D139"/>
  <c r="B139"/>
  <c r="B1920" i="35"/>
  <c r="K6" i="8"/>
  <c r="F139"/>
  <c r="E139"/>
  <c r="G117" i="15"/>
  <c r="G123" s="1"/>
  <c r="S117"/>
  <c r="S123" s="1"/>
  <c r="G1613" i="35"/>
  <c r="G1619" s="1"/>
  <c r="C65" i="25"/>
  <c r="D65" s="1"/>
  <c r="E65" s="1"/>
  <c r="J1921" i="35"/>
  <c r="J1922"/>
  <c r="B69" i="8"/>
  <c r="C1936" i="35"/>
  <c r="B1937"/>
  <c r="B1942"/>
  <c r="B1944"/>
  <c r="B1938"/>
  <c r="D34" i="8"/>
  <c r="C34"/>
  <c r="K34"/>
  <c r="K1908" i="35"/>
  <c r="K1928" s="1"/>
  <c r="K1904"/>
  <c r="K1910"/>
  <c r="F34" i="8"/>
  <c r="E34"/>
  <c r="E55"/>
  <c r="E75" s="1"/>
  <c r="G34"/>
  <c r="D57"/>
  <c r="H34"/>
  <c r="I34"/>
  <c r="K120" i="36"/>
  <c r="F52" i="8" s="1"/>
  <c r="K1833" i="35"/>
  <c r="K1835" s="1"/>
  <c r="J34" i="8"/>
  <c r="C69"/>
  <c r="B1930" i="35"/>
  <c r="B37" i="8"/>
  <c r="B1913" i="35"/>
  <c r="B39" i="8"/>
  <c r="B36"/>
  <c r="B38"/>
  <c r="K1934" i="35"/>
  <c r="C1953"/>
  <c r="K1929"/>
  <c r="H403" l="1"/>
  <c r="S393" s="1"/>
  <c r="M125" i="15"/>
  <c r="G125"/>
  <c r="J152"/>
  <c r="J1649" i="35" s="1"/>
  <c r="M1647" s="1"/>
  <c r="H50" i="3"/>
  <c r="S41" s="1"/>
  <c r="S1608" i="35"/>
  <c r="S1613" s="1"/>
  <c r="S1619" s="1"/>
  <c r="M1621"/>
  <c r="G1621"/>
  <c r="J1648"/>
  <c r="C66" i="25"/>
  <c r="D66" s="1"/>
  <c r="E66" s="1"/>
  <c r="B1921" i="35"/>
  <c r="B1924"/>
  <c r="B1925"/>
  <c r="B1926"/>
  <c r="B1927"/>
  <c r="D69" i="8"/>
  <c r="E57"/>
  <c r="B1943" i="35"/>
  <c r="B1963" s="1"/>
  <c r="B1939"/>
  <c r="B1945"/>
  <c r="F55" i="8"/>
  <c r="F75" s="1"/>
  <c r="K1921" i="35"/>
  <c r="K1922"/>
  <c r="D1936"/>
  <c r="C1937"/>
  <c r="C1942"/>
  <c r="C1944"/>
  <c r="C1938"/>
  <c r="L1833"/>
  <c r="L1835" s="1"/>
  <c r="L120" i="36"/>
  <c r="G52" i="8" s="1"/>
  <c r="B1969" i="35"/>
  <c r="D1953"/>
  <c r="B1964"/>
  <c r="M151" i="15" l="1"/>
  <c r="J155"/>
  <c r="J157" s="1"/>
  <c r="J159" s="1"/>
  <c r="J161" s="1"/>
  <c r="S40" i="3"/>
  <c r="S42" s="1"/>
  <c r="S394" i="35"/>
  <c r="S395" s="1"/>
  <c r="H404"/>
  <c r="J1651"/>
  <c r="J1653" s="1"/>
  <c r="J1655" s="1"/>
  <c r="J1657" s="1"/>
  <c r="J1661" s="1"/>
  <c r="F57" i="8"/>
  <c r="H51" i="3"/>
  <c r="C67" i="25"/>
  <c r="D67" s="1"/>
  <c r="E67" s="1"/>
  <c r="C1945" i="35"/>
  <c r="C1943"/>
  <c r="C1963" s="1"/>
  <c r="C1939"/>
  <c r="D1937"/>
  <c r="D1938"/>
  <c r="E1936"/>
  <c r="D1942"/>
  <c r="D1944"/>
  <c r="E69" i="8"/>
  <c r="M120" i="36"/>
  <c r="H52" i="8" s="1"/>
  <c r="M1833" i="35"/>
  <c r="M1835" s="1"/>
  <c r="G55" i="8"/>
  <c r="G75" s="1"/>
  <c r="B1956" i="35"/>
  <c r="B1957"/>
  <c r="C1969"/>
  <c r="E1953"/>
  <c r="C1964"/>
  <c r="F69" i="8" l="1"/>
  <c r="J165" i="15"/>
  <c r="M163"/>
  <c r="M1659" i="35"/>
  <c r="G57" i="8"/>
  <c r="C68" i="25"/>
  <c r="D68" s="1"/>
  <c r="E68" s="1"/>
  <c r="B29"/>
  <c r="H55" i="8"/>
  <c r="H75" s="1"/>
  <c r="D1943" i="35"/>
  <c r="D1963" s="1"/>
  <c r="D1939"/>
  <c r="D1945"/>
  <c r="N120" i="36"/>
  <c r="I52" i="8" s="1"/>
  <c r="N1833" i="35"/>
  <c r="N1835" s="1"/>
  <c r="E1937"/>
  <c r="F1936"/>
  <c r="E1942"/>
  <c r="E1938"/>
  <c r="E1944"/>
  <c r="C1956"/>
  <c r="C1957"/>
  <c r="D1969"/>
  <c r="F1953"/>
  <c r="D1964"/>
  <c r="G69" i="8" l="1"/>
  <c r="E92" i="15"/>
  <c r="J393" i="35"/>
  <c r="L393" s="1"/>
  <c r="J6" i="7"/>
  <c r="J394" i="35"/>
  <c r="L394" s="1"/>
  <c r="J40" i="3"/>
  <c r="L40" s="1"/>
  <c r="J41"/>
  <c r="L41" s="1"/>
  <c r="C69" i="25"/>
  <c r="D69" s="1"/>
  <c r="E69" s="1"/>
  <c r="G1936" i="35"/>
  <c r="F1937"/>
  <c r="F1944"/>
  <c r="F1938"/>
  <c r="F1942"/>
  <c r="C24" i="8"/>
  <c r="C29" i="25"/>
  <c r="I55" i="8"/>
  <c r="I75" s="1"/>
  <c r="D1956" i="35"/>
  <c r="D1957"/>
  <c r="O120" i="36"/>
  <c r="J52" i="8" s="1"/>
  <c r="O1833" i="35"/>
  <c r="O1835" s="1"/>
  <c r="E1943"/>
  <c r="E1963" s="1"/>
  <c r="E1945"/>
  <c r="E1939"/>
  <c r="H57" i="8"/>
  <c r="E1969" i="35"/>
  <c r="G1953"/>
  <c r="E1964"/>
  <c r="I57" i="8" l="1"/>
  <c r="C70" i="25"/>
  <c r="D70" s="1"/>
  <c r="E70" s="1"/>
  <c r="H1936" i="35"/>
  <c r="G1937"/>
  <c r="G1938"/>
  <c r="G1942"/>
  <c r="G1944"/>
  <c r="H69" i="8"/>
  <c r="C35"/>
  <c r="F1943" i="35"/>
  <c r="F1963" s="1"/>
  <c r="F1945"/>
  <c r="F1939"/>
  <c r="J55" i="8"/>
  <c r="J75" s="1"/>
  <c r="E1956" i="35"/>
  <c r="E1957"/>
  <c r="P120" i="36"/>
  <c r="K52" i="8" s="1"/>
  <c r="P1833" i="35"/>
  <c r="P1835" s="1"/>
  <c r="F1969"/>
  <c r="H1953"/>
  <c r="F1964"/>
  <c r="C1920" l="1"/>
  <c r="C33" i="8"/>
  <c r="I69"/>
  <c r="J57"/>
  <c r="C38"/>
  <c r="C39"/>
  <c r="C71" i="25"/>
  <c r="D71" s="1"/>
  <c r="E71" s="1"/>
  <c r="K55" i="8"/>
  <c r="K75" s="1"/>
  <c r="F1956" i="35"/>
  <c r="F1957"/>
  <c r="G1945"/>
  <c r="G1939"/>
  <c r="G1943"/>
  <c r="G1963" s="1"/>
  <c r="G131" i="36"/>
  <c r="B87" i="8" s="1"/>
  <c r="G1844" i="35"/>
  <c r="G1846" s="1"/>
  <c r="C1930"/>
  <c r="C1913"/>
  <c r="C36" i="8"/>
  <c r="C37"/>
  <c r="H1937" i="35"/>
  <c r="H1944"/>
  <c r="I1936"/>
  <c r="H1938"/>
  <c r="H1942"/>
  <c r="G1969"/>
  <c r="I1953"/>
  <c r="G1964"/>
  <c r="J69" i="8" l="1"/>
  <c r="C72" i="25"/>
  <c r="D72" s="1"/>
  <c r="E72" s="1"/>
  <c r="C1926" i="35"/>
  <c r="C1924"/>
  <c r="C1927"/>
  <c r="C1925"/>
  <c r="H131" i="36"/>
  <c r="C87" i="8" s="1"/>
  <c r="H1844" i="35"/>
  <c r="H1846" s="1"/>
  <c r="K57" i="8"/>
  <c r="H1943" i="35"/>
  <c r="H1963" s="1"/>
  <c r="H1939"/>
  <c r="H1945"/>
  <c r="G1956"/>
  <c r="G1957"/>
  <c r="I1937"/>
  <c r="J1936"/>
  <c r="I1938"/>
  <c r="I1944"/>
  <c r="I1942"/>
  <c r="B90" i="8"/>
  <c r="B110" s="1"/>
  <c r="H1969" i="35"/>
  <c r="J1953"/>
  <c r="H1964"/>
  <c r="B92" i="8" l="1"/>
  <c r="C73" i="25"/>
  <c r="D73" s="1"/>
  <c r="E73" s="1"/>
  <c r="I1943" i="35"/>
  <c r="I1963" s="1"/>
  <c r="I1945"/>
  <c r="I1939"/>
  <c r="C90" i="8"/>
  <c r="C110" s="1"/>
  <c r="I131" i="36"/>
  <c r="D87" i="8" s="1"/>
  <c r="I1844" i="35"/>
  <c r="I1846" s="1"/>
  <c r="K69" i="8"/>
  <c r="K1936" i="35"/>
  <c r="J1937"/>
  <c r="J1942"/>
  <c r="J1944"/>
  <c r="J1938"/>
  <c r="H1956"/>
  <c r="H1957"/>
  <c r="I1969"/>
  <c r="K1953"/>
  <c r="I1964"/>
  <c r="B104" i="8" l="1"/>
  <c r="C92"/>
  <c r="C74" i="25"/>
  <c r="D74" s="1"/>
  <c r="E74" s="1"/>
  <c r="B1971" i="35"/>
  <c r="K1937"/>
  <c r="K1938"/>
  <c r="K1944"/>
  <c r="K1942"/>
  <c r="J1943"/>
  <c r="J1963" s="1"/>
  <c r="J1945"/>
  <c r="J1939"/>
  <c r="D90" i="8"/>
  <c r="D110" s="1"/>
  <c r="I1956" i="35"/>
  <c r="I1957"/>
  <c r="J131" i="36"/>
  <c r="E87" i="8" s="1"/>
  <c r="J1844" i="35"/>
  <c r="J1846" s="1"/>
  <c r="J1969"/>
  <c r="B1988"/>
  <c r="J1964"/>
  <c r="C104" i="8" l="1"/>
  <c r="D92"/>
  <c r="C75" i="25"/>
  <c r="D75" s="1"/>
  <c r="E75" s="1"/>
  <c r="K1945" i="35"/>
  <c r="K1943"/>
  <c r="K1963" s="1"/>
  <c r="K1939"/>
  <c r="C1971"/>
  <c r="B1972"/>
  <c r="B1973"/>
  <c r="B1979"/>
  <c r="B1977"/>
  <c r="K131" i="36"/>
  <c r="F87" i="8" s="1"/>
  <c r="K1844" i="35"/>
  <c r="K1846" s="1"/>
  <c r="E90" i="8"/>
  <c r="E110" s="1"/>
  <c r="J1956" i="35"/>
  <c r="J1957"/>
  <c r="K1969"/>
  <c r="C1988"/>
  <c r="K1964"/>
  <c r="D104" i="8" l="1"/>
  <c r="C76" i="25"/>
  <c r="D76" s="1"/>
  <c r="E76" s="1"/>
  <c r="C1972" i="35"/>
  <c r="D1971"/>
  <c r="C1979"/>
  <c r="C1973"/>
  <c r="C1977"/>
  <c r="K1956"/>
  <c r="K1957"/>
  <c r="L131" i="36"/>
  <c r="G87" i="8" s="1"/>
  <c r="L1844" i="35"/>
  <c r="L1846" s="1"/>
  <c r="E92" i="8"/>
  <c r="F90"/>
  <c r="F110" s="1"/>
  <c r="B1978" i="35"/>
  <c r="B1998" s="1"/>
  <c r="B1980"/>
  <c r="B1974"/>
  <c r="B2004"/>
  <c r="D1988"/>
  <c r="B1999"/>
  <c r="C77" i="25" l="1"/>
  <c r="D77" s="1"/>
  <c r="E77" s="1"/>
  <c r="G90" i="8"/>
  <c r="G110" s="1"/>
  <c r="C1978" i="35"/>
  <c r="C1998" s="1"/>
  <c r="C1980"/>
  <c r="C1974"/>
  <c r="E1971"/>
  <c r="D1972"/>
  <c r="D1977"/>
  <c r="D1979"/>
  <c r="D1973"/>
  <c r="F92" i="8"/>
  <c r="M131" i="36"/>
  <c r="H87" i="8" s="1"/>
  <c r="M1844" i="35"/>
  <c r="M1846" s="1"/>
  <c r="B1991"/>
  <c r="B1992"/>
  <c r="E104" i="8"/>
  <c r="C2004" i="35"/>
  <c r="E1988"/>
  <c r="C1999"/>
  <c r="C78" i="25" l="1"/>
  <c r="D78" s="1"/>
  <c r="E78" s="1"/>
  <c r="E1972" i="35"/>
  <c r="F1971"/>
  <c r="E1979"/>
  <c r="E1977"/>
  <c r="E1973"/>
  <c r="G92" i="8"/>
  <c r="N131" i="36"/>
  <c r="I87" i="8" s="1"/>
  <c r="N1844" i="35"/>
  <c r="N1846" s="1"/>
  <c r="C1991"/>
  <c r="C1992"/>
  <c r="H90" i="8"/>
  <c r="H110" s="1"/>
  <c r="F104"/>
  <c r="D1978" i="35"/>
  <c r="D1998" s="1"/>
  <c r="D1980"/>
  <c r="D1974"/>
  <c r="D2004"/>
  <c r="F1988"/>
  <c r="D1999"/>
  <c r="H92" i="8" l="1"/>
  <c r="D1991" i="35"/>
  <c r="D1992"/>
  <c r="G104" i="8"/>
  <c r="G1971" i="35"/>
  <c r="F1972"/>
  <c r="F1979"/>
  <c r="F1973"/>
  <c r="F1977"/>
  <c r="I90" i="8"/>
  <c r="I110" s="1"/>
  <c r="E1978" i="35"/>
  <c r="E1998" s="1"/>
  <c r="E1980"/>
  <c r="E1974"/>
  <c r="O131" i="36"/>
  <c r="J87" i="8" s="1"/>
  <c r="O1844" i="35"/>
  <c r="O1846" s="1"/>
  <c r="C79" i="25"/>
  <c r="D79" s="1"/>
  <c r="E79" s="1"/>
  <c r="E2004" i="35"/>
  <c r="G1988"/>
  <c r="E1999"/>
  <c r="H104" i="8" l="1"/>
  <c r="F1978" i="35"/>
  <c r="F1998" s="1"/>
  <c r="F1980"/>
  <c r="F1974"/>
  <c r="E1992"/>
  <c r="E1991"/>
  <c r="G1972"/>
  <c r="H1971"/>
  <c r="G1977"/>
  <c r="G1973"/>
  <c r="G1979"/>
  <c r="C80" i="25"/>
  <c r="D80" s="1"/>
  <c r="E80" s="1"/>
  <c r="B30"/>
  <c r="P131" i="36"/>
  <c r="K87" i="8" s="1"/>
  <c r="P1844" i="35"/>
  <c r="P1846" s="1"/>
  <c r="J90" i="8"/>
  <c r="J110" s="1"/>
  <c r="I92"/>
  <c r="F2004" i="35"/>
  <c r="H1988"/>
  <c r="F1999"/>
  <c r="J92" i="8" l="1"/>
  <c r="C81" i="25"/>
  <c r="D81" s="1"/>
  <c r="E81" s="1"/>
  <c r="I1971" i="35"/>
  <c r="H1972"/>
  <c r="H1977"/>
  <c r="H1973"/>
  <c r="H1979"/>
  <c r="I104" i="8"/>
  <c r="K90"/>
  <c r="K110" s="1"/>
  <c r="G1978" i="35"/>
  <c r="G1998" s="1"/>
  <c r="G1980"/>
  <c r="G1974"/>
  <c r="F1991"/>
  <c r="F1992"/>
  <c r="D24" i="8"/>
  <c r="C30" i="25"/>
  <c r="G2004" i="35"/>
  <c r="I1988"/>
  <c r="G1999"/>
  <c r="J104" i="8" l="1"/>
  <c r="D1920" i="35"/>
  <c r="C82" i="25"/>
  <c r="D82" s="1"/>
  <c r="E82" s="1"/>
  <c r="D35" i="8"/>
  <c r="D39"/>
  <c r="G1991" i="35"/>
  <c r="G1992"/>
  <c r="H1978"/>
  <c r="H1998" s="1"/>
  <c r="H1980"/>
  <c r="H1974"/>
  <c r="K92" i="8"/>
  <c r="I1972" i="35"/>
  <c r="J1971"/>
  <c r="I1973"/>
  <c r="I1977"/>
  <c r="I1979"/>
  <c r="H2004"/>
  <c r="J1988"/>
  <c r="H1999"/>
  <c r="D33" i="8" l="1"/>
  <c r="C83" i="25"/>
  <c r="D83" s="1"/>
  <c r="E83" s="1"/>
  <c r="K1971" i="35"/>
  <c r="J1972"/>
  <c r="J1973"/>
  <c r="J1977"/>
  <c r="J1979"/>
  <c r="H1991"/>
  <c r="H1992"/>
  <c r="D1930"/>
  <c r="D1913"/>
  <c r="D36" i="8"/>
  <c r="D38"/>
  <c r="K104"/>
  <c r="I1978" i="35"/>
  <c r="I1998" s="1"/>
  <c r="I1980"/>
  <c r="I1974"/>
  <c r="D37" i="8"/>
  <c r="I2004" i="35"/>
  <c r="K1988"/>
  <c r="I1999"/>
  <c r="C84" i="25" l="1"/>
  <c r="D84" s="1"/>
  <c r="E84" s="1"/>
  <c r="J1978" i="35"/>
  <c r="J1998" s="1"/>
  <c r="J1980"/>
  <c r="J1974"/>
  <c r="D1925"/>
  <c r="D1924"/>
  <c r="D1927"/>
  <c r="D1926"/>
  <c r="K1972"/>
  <c r="B2006"/>
  <c r="K1977"/>
  <c r="K1973"/>
  <c r="K1979"/>
  <c r="I1991"/>
  <c r="I1992"/>
  <c r="J2004"/>
  <c r="B2023"/>
  <c r="J1999"/>
  <c r="C85" i="25" l="1"/>
  <c r="D85" s="1"/>
  <c r="E85" s="1"/>
  <c r="J1991" i="35"/>
  <c r="J1992"/>
  <c r="C2006"/>
  <c r="B2007"/>
  <c r="B2012"/>
  <c r="B2008"/>
  <c r="B2014"/>
  <c r="K1978"/>
  <c r="K1998" s="1"/>
  <c r="K1980"/>
  <c r="K1974"/>
  <c r="K2004"/>
  <c r="C2023"/>
  <c r="K1999"/>
  <c r="C86" i="25" l="1"/>
  <c r="D86" s="1"/>
  <c r="E86" s="1"/>
  <c r="K1991" i="35"/>
  <c r="K1992"/>
  <c r="B2013"/>
  <c r="B2033" s="1"/>
  <c r="B2009"/>
  <c r="B2015"/>
  <c r="D2006"/>
  <c r="C2007"/>
  <c r="C2014"/>
  <c r="C2012"/>
  <c r="C2008"/>
  <c r="B2039"/>
  <c r="D2023"/>
  <c r="B2034"/>
  <c r="C87" i="25" l="1"/>
  <c r="D87" s="1"/>
  <c r="E87" s="1"/>
  <c r="D2007" i="35"/>
  <c r="E2006"/>
  <c r="D2008"/>
  <c r="D2012"/>
  <c r="D2014"/>
  <c r="B2026"/>
  <c r="B2027"/>
  <c r="C2013"/>
  <c r="C2033" s="1"/>
  <c r="C2015"/>
  <c r="C2009"/>
  <c r="C2039"/>
  <c r="F2023"/>
  <c r="E2023"/>
  <c r="C2034"/>
  <c r="C88" i="25" l="1"/>
  <c r="D88" s="1"/>
  <c r="E88" s="1"/>
  <c r="F2006" i="35"/>
  <c r="E2007"/>
  <c r="E2014"/>
  <c r="E2008"/>
  <c r="E2012"/>
  <c r="C2026"/>
  <c r="C2027"/>
  <c r="D2013"/>
  <c r="D2033" s="1"/>
  <c r="D2009"/>
  <c r="D2015"/>
  <c r="D2039"/>
  <c r="D2034"/>
  <c r="C89" i="25" l="1"/>
  <c r="D89" s="1"/>
  <c r="E89" s="1"/>
  <c r="E2013" i="35"/>
  <c r="E2033" s="1"/>
  <c r="E2015"/>
  <c r="E2009"/>
  <c r="D2027"/>
  <c r="D2026"/>
  <c r="F2007"/>
  <c r="F2014"/>
  <c r="F2012"/>
  <c r="F2008"/>
  <c r="E2039"/>
  <c r="F2039"/>
  <c r="E2034"/>
  <c r="F2034"/>
  <c r="F2013" l="1"/>
  <c r="F2033" s="1"/>
  <c r="F2015"/>
  <c r="F2009"/>
  <c r="E2026"/>
  <c r="E2027"/>
  <c r="C90" i="25"/>
  <c r="D90" s="1"/>
  <c r="E90" s="1"/>
  <c r="C91" l="1"/>
  <c r="D91" s="1"/>
  <c r="E91" s="1"/>
  <c r="F2026" i="35"/>
  <c r="F2027"/>
  <c r="C92" i="25" l="1"/>
  <c r="D92" s="1"/>
  <c r="E92" s="1"/>
  <c r="B31"/>
  <c r="C93" l="1"/>
  <c r="D93" s="1"/>
  <c r="E93" s="1"/>
  <c r="E24" i="8"/>
  <c r="C31" i="25"/>
  <c r="E1920" i="35" l="1"/>
  <c r="C94" i="25"/>
  <c r="D94" s="1"/>
  <c r="E94" s="1"/>
  <c r="E35" i="8"/>
  <c r="C95" i="25" l="1"/>
  <c r="D95" s="1"/>
  <c r="E95" s="1"/>
  <c r="E1913" i="35"/>
  <c r="E36" i="8"/>
  <c r="E1930" i="35"/>
  <c r="E37" i="8"/>
  <c r="E38"/>
  <c r="E39"/>
  <c r="E33"/>
  <c r="C96" i="25" l="1"/>
  <c r="D96" s="1"/>
  <c r="E96" s="1"/>
  <c r="E1926" i="35"/>
  <c r="E1925"/>
  <c r="E1924"/>
  <c r="E1927"/>
  <c r="C97" i="25" l="1"/>
  <c r="D97" s="1"/>
  <c r="E97" s="1"/>
  <c r="C98" l="1"/>
  <c r="D98" s="1"/>
  <c r="E98" s="1"/>
  <c r="C99" l="1"/>
  <c r="D99" s="1"/>
  <c r="E99" s="1"/>
  <c r="C100" l="1"/>
  <c r="D100" s="1"/>
  <c r="E100" s="1"/>
  <c r="C101" l="1"/>
  <c r="D101" s="1"/>
  <c r="E101" s="1"/>
  <c r="C102" l="1"/>
  <c r="D102" s="1"/>
  <c r="E102" s="1"/>
  <c r="C103" l="1"/>
  <c r="D103" s="1"/>
  <c r="E103" s="1"/>
  <c r="C104" l="1"/>
  <c r="D104" s="1"/>
  <c r="E104" s="1"/>
  <c r="B32"/>
  <c r="C105" l="1"/>
  <c r="D105" s="1"/>
  <c r="E105" s="1"/>
  <c r="F24" i="8"/>
  <c r="C32" i="25"/>
  <c r="F1920" i="35" l="1"/>
  <c r="F35" i="8"/>
  <c r="C106" i="25"/>
  <c r="D106" s="1"/>
  <c r="E106" s="1"/>
  <c r="F37" i="8" l="1"/>
  <c r="F39"/>
  <c r="C107" i="25"/>
  <c r="D107" s="1"/>
  <c r="E107" s="1"/>
  <c r="F38" i="8"/>
  <c r="F33"/>
  <c r="F1913" i="35"/>
  <c r="F36" i="8"/>
  <c r="F1930" i="35"/>
  <c r="C108" i="25" l="1"/>
  <c r="D108" s="1"/>
  <c r="E108" s="1"/>
  <c r="F1927" i="35"/>
  <c r="F1925"/>
  <c r="F1924"/>
  <c r="F1926"/>
  <c r="C109" i="25" l="1"/>
  <c r="D109" s="1"/>
  <c r="E109" s="1"/>
  <c r="C110" l="1"/>
  <c r="D110" s="1"/>
  <c r="E110" s="1"/>
  <c r="C111" l="1"/>
  <c r="D111" s="1"/>
  <c r="E111" s="1"/>
  <c r="C112" l="1"/>
  <c r="D112" s="1"/>
  <c r="E112" s="1"/>
  <c r="C113" l="1"/>
  <c r="D113" s="1"/>
  <c r="E113" s="1"/>
  <c r="C114" l="1"/>
  <c r="D114" s="1"/>
  <c r="E114" s="1"/>
  <c r="C115" l="1"/>
  <c r="D115" s="1"/>
  <c r="E115" s="1"/>
  <c r="C116" l="1"/>
  <c r="D116" s="1"/>
  <c r="E116" s="1"/>
  <c r="B33"/>
  <c r="C117" l="1"/>
  <c r="D117" s="1"/>
  <c r="E117" s="1"/>
  <c r="G24" i="8"/>
  <c r="C33" i="25"/>
  <c r="G1920" i="35" l="1"/>
  <c r="C118" i="25"/>
  <c r="D118" s="1"/>
  <c r="E118" s="1"/>
  <c r="G35" i="8"/>
  <c r="G38"/>
  <c r="G39" l="1"/>
  <c r="C119" i="25"/>
  <c r="D119" s="1"/>
  <c r="E119" s="1"/>
  <c r="G33" i="8"/>
  <c r="G36"/>
  <c r="G1913" i="35"/>
  <c r="G1930"/>
  <c r="G37" i="8"/>
  <c r="C120" i="25" l="1"/>
  <c r="D120" s="1"/>
  <c r="E120" s="1"/>
  <c r="G1926" i="35"/>
  <c r="G1924"/>
  <c r="G1927"/>
  <c r="G1925"/>
  <c r="C121" i="25" l="1"/>
  <c r="D121" s="1"/>
  <c r="E121" s="1"/>
  <c r="C122" l="1"/>
  <c r="D122" s="1"/>
  <c r="E122" s="1"/>
  <c r="C123" l="1"/>
  <c r="D123" s="1"/>
  <c r="E123" s="1"/>
  <c r="C124" l="1"/>
  <c r="D124" s="1"/>
  <c r="E124" s="1"/>
  <c r="C125" l="1"/>
  <c r="D125" s="1"/>
  <c r="E125" s="1"/>
  <c r="C126" l="1"/>
  <c r="D126" s="1"/>
  <c r="E126" s="1"/>
  <c r="C127" l="1"/>
  <c r="D127" s="1"/>
  <c r="E127" s="1"/>
  <c r="C128" l="1"/>
  <c r="D128" s="1"/>
  <c r="E128" s="1"/>
  <c r="B34"/>
  <c r="C129" l="1"/>
  <c r="D129" s="1"/>
  <c r="E129" s="1"/>
  <c r="H24" i="8"/>
  <c r="C34" i="25"/>
  <c r="H1920" i="35" l="1"/>
  <c r="C130" i="25"/>
  <c r="D130" s="1"/>
  <c r="E130" s="1"/>
  <c r="H35" i="8"/>
  <c r="H38" l="1"/>
  <c r="C131" i="25"/>
  <c r="D131" s="1"/>
  <c r="E131" s="1"/>
  <c r="H1913" i="35"/>
  <c r="H36" i="8"/>
  <c r="H1930" i="35"/>
  <c r="H37" i="8"/>
  <c r="H33"/>
  <c r="H39"/>
  <c r="C132" i="25" l="1"/>
  <c r="D132" s="1"/>
  <c r="E132" s="1"/>
  <c r="H1925" i="35"/>
  <c r="H1927"/>
  <c r="H1926"/>
  <c r="H1924"/>
  <c r="C133" i="25" l="1"/>
  <c r="D133" s="1"/>
  <c r="E133" s="1"/>
  <c r="C134" l="1"/>
  <c r="D134" s="1"/>
  <c r="E134" s="1"/>
  <c r="C135" l="1"/>
  <c r="D135" s="1"/>
  <c r="E135" s="1"/>
  <c r="C136" l="1"/>
  <c r="D136" s="1"/>
  <c r="E136" s="1"/>
  <c r="C137" l="1"/>
  <c r="D137" s="1"/>
  <c r="E137" s="1"/>
  <c r="C138" l="1"/>
  <c r="D138" s="1"/>
  <c r="E138" s="1"/>
  <c r="C139" l="1"/>
  <c r="D139" s="1"/>
  <c r="E139" s="1"/>
  <c r="C140" l="1"/>
  <c r="D140" s="1"/>
  <c r="E140" s="1"/>
  <c r="B35"/>
  <c r="I24" i="8" l="1"/>
  <c r="C35" i="25"/>
  <c r="C141"/>
  <c r="D141" s="1"/>
  <c r="E141" s="1"/>
  <c r="I1920" i="35" l="1"/>
  <c r="C142" i="25"/>
  <c r="D142" s="1"/>
  <c r="E142" s="1"/>
  <c r="I35" i="8"/>
  <c r="C143" i="25" l="1"/>
  <c r="D143" s="1"/>
  <c r="E143" s="1"/>
  <c r="I1913" i="35"/>
  <c r="I36" i="8"/>
  <c r="I1930" i="35"/>
  <c r="I39" i="8"/>
  <c r="I38"/>
  <c r="I37"/>
  <c r="I33"/>
  <c r="I1925" i="35" l="1"/>
  <c r="I1924"/>
  <c r="I1926"/>
  <c r="I1927"/>
  <c r="C144" i="25"/>
  <c r="D144" s="1"/>
  <c r="E144" s="1"/>
  <c r="C145" l="1"/>
  <c r="D145" s="1"/>
  <c r="E145" s="1"/>
  <c r="C146" l="1"/>
  <c r="D146" s="1"/>
  <c r="E146" s="1"/>
  <c r="C147" l="1"/>
  <c r="D147" s="1"/>
  <c r="E147" s="1"/>
  <c r="C148" l="1"/>
  <c r="D148" s="1"/>
  <c r="E148" s="1"/>
  <c r="C149" l="1"/>
  <c r="D149" s="1"/>
  <c r="E149" s="1"/>
  <c r="C150" l="1"/>
  <c r="D150" s="1"/>
  <c r="E150" s="1"/>
  <c r="C151" l="1"/>
  <c r="D151" s="1"/>
  <c r="E151" s="1"/>
  <c r="C152" l="1"/>
  <c r="D152" s="1"/>
  <c r="E152" s="1"/>
  <c r="B36"/>
  <c r="J24" i="8" l="1"/>
  <c r="C36" i="25"/>
  <c r="C153"/>
  <c r="D153" s="1"/>
  <c r="E153" s="1"/>
  <c r="J1920" i="35" l="1"/>
  <c r="C154" i="25"/>
  <c r="D154" s="1"/>
  <c r="E154" s="1"/>
  <c r="J35" i="8"/>
  <c r="J39" l="1"/>
  <c r="C155" i="25"/>
  <c r="D155" s="1"/>
  <c r="E155" s="1"/>
  <c r="J1913" i="35"/>
  <c r="J36" i="8"/>
  <c r="J1930" i="35"/>
  <c r="J37" i="8"/>
  <c r="J33"/>
  <c r="J38"/>
  <c r="C156" i="25" l="1"/>
  <c r="D156" s="1"/>
  <c r="E156" s="1"/>
  <c r="J1925" i="35"/>
  <c r="J1927"/>
  <c r="J1926"/>
  <c r="J1924"/>
  <c r="C157" i="25" l="1"/>
  <c r="D157" s="1"/>
  <c r="E157" s="1"/>
  <c r="C158" l="1"/>
  <c r="D158" s="1"/>
  <c r="E158" s="1"/>
  <c r="C159" l="1"/>
  <c r="D159" s="1"/>
  <c r="E159" s="1"/>
  <c r="C160" l="1"/>
  <c r="D160" s="1"/>
  <c r="E160" s="1"/>
  <c r="C161" l="1"/>
  <c r="D161" s="1"/>
  <c r="E161" s="1"/>
  <c r="C162" l="1"/>
  <c r="D162" s="1"/>
  <c r="E162" s="1"/>
  <c r="C163" l="1"/>
  <c r="D163" s="1"/>
  <c r="E163" s="1"/>
  <c r="C164" l="1"/>
  <c r="D164" s="1"/>
  <c r="E164" s="1"/>
  <c r="B37"/>
  <c r="C165" l="1"/>
  <c r="D165" s="1"/>
  <c r="E165" s="1"/>
  <c r="K24" i="8"/>
  <c r="C37" i="25"/>
  <c r="K1920" i="35" l="1"/>
  <c r="C166" i="25"/>
  <c r="D166" s="1"/>
  <c r="E166" s="1"/>
  <c r="K35" i="8"/>
  <c r="K36" l="1"/>
  <c r="K1913" i="35"/>
  <c r="K1930"/>
  <c r="K38" i="8"/>
  <c r="C167" i="25"/>
  <c r="D167" s="1"/>
  <c r="E167" s="1"/>
  <c r="K33" i="8"/>
  <c r="K37"/>
  <c r="K39"/>
  <c r="C168" i="25" l="1"/>
  <c r="D168" s="1"/>
  <c r="E168" s="1"/>
  <c r="K1925" i="35"/>
  <c r="K1926"/>
  <c r="K1927"/>
  <c r="K1924"/>
  <c r="C169" i="25" l="1"/>
  <c r="D169" s="1"/>
  <c r="E169" s="1"/>
  <c r="C170" l="1"/>
  <c r="D170" s="1"/>
  <c r="E170" s="1"/>
  <c r="C171" l="1"/>
  <c r="D171" s="1"/>
  <c r="E171" s="1"/>
  <c r="C172" l="1"/>
  <c r="D172" s="1"/>
  <c r="E172" s="1"/>
  <c r="C173" l="1"/>
  <c r="D173" s="1"/>
  <c r="E173" s="1"/>
  <c r="C174" l="1"/>
  <c r="D174" s="1"/>
  <c r="E174" s="1"/>
  <c r="C175" l="1"/>
  <c r="D175" s="1"/>
  <c r="E175" s="1"/>
  <c r="C176" l="1"/>
  <c r="D176" s="1"/>
  <c r="E176" s="1"/>
  <c r="B38"/>
  <c r="B59" i="8" l="1"/>
  <c r="C38" i="25"/>
  <c r="C177"/>
  <c r="D177" s="1"/>
  <c r="E177" s="1"/>
  <c r="B1955" i="35" l="1"/>
  <c r="C178" i="25"/>
  <c r="D178" s="1"/>
  <c r="E178" s="1"/>
  <c r="B70" i="8"/>
  <c r="B74"/>
  <c r="C179" i="25" l="1"/>
  <c r="D179" s="1"/>
  <c r="E179" s="1"/>
  <c r="B68" i="8"/>
  <c r="B1948" i="35"/>
  <c r="B71" i="8"/>
  <c r="B1965" i="35"/>
  <c r="B73" i="8"/>
  <c r="B72"/>
  <c r="B1960" i="35" l="1"/>
  <c r="B1962"/>
  <c r="B1961"/>
  <c r="B1959"/>
  <c r="C180" i="25"/>
  <c r="D180" s="1"/>
  <c r="E180" s="1"/>
  <c r="C181" l="1"/>
  <c r="D181" s="1"/>
  <c r="E181" s="1"/>
  <c r="C182" l="1"/>
  <c r="D182" s="1"/>
  <c r="E182" s="1"/>
  <c r="C183" l="1"/>
  <c r="D183" s="1"/>
  <c r="E183" s="1"/>
  <c r="C184" l="1"/>
  <c r="D184" s="1"/>
  <c r="E184" s="1"/>
  <c r="C185" l="1"/>
  <c r="D185" s="1"/>
  <c r="E185" s="1"/>
  <c r="C186" l="1"/>
  <c r="D186" s="1"/>
  <c r="E186" s="1"/>
  <c r="C187" l="1"/>
  <c r="D187" s="1"/>
  <c r="E187" s="1"/>
  <c r="C188" l="1"/>
  <c r="D188" s="1"/>
  <c r="E188" s="1"/>
  <c r="B39"/>
  <c r="C189" l="1"/>
  <c r="D189" s="1"/>
  <c r="E189" s="1"/>
  <c r="C59" i="8"/>
  <c r="C39" i="25"/>
  <c r="C1955" i="35" l="1"/>
  <c r="C190" i="25"/>
  <c r="D190" s="1"/>
  <c r="E190" s="1"/>
  <c r="C70" i="8"/>
  <c r="C1948" i="35" l="1"/>
  <c r="C71" i="8"/>
  <c r="C1965" i="35"/>
  <c r="C74" i="8"/>
  <c r="C73"/>
  <c r="C72"/>
  <c r="C191" i="25"/>
  <c r="D191" s="1"/>
  <c r="E191" s="1"/>
  <c r="C68" i="8"/>
  <c r="C192" i="25" l="1"/>
  <c r="D192" s="1"/>
  <c r="E192" s="1"/>
  <c r="C1960" i="35"/>
  <c r="C1962"/>
  <c r="C1959"/>
  <c r="C1961"/>
  <c r="C193" i="25" l="1"/>
  <c r="D193" s="1"/>
  <c r="E193" s="1"/>
  <c r="C194" l="1"/>
  <c r="D194" s="1"/>
  <c r="E194" s="1"/>
  <c r="C195" l="1"/>
  <c r="D195" s="1"/>
  <c r="E195" s="1"/>
  <c r="C196" l="1"/>
  <c r="D196" s="1"/>
  <c r="E196" s="1"/>
  <c r="C197" l="1"/>
  <c r="D197" s="1"/>
  <c r="E197" s="1"/>
  <c r="C198" l="1"/>
  <c r="D198" s="1"/>
  <c r="E198" s="1"/>
  <c r="C199" l="1"/>
  <c r="D199" s="1"/>
  <c r="E199" s="1"/>
  <c r="C200" l="1"/>
  <c r="D200" s="1"/>
  <c r="E200" s="1"/>
  <c r="B40"/>
  <c r="D59" i="8" l="1"/>
  <c r="C40" i="25"/>
  <c r="C201"/>
  <c r="D201" s="1"/>
  <c r="E201" s="1"/>
  <c r="D1955" i="35" l="1"/>
  <c r="C202" i="25"/>
  <c r="D202" s="1"/>
  <c r="E202" s="1"/>
  <c r="D70" i="8"/>
  <c r="D72" l="1"/>
  <c r="D68"/>
  <c r="C203" i="25"/>
  <c r="D203" s="1"/>
  <c r="E203" s="1"/>
  <c r="D1948" i="35"/>
  <c r="D71" i="8"/>
  <c r="D1965" i="35"/>
  <c r="D74" i="8"/>
  <c r="D73"/>
  <c r="C204" i="25" l="1"/>
  <c r="D204" s="1"/>
  <c r="E204" s="1"/>
  <c r="D1960" i="35"/>
  <c r="D1961"/>
  <c r="D1962"/>
  <c r="D1959"/>
  <c r="C205" i="25" l="1"/>
  <c r="D205" s="1"/>
  <c r="E205" s="1"/>
  <c r="C206" l="1"/>
  <c r="D206" s="1"/>
  <c r="E206" s="1"/>
  <c r="C207" l="1"/>
  <c r="D207" s="1"/>
  <c r="E207" s="1"/>
  <c r="C208" l="1"/>
  <c r="D208" s="1"/>
  <c r="E208" s="1"/>
  <c r="C209" l="1"/>
  <c r="D209" s="1"/>
  <c r="E209" s="1"/>
  <c r="C210" l="1"/>
  <c r="D210" s="1"/>
  <c r="E210" s="1"/>
  <c r="C211" l="1"/>
  <c r="D211" s="1"/>
  <c r="E211" s="1"/>
  <c r="C212" l="1"/>
  <c r="D212" s="1"/>
  <c r="E212" s="1"/>
  <c r="B41"/>
  <c r="E59" i="8" l="1"/>
  <c r="C41" i="25"/>
  <c r="C213"/>
  <c r="D213" s="1"/>
  <c r="E213" s="1"/>
  <c r="E1955" i="35" l="1"/>
  <c r="C214" i="25"/>
  <c r="D214" s="1"/>
  <c r="E214" s="1"/>
  <c r="E70" i="8"/>
  <c r="E72" l="1"/>
  <c r="C215" i="25"/>
  <c r="D215" s="1"/>
  <c r="E215" s="1"/>
  <c r="E68" i="8"/>
  <c r="E1948" i="35"/>
  <c r="E71" i="8"/>
  <c r="E1965" i="35"/>
  <c r="E73" i="8"/>
  <c r="E74"/>
  <c r="E1961" i="35" l="1"/>
  <c r="E1960"/>
  <c r="E1959"/>
  <c r="E1962"/>
  <c r="C216" i="25"/>
  <c r="D216" s="1"/>
  <c r="E216" s="1"/>
  <c r="C217" l="1"/>
  <c r="D217" s="1"/>
  <c r="E217" s="1"/>
  <c r="C218" l="1"/>
  <c r="D218" s="1"/>
  <c r="E218" s="1"/>
  <c r="C219" l="1"/>
  <c r="D219" s="1"/>
  <c r="E219" s="1"/>
  <c r="C220" l="1"/>
  <c r="D220" s="1"/>
  <c r="E220" s="1"/>
  <c r="C221" l="1"/>
  <c r="D221" s="1"/>
  <c r="E221" s="1"/>
  <c r="C222" l="1"/>
  <c r="D222" s="1"/>
  <c r="E222" s="1"/>
  <c r="C223" l="1"/>
  <c r="D223" s="1"/>
  <c r="E223" s="1"/>
  <c r="C224" l="1"/>
  <c r="D224" s="1"/>
  <c r="E224" s="1"/>
  <c r="B42"/>
  <c r="F59" i="8" l="1"/>
  <c r="C42" i="25"/>
  <c r="C225"/>
  <c r="D225" s="1"/>
  <c r="E225" s="1"/>
  <c r="F1955" i="35" l="1"/>
  <c r="C226" i="25"/>
  <c r="D226" s="1"/>
  <c r="E226" s="1"/>
  <c r="F70" i="8"/>
  <c r="C227" i="25" l="1"/>
  <c r="D227" s="1"/>
  <c r="E227" s="1"/>
  <c r="F1948" i="35"/>
  <c r="F71" i="8"/>
  <c r="F1965" i="35"/>
  <c r="F68" i="8"/>
  <c r="F72"/>
  <c r="F73"/>
  <c r="F74"/>
  <c r="C228" i="25" l="1"/>
  <c r="D228" s="1"/>
  <c r="E228" s="1"/>
  <c r="F1961" i="35"/>
  <c r="F1960"/>
  <c r="F1962"/>
  <c r="F1959"/>
  <c r="C229" i="25" l="1"/>
  <c r="D229" s="1"/>
  <c r="E229" s="1"/>
  <c r="C230" l="1"/>
  <c r="D230" s="1"/>
  <c r="E230" s="1"/>
  <c r="C231" l="1"/>
  <c r="D231" s="1"/>
  <c r="E231" s="1"/>
  <c r="C232" l="1"/>
  <c r="D232" s="1"/>
  <c r="E232" s="1"/>
  <c r="C233" l="1"/>
  <c r="D233" s="1"/>
  <c r="E233" s="1"/>
  <c r="C234" l="1"/>
  <c r="D234" s="1"/>
  <c r="E234" s="1"/>
  <c r="C235" l="1"/>
  <c r="D235" s="1"/>
  <c r="E235" s="1"/>
  <c r="C236" l="1"/>
  <c r="D236" s="1"/>
  <c r="E236" s="1"/>
  <c r="B43"/>
  <c r="C237" l="1"/>
  <c r="D237" s="1"/>
  <c r="E237" s="1"/>
  <c r="G59" i="8"/>
  <c r="C43" i="25"/>
  <c r="G1955" i="35" l="1"/>
  <c r="C238" i="25"/>
  <c r="D238" s="1"/>
  <c r="E238" s="1"/>
  <c r="G70" i="8"/>
  <c r="G73"/>
  <c r="G68" l="1"/>
  <c r="G1948" i="35"/>
  <c r="G71" i="8"/>
  <c r="G1965" i="35"/>
  <c r="C239" i="25"/>
  <c r="D239" s="1"/>
  <c r="E239" s="1"/>
  <c r="G72" i="8"/>
  <c r="G74"/>
  <c r="C240" i="25" l="1"/>
  <c r="D240" s="1"/>
  <c r="E240" s="1"/>
  <c r="G1961" i="35"/>
  <c r="G1960"/>
  <c r="G1962"/>
  <c r="G1959"/>
  <c r="C241" i="25" l="1"/>
  <c r="D241" s="1"/>
  <c r="E241" s="1"/>
  <c r="C242" l="1"/>
  <c r="D242" s="1"/>
  <c r="E242" s="1"/>
  <c r="C243" l="1"/>
  <c r="D243" s="1"/>
  <c r="E243" s="1"/>
  <c r="C244" l="1"/>
  <c r="D244" s="1"/>
  <c r="E244" s="1"/>
  <c r="C245" l="1"/>
  <c r="D245" s="1"/>
  <c r="E245" s="1"/>
  <c r="C246" l="1"/>
  <c r="D246" s="1"/>
  <c r="E246" s="1"/>
  <c r="C247" l="1"/>
  <c r="D247" s="1"/>
  <c r="E247" s="1"/>
  <c r="C248" l="1"/>
  <c r="D248" s="1"/>
  <c r="E248" s="1"/>
  <c r="B44"/>
  <c r="H59" i="8" l="1"/>
  <c r="C44" i="25"/>
  <c r="C249"/>
  <c r="D249" s="1"/>
  <c r="E249" s="1"/>
  <c r="H1955" i="35" l="1"/>
  <c r="C250" i="25"/>
  <c r="D250" s="1"/>
  <c r="E250" s="1"/>
  <c r="H70" i="8"/>
  <c r="H68" l="1"/>
  <c r="C251" i="25"/>
  <c r="D251" s="1"/>
  <c r="E251" s="1"/>
  <c r="H1948" i="35"/>
  <c r="H71" i="8"/>
  <c r="H1965" i="35"/>
  <c r="H72" i="8"/>
  <c r="H73"/>
  <c r="H74"/>
  <c r="C252" i="25" l="1"/>
  <c r="D252" s="1"/>
  <c r="E252" s="1"/>
  <c r="H1960" i="35"/>
  <c r="H1961"/>
  <c r="H1959"/>
  <c r="H1962"/>
  <c r="C253" i="25" l="1"/>
  <c r="D253" s="1"/>
  <c r="E253" s="1"/>
  <c r="C254" l="1"/>
  <c r="D254" s="1"/>
  <c r="E254" s="1"/>
  <c r="C255" l="1"/>
  <c r="D255" s="1"/>
  <c r="E255" s="1"/>
  <c r="C256" l="1"/>
  <c r="D256" s="1"/>
  <c r="E256" s="1"/>
  <c r="C257" l="1"/>
  <c r="D257" s="1"/>
  <c r="E257" s="1"/>
  <c r="C258" l="1"/>
  <c r="D258" s="1"/>
  <c r="E258" s="1"/>
  <c r="C259" l="1"/>
  <c r="D259" s="1"/>
  <c r="E259" s="1"/>
  <c r="C260" l="1"/>
  <c r="D260" s="1"/>
  <c r="E260" s="1"/>
  <c r="B45"/>
  <c r="C261" l="1"/>
  <c r="D261" s="1"/>
  <c r="E261" s="1"/>
  <c r="I59" i="8"/>
  <c r="C45" i="25"/>
  <c r="I73" i="8" l="1"/>
  <c r="C262" i="25"/>
  <c r="D262" s="1"/>
  <c r="E262" s="1"/>
  <c r="I70" i="8"/>
  <c r="I1955" i="35" l="1"/>
  <c r="C263" i="25"/>
  <c r="D263" s="1"/>
  <c r="E263" s="1"/>
  <c r="I72" i="8"/>
  <c r="I1948" i="35"/>
  <c r="I71" i="8"/>
  <c r="I1965" i="35"/>
  <c r="I74" i="8"/>
  <c r="I68" l="1"/>
  <c r="C264" i="25"/>
  <c r="D264" s="1"/>
  <c r="E264" s="1"/>
  <c r="I1961" i="35"/>
  <c r="I1959"/>
  <c r="I1960"/>
  <c r="I1962"/>
  <c r="C265" i="25" l="1"/>
  <c r="D265" s="1"/>
  <c r="E265" s="1"/>
  <c r="C266" l="1"/>
  <c r="D266" s="1"/>
  <c r="E266" s="1"/>
  <c r="C267" l="1"/>
  <c r="D267" s="1"/>
  <c r="E267" s="1"/>
  <c r="C268" l="1"/>
  <c r="D268" s="1"/>
  <c r="E268" s="1"/>
  <c r="C269" l="1"/>
  <c r="D269" s="1"/>
  <c r="E269" s="1"/>
  <c r="C270" l="1"/>
  <c r="D270" s="1"/>
  <c r="E270" s="1"/>
  <c r="C271" l="1"/>
  <c r="D271" s="1"/>
  <c r="E271" s="1"/>
  <c r="C272" l="1"/>
  <c r="D272" s="1"/>
  <c r="E272" s="1"/>
  <c r="B46"/>
  <c r="J59" i="8" l="1"/>
  <c r="C46" i="25"/>
  <c r="C273"/>
  <c r="D273" s="1"/>
  <c r="E273" s="1"/>
  <c r="J1955" i="35" l="1"/>
  <c r="C274" i="25"/>
  <c r="D274" s="1"/>
  <c r="E274" s="1"/>
  <c r="J70" i="8"/>
  <c r="J74" l="1"/>
  <c r="J68"/>
  <c r="C275" i="25"/>
  <c r="D275" s="1"/>
  <c r="E275" s="1"/>
  <c r="J1948" i="35"/>
  <c r="J71" i="8"/>
  <c r="J1965" i="35"/>
  <c r="J72" i="8"/>
  <c r="J73"/>
  <c r="J1959" i="35" l="1"/>
  <c r="J1962"/>
  <c r="J1961"/>
  <c r="J1960"/>
  <c r="C276" i="25"/>
  <c r="D276" s="1"/>
  <c r="E276" s="1"/>
  <c r="C277" l="1"/>
  <c r="D277" s="1"/>
  <c r="E277" s="1"/>
  <c r="C278" l="1"/>
  <c r="D278" s="1"/>
  <c r="E278" s="1"/>
  <c r="C279" l="1"/>
  <c r="D279" s="1"/>
  <c r="E279" s="1"/>
  <c r="C280" l="1"/>
  <c r="D280" s="1"/>
  <c r="E280" s="1"/>
  <c r="C281" l="1"/>
  <c r="D281" s="1"/>
  <c r="E281" s="1"/>
  <c r="C282" l="1"/>
  <c r="D282" s="1"/>
  <c r="E282" s="1"/>
  <c r="C283" l="1"/>
  <c r="D283" s="1"/>
  <c r="E283"/>
  <c r="C284" l="1"/>
  <c r="D284" s="1"/>
  <c r="E284" s="1"/>
  <c r="B47"/>
  <c r="C285" l="1"/>
  <c r="D285" s="1"/>
  <c r="E285" s="1"/>
  <c r="K59" i="8"/>
  <c r="C47" i="25"/>
  <c r="K1955" i="35" l="1"/>
  <c r="C286" i="25"/>
  <c r="D286" s="1"/>
  <c r="E286" s="1"/>
  <c r="K70" i="8"/>
  <c r="K73" l="1"/>
  <c r="K68"/>
  <c r="C287" i="25"/>
  <c r="D287" s="1"/>
  <c r="E287" s="1"/>
  <c r="K1948" i="35"/>
  <c r="K71" i="8"/>
  <c r="K1965" i="35"/>
  <c r="K74" i="8"/>
  <c r="K72"/>
  <c r="C288" i="25" l="1"/>
  <c r="D288" s="1"/>
  <c r="E288" s="1"/>
  <c r="K1960" i="35"/>
  <c r="K1961"/>
  <c r="K1959"/>
  <c r="K1962"/>
  <c r="C289" i="25" l="1"/>
  <c r="D289" s="1"/>
  <c r="E289" s="1"/>
  <c r="C290" l="1"/>
  <c r="D290" s="1"/>
  <c r="E290" s="1"/>
  <c r="C291" l="1"/>
  <c r="D291" s="1"/>
  <c r="E291" s="1"/>
  <c r="C292" l="1"/>
  <c r="D292" s="1"/>
  <c r="E292" s="1"/>
  <c r="C293" l="1"/>
  <c r="D293" s="1"/>
  <c r="E293" s="1"/>
  <c r="C294" l="1"/>
  <c r="D294" s="1"/>
  <c r="E294" s="1"/>
  <c r="C295" l="1"/>
  <c r="D295" s="1"/>
  <c r="E295" s="1"/>
  <c r="C296" l="1"/>
  <c r="D296" s="1"/>
  <c r="E296" s="1"/>
  <c r="E28"/>
  <c r="B94" i="8" l="1"/>
  <c r="F28" i="25"/>
  <c r="C297"/>
  <c r="D297" s="1"/>
  <c r="E297" s="1"/>
  <c r="B1990" i="35" l="1"/>
  <c r="C298" i="25"/>
  <c r="D298" s="1"/>
  <c r="E298" s="1"/>
  <c r="B105" i="8"/>
  <c r="B107" l="1"/>
  <c r="B103"/>
  <c r="C299" i="25"/>
  <c r="D299" s="1"/>
  <c r="E299" s="1"/>
  <c r="B1983" i="35"/>
  <c r="B106" i="8"/>
  <c r="B2000" i="35"/>
  <c r="B109" i="8"/>
  <c r="B108"/>
  <c r="B1997" i="35" l="1"/>
  <c r="B1995"/>
  <c r="B1996"/>
  <c r="B1994"/>
  <c r="C300" i="25"/>
  <c r="D300" s="1"/>
  <c r="E300" s="1"/>
  <c r="C301" l="1"/>
  <c r="D301" s="1"/>
  <c r="E301" s="1"/>
  <c r="C302" l="1"/>
  <c r="D302" s="1"/>
  <c r="E302" s="1"/>
  <c r="C303" l="1"/>
  <c r="D303" s="1"/>
  <c r="E303" s="1"/>
  <c r="C304" l="1"/>
  <c r="D304" s="1"/>
  <c r="E304" s="1"/>
  <c r="C305" l="1"/>
  <c r="D305" s="1"/>
  <c r="E305" s="1"/>
  <c r="C306" l="1"/>
  <c r="D306" s="1"/>
  <c r="E306" s="1"/>
  <c r="C307" l="1"/>
  <c r="D307" s="1"/>
  <c r="E307" s="1"/>
  <c r="E29" l="1"/>
  <c r="C308"/>
  <c r="D308" s="1"/>
  <c r="E308" s="1"/>
  <c r="C309" l="1"/>
  <c r="D309" s="1"/>
  <c r="E309" s="1"/>
  <c r="C94" i="8"/>
  <c r="F29" i="25"/>
  <c r="C1990" i="35" l="1"/>
  <c r="C310" i="25"/>
  <c r="D310" s="1"/>
  <c r="E310" s="1"/>
  <c r="C105" i="8"/>
  <c r="C103" l="1"/>
  <c r="C311" i="25"/>
  <c r="D311" s="1"/>
  <c r="E311" s="1"/>
  <c r="C1983" i="35"/>
  <c r="C106" i="8"/>
  <c r="C2000" i="35"/>
  <c r="C109" i="8"/>
  <c r="C108"/>
  <c r="C107"/>
  <c r="C312" i="25" l="1"/>
  <c r="D312" s="1"/>
  <c r="E312" s="1"/>
  <c r="C1997" i="35"/>
  <c r="C1994"/>
  <c r="C1996"/>
  <c r="C1995"/>
  <c r="C313" i="25" l="1"/>
  <c r="D313" s="1"/>
  <c r="E313" s="1"/>
  <c r="C314" l="1"/>
  <c r="D314" s="1"/>
  <c r="E314" s="1"/>
  <c r="C315" l="1"/>
  <c r="D315" s="1"/>
  <c r="E315" s="1"/>
  <c r="C316" l="1"/>
  <c r="D316" s="1"/>
  <c r="E316" s="1"/>
  <c r="C317" l="1"/>
  <c r="D317" s="1"/>
  <c r="E317" s="1"/>
  <c r="C318" l="1"/>
  <c r="D318" s="1"/>
  <c r="E318" s="1"/>
  <c r="C319" l="1"/>
  <c r="D319" s="1"/>
  <c r="E319" s="1"/>
  <c r="C320" l="1"/>
  <c r="D320" s="1"/>
  <c r="E320" s="1"/>
  <c r="E30"/>
  <c r="C321" l="1"/>
  <c r="D321" s="1"/>
  <c r="E321" s="1"/>
  <c r="D94" i="8"/>
  <c r="F30" i="25"/>
  <c r="D1990" i="35" l="1"/>
  <c r="C322" i="25"/>
  <c r="D322" s="1"/>
  <c r="E322" s="1"/>
  <c r="D105" i="8"/>
  <c r="C323" i="25" l="1"/>
  <c r="D323" s="1"/>
  <c r="E323" s="1"/>
  <c r="D1983" i="35"/>
  <c r="D106" i="8"/>
  <c r="D2000" i="35"/>
  <c r="D103" i="8"/>
  <c r="D107"/>
  <c r="D108"/>
  <c r="D109"/>
  <c r="C324" i="25" l="1"/>
  <c r="D324" s="1"/>
  <c r="E324" s="1"/>
  <c r="D1995" i="35"/>
  <c r="D1994"/>
  <c r="D1997"/>
  <c r="D1996"/>
  <c r="C325" i="25" l="1"/>
  <c r="D325" s="1"/>
  <c r="E325" s="1"/>
  <c r="C326" l="1"/>
  <c r="D326" s="1"/>
  <c r="E326" s="1"/>
  <c r="C327" l="1"/>
  <c r="D327" s="1"/>
  <c r="E327" s="1"/>
  <c r="C328" l="1"/>
  <c r="D328" s="1"/>
  <c r="E328" s="1"/>
  <c r="C329" l="1"/>
  <c r="D329" s="1"/>
  <c r="E329" s="1"/>
  <c r="C330" l="1"/>
  <c r="D330" s="1"/>
  <c r="E330" s="1"/>
  <c r="C331" l="1"/>
  <c r="D331" s="1"/>
  <c r="E331" s="1"/>
  <c r="C332" l="1"/>
  <c r="D332" s="1"/>
  <c r="E332" s="1"/>
  <c r="E31"/>
  <c r="E94" i="8" l="1"/>
  <c r="F31" i="25"/>
  <c r="C333"/>
  <c r="D333" s="1"/>
  <c r="E333" s="1"/>
  <c r="C334" l="1"/>
  <c r="D334" s="1"/>
  <c r="E334" s="1"/>
  <c r="E105" i="8"/>
  <c r="E1990" i="35" l="1"/>
  <c r="C335" i="25"/>
  <c r="D335" s="1"/>
  <c r="E335" s="1"/>
  <c r="E1983" i="35"/>
  <c r="E106" i="8"/>
  <c r="E2000" i="35"/>
  <c r="E108" i="8"/>
  <c r="E109"/>
  <c r="E107"/>
  <c r="E103" l="1"/>
  <c r="C336" i="25"/>
  <c r="D336" s="1"/>
  <c r="E336" s="1"/>
  <c r="E1997" i="35"/>
  <c r="E1994"/>
  <c r="E1996"/>
  <c r="E1995"/>
  <c r="C337" i="25" l="1"/>
  <c r="D337" s="1"/>
  <c r="E337" s="1"/>
  <c r="C338" l="1"/>
  <c r="D338" s="1"/>
  <c r="E338" s="1"/>
  <c r="C339" l="1"/>
  <c r="D339" s="1"/>
  <c r="E339" s="1"/>
  <c r="C340" l="1"/>
  <c r="D340" s="1"/>
  <c r="E340" s="1"/>
  <c r="C341" l="1"/>
  <c r="D341" s="1"/>
  <c r="E341" s="1"/>
  <c r="C342" l="1"/>
  <c r="D342" s="1"/>
  <c r="E342" s="1"/>
  <c r="C343" l="1"/>
  <c r="D343" s="1"/>
  <c r="E343" s="1"/>
  <c r="E32" l="1"/>
  <c r="C344"/>
  <c r="D344" s="1"/>
  <c r="E344" s="1"/>
  <c r="C345" l="1"/>
  <c r="D345" s="1"/>
  <c r="E345" s="1"/>
  <c r="F94" i="8"/>
  <c r="F32" i="25"/>
  <c r="F1990" i="35" l="1"/>
  <c r="F105" i="8"/>
  <c r="C346" i="25"/>
  <c r="D346" s="1"/>
  <c r="E346" s="1"/>
  <c r="F109" i="8" l="1"/>
  <c r="F103"/>
  <c r="F107"/>
  <c r="C347" i="25"/>
  <c r="D347" s="1"/>
  <c r="E347" s="1"/>
  <c r="F106" i="8"/>
  <c r="F1983" i="35"/>
  <c r="F2000"/>
  <c r="F108" i="8"/>
  <c r="C348" i="25" l="1"/>
  <c r="D348" s="1"/>
  <c r="E348" s="1"/>
  <c r="F1997" i="35"/>
  <c r="F1994"/>
  <c r="F1995"/>
  <c r="F1996"/>
  <c r="C349" i="25" l="1"/>
  <c r="D349" s="1"/>
  <c r="E349" s="1"/>
  <c r="C350" l="1"/>
  <c r="D350" s="1"/>
  <c r="E350" s="1"/>
  <c r="C351" l="1"/>
  <c r="D351" s="1"/>
  <c r="E351" s="1"/>
  <c r="C352" l="1"/>
  <c r="D352" s="1"/>
  <c r="E352" s="1"/>
  <c r="C353" l="1"/>
  <c r="D353" s="1"/>
  <c r="E353" s="1"/>
  <c r="C354" l="1"/>
  <c r="D354" s="1"/>
  <c r="E354" s="1"/>
  <c r="C355" l="1"/>
  <c r="D355" s="1"/>
  <c r="E355" s="1"/>
  <c r="C356" l="1"/>
  <c r="D356" s="1"/>
  <c r="E356" s="1"/>
  <c r="E33"/>
  <c r="C357" l="1"/>
  <c r="D357" s="1"/>
  <c r="E357" s="1"/>
  <c r="G94" i="8"/>
  <c r="F33" i="25"/>
  <c r="G1990" i="35" l="1"/>
  <c r="C358" i="25"/>
  <c r="D358" s="1"/>
  <c r="E358" s="1"/>
  <c r="G105" i="8"/>
  <c r="G108" l="1"/>
  <c r="C359" i="25"/>
  <c r="D359" s="1"/>
  <c r="E359" s="1"/>
  <c r="G107" i="8"/>
  <c r="G103"/>
  <c r="G1983" i="35"/>
  <c r="G106" i="8"/>
  <c r="G2000" i="35"/>
  <c r="G109" i="8"/>
  <c r="C360" i="25" l="1"/>
  <c r="D360" s="1"/>
  <c r="E360" s="1"/>
  <c r="G1995" i="35"/>
  <c r="G1997"/>
  <c r="G1996"/>
  <c r="G1994"/>
  <c r="C361" i="25" l="1"/>
  <c r="D361" s="1"/>
  <c r="E361" s="1"/>
  <c r="C362" l="1"/>
  <c r="D362" s="1"/>
  <c r="E362" s="1"/>
  <c r="C363" l="1"/>
  <c r="D363" s="1"/>
  <c r="E363" s="1"/>
  <c r="C364" l="1"/>
  <c r="D364" s="1"/>
  <c r="E364" s="1"/>
  <c r="C365" l="1"/>
  <c r="D365" s="1"/>
  <c r="E365" s="1"/>
  <c r="C366" l="1"/>
  <c r="D366" s="1"/>
  <c r="E366" s="1"/>
  <c r="C367" l="1"/>
  <c r="D367" s="1"/>
  <c r="E367" s="1"/>
  <c r="E34" l="1"/>
  <c r="C368"/>
  <c r="D368" s="1"/>
  <c r="E368" s="1"/>
  <c r="C369" l="1"/>
  <c r="D369" s="1"/>
  <c r="E369" s="1"/>
  <c r="H94" i="8"/>
  <c r="F34" i="25"/>
  <c r="H1990" i="35" l="1"/>
  <c r="C370" i="25"/>
  <c r="D370" s="1"/>
  <c r="E370" s="1"/>
  <c r="H105" i="8"/>
  <c r="C371" i="25" l="1"/>
  <c r="D371" s="1"/>
  <c r="E371" s="1"/>
  <c r="H1983" i="35"/>
  <c r="H106" i="8"/>
  <c r="H2000" i="35"/>
  <c r="H107" i="8"/>
  <c r="H109"/>
  <c r="H103"/>
  <c r="H108"/>
  <c r="H1995" i="35" l="1"/>
  <c r="H1997"/>
  <c r="H1996"/>
  <c r="H1994"/>
  <c r="C372" i="25"/>
  <c r="D372" s="1"/>
  <c r="E372" s="1"/>
  <c r="C373" l="1"/>
  <c r="D373" s="1"/>
  <c r="E373" s="1"/>
  <c r="C374" l="1"/>
  <c r="D374" s="1"/>
  <c r="E374" s="1"/>
  <c r="C375" l="1"/>
  <c r="D375" s="1"/>
  <c r="E375" s="1"/>
  <c r="C376" l="1"/>
  <c r="D376" s="1"/>
  <c r="E376" s="1"/>
  <c r="C377" l="1"/>
  <c r="D377" s="1"/>
  <c r="E377" s="1"/>
  <c r="C378" l="1"/>
  <c r="D378" s="1"/>
  <c r="E378" s="1"/>
  <c r="C379" l="1"/>
  <c r="D379" s="1"/>
  <c r="E379" s="1"/>
  <c r="E35" l="1"/>
  <c r="C380"/>
  <c r="D380" s="1"/>
  <c r="E380" s="1"/>
  <c r="C381" l="1"/>
  <c r="D381" s="1"/>
  <c r="E381" s="1"/>
  <c r="I94" i="8"/>
  <c r="F35" i="25"/>
  <c r="I109" i="8" l="1"/>
  <c r="I105"/>
  <c r="C382" i="25"/>
  <c r="D382" s="1"/>
  <c r="E382" s="1"/>
  <c r="I1990" i="35" l="1"/>
  <c r="I107" i="8"/>
  <c r="I1983" i="35"/>
  <c r="I106" i="8"/>
  <c r="I2000" i="35"/>
  <c r="I108" i="8"/>
  <c r="C383" i="25"/>
  <c r="D383" s="1"/>
  <c r="E383" s="1"/>
  <c r="I103" i="8" l="1"/>
  <c r="C384" i="25"/>
  <c r="D384" s="1"/>
  <c r="E384" s="1"/>
  <c r="I1996" i="35"/>
  <c r="I1994"/>
  <c r="I1997"/>
  <c r="I1995"/>
  <c r="C385" i="25" l="1"/>
  <c r="D385" s="1"/>
  <c r="E385" s="1"/>
  <c r="C386" l="1"/>
  <c r="D386" s="1"/>
  <c r="E386" s="1"/>
  <c r="C387" l="1"/>
  <c r="D387" s="1"/>
  <c r="E387" s="1"/>
  <c r="C388" l="1"/>
  <c r="D388" s="1"/>
  <c r="E388" s="1"/>
  <c r="C389" l="1"/>
  <c r="D389" s="1"/>
  <c r="E389" s="1"/>
  <c r="C390" l="1"/>
  <c r="D390" s="1"/>
  <c r="E390" s="1"/>
  <c r="C391" l="1"/>
  <c r="D391" s="1"/>
  <c r="E391" s="1"/>
  <c r="C392" l="1"/>
  <c r="D392" s="1"/>
  <c r="E392" s="1"/>
  <c r="E36"/>
  <c r="C393" l="1"/>
  <c r="D393" s="1"/>
  <c r="E393" s="1"/>
  <c r="J94" i="8"/>
  <c r="F36" i="25"/>
  <c r="J1990" i="35" l="1"/>
  <c r="C394" i="25"/>
  <c r="D394" s="1"/>
  <c r="E394" s="1"/>
  <c r="J105" i="8"/>
  <c r="J109" l="1"/>
  <c r="C395" i="25"/>
  <c r="D395" s="1"/>
  <c r="E395" s="1"/>
  <c r="J103" i="8"/>
  <c r="J1983" i="35"/>
  <c r="J106" i="8"/>
  <c r="J2000" i="35"/>
  <c r="J107" i="8"/>
  <c r="J108"/>
  <c r="C396" i="25" l="1"/>
  <c r="D396" s="1"/>
  <c r="E396" s="1"/>
  <c r="J1995" i="35"/>
  <c r="J1994"/>
  <c r="J1997"/>
  <c r="J1996"/>
  <c r="C397" i="25" l="1"/>
  <c r="D397" s="1"/>
  <c r="E397" s="1"/>
  <c r="C398" l="1"/>
  <c r="D398" s="1"/>
  <c r="E398" s="1"/>
  <c r="C399" l="1"/>
  <c r="D399" s="1"/>
  <c r="E399" s="1"/>
  <c r="C400" l="1"/>
  <c r="D400" s="1"/>
  <c r="E400" s="1"/>
  <c r="C401" l="1"/>
  <c r="D401" s="1"/>
  <c r="E401" s="1"/>
  <c r="C402" l="1"/>
  <c r="D402" s="1"/>
  <c r="E402" s="1"/>
  <c r="C403" l="1"/>
  <c r="D403" s="1"/>
  <c r="E403" s="1"/>
  <c r="E37" l="1"/>
  <c r="C404"/>
  <c r="D404" s="1"/>
  <c r="E404" s="1"/>
  <c r="C405" l="1"/>
  <c r="D405" s="1"/>
  <c r="E405" s="1"/>
  <c r="K94" i="8"/>
  <c r="F37" i="25"/>
  <c r="K1990" i="35" l="1"/>
  <c r="C406" i="25"/>
  <c r="D406" s="1"/>
  <c r="E406" s="1"/>
  <c r="K105" i="8"/>
  <c r="K109" l="1"/>
  <c r="C407" i="25"/>
  <c r="D407" s="1"/>
  <c r="E407" s="1"/>
  <c r="K107" i="8"/>
  <c r="K106"/>
  <c r="K1983" i="35"/>
  <c r="K103" i="8"/>
  <c r="K108"/>
  <c r="K2000" i="35" l="1"/>
  <c r="C408" i="25"/>
  <c r="D408" s="1"/>
  <c r="E408" s="1"/>
  <c r="K1994" i="35"/>
  <c r="K1997"/>
  <c r="K1996"/>
  <c r="K1995"/>
  <c r="C409" i="25" l="1"/>
  <c r="D409" s="1"/>
  <c r="E409" s="1"/>
  <c r="C410" l="1"/>
  <c r="D410" s="1"/>
  <c r="E410" s="1"/>
  <c r="C411" l="1"/>
  <c r="D411" s="1"/>
  <c r="E411" s="1"/>
  <c r="C412" l="1"/>
  <c r="D412" s="1"/>
  <c r="E412" s="1"/>
  <c r="C413" l="1"/>
  <c r="D413" s="1"/>
  <c r="E413" s="1"/>
  <c r="C414" l="1"/>
  <c r="D414" s="1"/>
  <c r="E414" s="1"/>
  <c r="C415" l="1"/>
  <c r="D415" s="1"/>
  <c r="E415" s="1"/>
  <c r="C416" l="1"/>
  <c r="D416" s="1"/>
  <c r="E416" s="1"/>
  <c r="E38"/>
  <c r="C417" l="1"/>
  <c r="D417" s="1"/>
  <c r="E417" s="1"/>
  <c r="B129" i="8"/>
  <c r="F38" i="25"/>
  <c r="C418" l="1"/>
  <c r="D418" s="1"/>
  <c r="E418" s="1"/>
  <c r="B143" i="8"/>
  <c r="B140"/>
  <c r="B142" l="1"/>
  <c r="B141"/>
  <c r="B2025" i="35"/>
  <c r="B138" i="8"/>
  <c r="B144"/>
  <c r="B2018" i="35"/>
  <c r="B2035"/>
  <c r="C419" i="25"/>
  <c r="D419" s="1"/>
  <c r="E419" s="1"/>
  <c r="B2030" i="35" l="1"/>
  <c r="B2032"/>
  <c r="B2029"/>
  <c r="B2031"/>
  <c r="C420" i="25"/>
  <c r="D420" s="1"/>
  <c r="E420" s="1"/>
  <c r="C421" l="1"/>
  <c r="D421" s="1"/>
  <c r="E421" s="1"/>
  <c r="C422" l="1"/>
  <c r="D422" s="1"/>
  <c r="E422" s="1"/>
  <c r="C423" l="1"/>
  <c r="D423" s="1"/>
  <c r="E423" s="1"/>
  <c r="C424" l="1"/>
  <c r="D424" s="1"/>
  <c r="E424" s="1"/>
  <c r="C425" l="1"/>
  <c r="D425" s="1"/>
  <c r="E425" s="1"/>
  <c r="C426" l="1"/>
  <c r="D426" s="1"/>
  <c r="E426" s="1"/>
  <c r="C427" l="1"/>
  <c r="D427" s="1"/>
  <c r="E427" s="1"/>
  <c r="C428" l="1"/>
  <c r="D428" s="1"/>
  <c r="E428" s="1"/>
  <c r="E39"/>
  <c r="C429" l="1"/>
  <c r="D429" s="1"/>
  <c r="E429" s="1"/>
  <c r="C129" i="8"/>
  <c r="F39" i="25"/>
  <c r="C143" i="8" l="1"/>
  <c r="C430" i="25"/>
  <c r="D430" s="1"/>
  <c r="E430" s="1"/>
  <c r="C140" i="8"/>
  <c r="C144" l="1"/>
  <c r="C142"/>
  <c r="C141"/>
  <c r="C2018" i="35"/>
  <c r="C2035"/>
  <c r="C431" i="25"/>
  <c r="D431" s="1"/>
  <c r="E431" s="1"/>
  <c r="C2025" i="35" l="1"/>
  <c r="C138" i="8"/>
  <c r="C2029" i="35"/>
  <c r="C2030"/>
  <c r="C2032"/>
  <c r="C2031"/>
  <c r="C432" i="25"/>
  <c r="D432" s="1"/>
  <c r="E432" s="1"/>
  <c r="C433" l="1"/>
  <c r="D433" s="1"/>
  <c r="E433" s="1"/>
  <c r="C434" l="1"/>
  <c r="D434" s="1"/>
  <c r="E434" s="1"/>
  <c r="C435" l="1"/>
  <c r="D435" s="1"/>
  <c r="E435" s="1"/>
  <c r="C436" l="1"/>
  <c r="D436" s="1"/>
  <c r="E436" s="1"/>
  <c r="C437" l="1"/>
  <c r="D437" s="1"/>
  <c r="E437" s="1"/>
  <c r="C438" l="1"/>
  <c r="D438" s="1"/>
  <c r="E438" s="1"/>
  <c r="C439" l="1"/>
  <c r="D439" s="1"/>
  <c r="E439" s="1"/>
  <c r="E40" l="1"/>
  <c r="C440"/>
  <c r="D440" s="1"/>
  <c r="E440" s="1"/>
  <c r="C441" l="1"/>
  <c r="D441" s="1"/>
  <c r="E441" s="1"/>
  <c r="F40"/>
  <c r="D129" i="8"/>
  <c r="C442" i="25" l="1"/>
  <c r="D442" s="1"/>
  <c r="E442" s="1"/>
  <c r="D140" i="8"/>
  <c r="D143" l="1"/>
  <c r="D142"/>
  <c r="D144"/>
  <c r="D2025" i="35"/>
  <c r="D138" i="8"/>
  <c r="D141"/>
  <c r="D2018" i="35"/>
  <c r="D2035"/>
  <c r="C443" i="25"/>
  <c r="D443" s="1"/>
  <c r="E443" s="1"/>
  <c r="D2032" i="35" l="1"/>
  <c r="D2031"/>
  <c r="D2029"/>
  <c r="D2030"/>
  <c r="C444" i="25"/>
  <c r="D444" s="1"/>
  <c r="E444" s="1"/>
  <c r="C445" l="1"/>
  <c r="D445" s="1"/>
  <c r="E445" s="1"/>
  <c r="C446" l="1"/>
  <c r="D446" s="1"/>
  <c r="E446" s="1"/>
  <c r="C447" l="1"/>
  <c r="D447" s="1"/>
  <c r="E447" s="1"/>
  <c r="C448" l="1"/>
  <c r="D448" s="1"/>
  <c r="E448" s="1"/>
  <c r="C449" l="1"/>
  <c r="D449" s="1"/>
  <c r="E449" s="1"/>
  <c r="C450" l="1"/>
  <c r="D450" s="1"/>
  <c r="E450" s="1"/>
  <c r="C451" l="1"/>
  <c r="D451" s="1"/>
  <c r="E451" s="1"/>
  <c r="E41" l="1"/>
  <c r="C452"/>
  <c r="D452" s="1"/>
  <c r="E452" s="1"/>
  <c r="C453" l="1"/>
  <c r="D453" s="1"/>
  <c r="E453" s="1"/>
  <c r="E129" i="8"/>
  <c r="F41" i="25"/>
  <c r="E2025" i="35" l="1"/>
  <c r="E140" i="8"/>
  <c r="C454" i="25"/>
  <c r="D454" s="1"/>
  <c r="E454" s="1"/>
  <c r="E144" i="8" l="1"/>
  <c r="E143"/>
  <c r="E142"/>
  <c r="E138"/>
  <c r="E141"/>
  <c r="E2018" i="35"/>
  <c r="E2035"/>
  <c r="C455" i="25"/>
  <c r="D455" s="1"/>
  <c r="E455" s="1"/>
  <c r="E2030" i="35" l="1"/>
  <c r="E2029"/>
  <c r="E2031"/>
  <c r="E2032"/>
  <c r="C456" i="25"/>
  <c r="D456" s="1"/>
  <c r="E456" s="1"/>
  <c r="C457" l="1"/>
  <c r="D457" s="1"/>
  <c r="E457" s="1"/>
  <c r="C458" l="1"/>
  <c r="D458" s="1"/>
  <c r="E458" s="1"/>
  <c r="C459" l="1"/>
  <c r="D459" s="1"/>
  <c r="E459" s="1"/>
  <c r="C460" l="1"/>
  <c r="D460" s="1"/>
  <c r="E460" s="1"/>
  <c r="C461" l="1"/>
  <c r="D461" s="1"/>
  <c r="E461" s="1"/>
  <c r="C462" l="1"/>
  <c r="D462" s="1"/>
  <c r="E462" s="1"/>
  <c r="C463" l="1"/>
  <c r="D463" s="1"/>
  <c r="E463" s="1"/>
  <c r="E42" l="1"/>
  <c r="C464"/>
  <c r="D464" s="1"/>
  <c r="E464" s="1"/>
  <c r="C465" l="1"/>
  <c r="D465" s="1"/>
  <c r="E465" s="1"/>
  <c r="F129" i="8"/>
  <c r="F42" i="25"/>
  <c r="F2025" i="35" l="1"/>
  <c r="F140" i="8"/>
  <c r="C466" i="25"/>
  <c r="D466" s="1"/>
  <c r="E466" s="1"/>
  <c r="F144" i="8" l="1"/>
  <c r="F141"/>
  <c r="F142"/>
  <c r="F138"/>
  <c r="F143"/>
  <c r="F2018" i="35"/>
  <c r="F2035"/>
  <c r="C467" i="25"/>
  <c r="D467" s="1"/>
  <c r="E467" s="1"/>
  <c r="F2030" i="35" l="1"/>
  <c r="F2031"/>
  <c r="F2029"/>
  <c r="F2032"/>
  <c r="C468" i="25"/>
  <c r="D468" s="1"/>
  <c r="E468" s="1"/>
  <c r="C469" l="1"/>
  <c r="D469" s="1"/>
  <c r="E469" s="1"/>
  <c r="C470" l="1"/>
  <c r="D470" s="1"/>
  <c r="E470" s="1"/>
  <c r="C471" l="1"/>
  <c r="D471" s="1"/>
  <c r="E471" s="1"/>
  <c r="C472" l="1"/>
  <c r="D472" s="1"/>
  <c r="E472" s="1"/>
  <c r="C473" l="1"/>
  <c r="D473" s="1"/>
  <c r="E473" s="1"/>
  <c r="C474" l="1"/>
  <c r="D474" s="1"/>
  <c r="E474" s="1"/>
  <c r="C475" l="1"/>
  <c r="D475" s="1"/>
  <c r="E475" s="1"/>
  <c r="E43" l="1"/>
  <c r="F43" s="1"/>
  <c r="C476"/>
  <c r="D476" s="1"/>
  <c r="E476" s="1"/>
  <c r="C477" l="1"/>
  <c r="D477" s="1"/>
  <c r="E477" s="1"/>
  <c r="C478" l="1"/>
  <c r="D478" s="1"/>
  <c r="E478" s="1"/>
  <c r="C479" l="1"/>
  <c r="D479" s="1"/>
  <c r="E479" s="1"/>
  <c r="C480" l="1"/>
  <c r="D480" s="1"/>
  <c r="E480" s="1"/>
  <c r="C481" l="1"/>
  <c r="D481" s="1"/>
  <c r="E481" s="1"/>
  <c r="C482" l="1"/>
  <c r="D482" s="1"/>
  <c r="E482" s="1"/>
  <c r="C483" l="1"/>
  <c r="D483" s="1"/>
  <c r="E483" s="1"/>
  <c r="C484" l="1"/>
  <c r="D484" s="1"/>
  <c r="E484" s="1"/>
  <c r="C485" l="1"/>
  <c r="D485" s="1"/>
  <c r="E485" s="1"/>
  <c r="C486" l="1"/>
  <c r="D486" s="1"/>
  <c r="E486" s="1"/>
  <c r="C487" l="1"/>
  <c r="D487" s="1"/>
  <c r="E487" s="1"/>
  <c r="C488" l="1"/>
  <c r="D488" s="1"/>
  <c r="E488" s="1"/>
  <c r="E44"/>
  <c r="F44" s="1"/>
  <c r="C489" l="1"/>
  <c r="D489" s="1"/>
  <c r="E489" s="1"/>
  <c r="C490" l="1"/>
  <c r="D490" s="1"/>
  <c r="E490" s="1"/>
  <c r="C491" l="1"/>
  <c r="D491" s="1"/>
  <c r="E491" s="1"/>
  <c r="C492" l="1"/>
  <c r="D492" s="1"/>
  <c r="E492" s="1"/>
  <c r="C493" l="1"/>
  <c r="D493" s="1"/>
  <c r="E493" s="1"/>
  <c r="C494" l="1"/>
  <c r="D494" s="1"/>
  <c r="E494" s="1"/>
  <c r="C495" l="1"/>
  <c r="D495" s="1"/>
  <c r="E495" s="1"/>
  <c r="C496" l="1"/>
  <c r="D496" s="1"/>
  <c r="E496" s="1"/>
  <c r="C497" l="1"/>
  <c r="D497" s="1"/>
  <c r="E497" s="1"/>
  <c r="C498" l="1"/>
  <c r="D498" s="1"/>
  <c r="E498" s="1"/>
  <c r="C499" l="1"/>
  <c r="D499" s="1"/>
  <c r="E499" s="1"/>
  <c r="E45" l="1"/>
  <c r="F45" s="1"/>
  <c r="C500"/>
  <c r="D500" s="1"/>
  <c r="E500" s="1"/>
  <c r="C501" l="1"/>
  <c r="D501" s="1"/>
  <c r="E501" s="1"/>
  <c r="C502" l="1"/>
  <c r="D502" s="1"/>
  <c r="E502" s="1"/>
  <c r="C503" l="1"/>
  <c r="D503" s="1"/>
  <c r="E503" s="1"/>
  <c r="C504" l="1"/>
  <c r="D504" s="1"/>
  <c r="E504" s="1"/>
  <c r="C505" l="1"/>
  <c r="D505" s="1"/>
  <c r="E505" s="1"/>
  <c r="C506" l="1"/>
  <c r="D506" s="1"/>
  <c r="E506" s="1"/>
  <c r="C507" l="1"/>
  <c r="D507" s="1"/>
  <c r="E507" s="1"/>
  <c r="C508" l="1"/>
  <c r="D508" s="1"/>
  <c r="E508" s="1"/>
  <c r="C509" l="1"/>
  <c r="D509" s="1"/>
  <c r="E509" s="1"/>
  <c r="C510" l="1"/>
  <c r="D510" s="1"/>
  <c r="E510" s="1"/>
  <c r="C511" l="1"/>
  <c r="D511" s="1"/>
  <c r="E511" s="1"/>
  <c r="C512" l="1"/>
  <c r="D512" s="1"/>
  <c r="E512" s="1"/>
  <c r="E46"/>
  <c r="F46" s="1"/>
  <c r="C513" l="1"/>
  <c r="D513" s="1"/>
  <c r="E513" s="1"/>
  <c r="C514" l="1"/>
  <c r="D514" s="1"/>
  <c r="E514" s="1"/>
  <c r="C515" l="1"/>
  <c r="D515" s="1"/>
  <c r="E515" s="1"/>
  <c r="C516" l="1"/>
  <c r="D516" s="1"/>
  <c r="E516" s="1"/>
  <c r="C517" l="1"/>
  <c r="D517" s="1"/>
  <c r="E517" s="1"/>
  <c r="C518" l="1"/>
  <c r="D518" s="1"/>
  <c r="E518" s="1"/>
  <c r="C519" l="1"/>
  <c r="D519" s="1"/>
  <c r="E519" s="1"/>
  <c r="C520" l="1"/>
  <c r="D520" s="1"/>
  <c r="E520" s="1"/>
  <c r="C521" l="1"/>
  <c r="D521" s="1"/>
  <c r="E521" s="1"/>
  <c r="C522" l="1"/>
  <c r="D522" s="1"/>
  <c r="E522" s="1"/>
  <c r="C523" l="1"/>
  <c r="D523" s="1"/>
  <c r="E523" s="1"/>
  <c r="E47" l="1"/>
  <c r="F47" s="1"/>
  <c r="C524"/>
  <c r="D524" s="1"/>
  <c r="E524" s="1"/>
  <c r="C525" l="1"/>
  <c r="D525" s="1"/>
  <c r="E525" s="1"/>
  <c r="C526" l="1"/>
  <c r="D526" s="1"/>
  <c r="E526" s="1"/>
  <c r="C527" l="1"/>
  <c r="D527" s="1"/>
  <c r="E527" s="1"/>
  <c r="C528" l="1"/>
  <c r="D528" s="1"/>
  <c r="E528" s="1"/>
  <c r="C529" l="1"/>
  <c r="D529" s="1"/>
  <c r="E529" s="1"/>
  <c r="C530" l="1"/>
  <c r="D530" s="1"/>
  <c r="E530" s="1"/>
  <c r="C531" l="1"/>
  <c r="D531" s="1"/>
  <c r="E531" s="1"/>
  <c r="C532" l="1"/>
  <c r="D532" s="1"/>
  <c r="E532" s="1"/>
  <c r="C533" l="1"/>
  <c r="D533" s="1"/>
  <c r="E533" s="1"/>
  <c r="C534" l="1"/>
  <c r="D534" s="1"/>
  <c r="E534" s="1"/>
  <c r="C535" l="1"/>
  <c r="D535" s="1"/>
  <c r="E535" s="1"/>
  <c r="L374" i="35"/>
  <c r="L378" s="1"/>
  <c r="L380" s="1"/>
  <c r="L25" i="3"/>
  <c r="L27" s="1"/>
</calcChain>
</file>

<file path=xl/sharedStrings.xml><?xml version="1.0" encoding="utf-8"?>
<sst xmlns="http://schemas.openxmlformats.org/spreadsheetml/2006/main" count="10196" uniqueCount="4153">
  <si>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</si>
  <si>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</si>
  <si>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</si>
  <si>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</si>
  <si>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</si>
  <si>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</si>
  <si>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</si>
  <si>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</si>
  <si>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</si>
  <si>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</si>
  <si>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</si>
  <si>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</si>
  <si>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</si>
  <si>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</si>
  <si>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</si>
  <si>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</si>
  <si>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</si>
  <si>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</si>
  <si>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</si>
  <si>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</si>
  <si>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</si>
  <si>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</si>
  <si>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</si>
  <si>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</si>
  <si>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</si>
  <si>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</si>
  <si>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</si>
  <si>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</si>
  <si>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</si>
  <si>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</si>
  <si>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</si>
  <si>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</si>
  <si>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</si>
  <si>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</si>
  <si>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</si>
  <si>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</si>
  <si>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</si>
  <si>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</si>
  <si>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</si>
  <si>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</si>
  <si>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</si>
  <si>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</si>
  <si>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</si>
  <si>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</si>
  <si>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</si>
  <si>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</si>
  <si>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</si>
  <si>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</si>
  <si>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</si>
  <si>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</si>
  <si>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</si>
  <si>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</si>
  <si>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</si>
  <si>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</si>
  <si>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</si>
  <si>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</si>
  <si>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</si>
  <si>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</si>
  <si>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</si>
  <si>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</si>
  <si>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</si>
  <si>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</si>
  <si>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</si>
  <si>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</si>
  <si>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</si>
  <si>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</si>
  <si>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</si>
  <si>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</si>
  <si>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</si>
  <si>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</si>
  <si>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</si>
  <si>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</si>
  <si>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</si>
  <si>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</si>
  <si>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</si>
  <si>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</si>
  <si>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</si>
  <si>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</si>
  <si>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</si>
  <si>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</si>
  <si>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</si>
  <si>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</si>
  <si>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</si>
  <si>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</si>
  <si>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</si>
  <si>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</si>
  <si>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</si>
  <si>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</si>
  <si>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</si>
  <si>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</si>
  <si>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</si>
  <si>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</si>
  <si>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</si>
  <si>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</si>
  <si>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</si>
  <si>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</si>
  <si>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</si>
  <si>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</si>
  <si>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</si>
  <si>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</si>
  <si>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</si>
  <si>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</si>
  <si>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</si>
  <si>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</si>
  <si>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</si>
  <si>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</si>
  <si>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</si>
  <si>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</si>
  <si>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</si>
  <si>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</si>
  <si>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</si>
  <si>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</si>
  <si>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</si>
  <si>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</si>
  <si>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</si>
  <si>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</si>
  <si>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</si>
  <si>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</si>
  <si>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</si>
  <si>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</si>
  <si>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</si>
  <si>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</si>
  <si>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</si>
  <si>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</si>
  <si>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</si>
  <si>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</si>
  <si>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</si>
  <si>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</si>
  <si>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</si>
  <si>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</si>
  <si>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</si>
  <si>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</si>
  <si>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</si>
  <si>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</si>
  <si>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</si>
  <si>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</si>
  <si>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</si>
  <si>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</si>
  <si>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</si>
  <si>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</si>
  <si>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</si>
  <si>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</si>
  <si>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</si>
  <si>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</si>
  <si>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</si>
  <si>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</si>
  <si>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</si>
  <si>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</si>
  <si>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</si>
  <si>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</si>
  <si>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</si>
  <si>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</si>
  <si>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</si>
  <si>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</si>
  <si>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</si>
  <si>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</si>
  <si>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</si>
  <si>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</si>
  <si>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</si>
  <si>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</si>
  <si>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</si>
  <si>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</si>
  <si>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</si>
  <si>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</si>
  <si>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</si>
  <si>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</si>
  <si>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</si>
  <si>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</si>
  <si>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</si>
  <si>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</si>
  <si>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</si>
  <si>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</si>
  <si>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</si>
  <si>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</si>
  <si>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</si>
  <si>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</si>
  <si>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</si>
  <si>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</si>
  <si>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</si>
  <si>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</si>
  <si>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</si>
  <si>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</si>
  <si>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</si>
  <si>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</si>
  <si>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</si>
  <si>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</si>
  <si>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</si>
  <si>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</si>
  <si>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</si>
  <si>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</si>
  <si>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</si>
  <si>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</si>
  <si>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</si>
  <si>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</si>
  <si>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</si>
  <si>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</si>
  <si>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</si>
  <si>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</si>
  <si>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</si>
  <si>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</si>
  <si>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</si>
  <si>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</si>
  <si>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</si>
  <si>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</si>
  <si>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</si>
  <si>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</si>
  <si>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</si>
  <si>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</si>
  <si>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</si>
  <si>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</si>
  <si>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</si>
  <si>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</si>
  <si>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</si>
  <si>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</si>
  <si>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</si>
  <si>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</si>
  <si>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</si>
  <si>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</si>
  <si>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</si>
  <si>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</si>
  <si>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</si>
  <si>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</si>
  <si>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</si>
  <si>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</si>
  <si>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</si>
  <si>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</si>
  <si>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</si>
  <si>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</si>
  <si>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</si>
  <si>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</si>
  <si>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</si>
  <si>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</si>
  <si>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</si>
  <si>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</si>
  <si>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</si>
  <si>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</si>
  <si>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</si>
  <si>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</si>
  <si>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</si>
  <si>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</si>
  <si>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</si>
  <si>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</si>
  <si>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</si>
  <si>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</si>
  <si>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</si>
  <si>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</si>
  <si>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</si>
  <si>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</si>
  <si>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</si>
  <si>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</si>
  <si>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</si>
  <si>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</si>
  <si>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</si>
  <si>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</si>
  <si>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</si>
  <si>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</si>
  <si>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</si>
  <si>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</si>
  <si>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</si>
  <si>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</si>
  <si>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</si>
  <si>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</si>
  <si>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</si>
  <si>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</si>
  <si>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</si>
  <si>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</si>
  <si>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</si>
  <si>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</si>
  <si>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</si>
  <si>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</si>
  <si>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</si>
  <si>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</si>
  <si>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</si>
  <si>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</si>
  <si>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</si>
  <si>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</si>
  <si>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</si>
  <si>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</si>
  <si>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</si>
  <si>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</si>
  <si>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</si>
  <si>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</si>
  <si>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</si>
  <si>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</si>
  <si>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</si>
  <si>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</si>
  <si>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</si>
  <si>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</si>
  <si>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</si>
  <si>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</si>
  <si>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</si>
  <si>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</si>
  <si>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</si>
  <si>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</si>
  <si>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</si>
  <si>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</si>
  <si>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</si>
  <si>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</si>
  <si>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</si>
  <si>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</si>
  <si>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</si>
  <si>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</si>
  <si>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</si>
  <si>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</si>
  <si>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</si>
  <si>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</si>
  <si>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</si>
  <si>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</si>
  <si>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</si>
  <si>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</si>
  <si>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</si>
  <si>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</si>
  <si>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</si>
  <si>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</si>
  <si>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</si>
  <si>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</si>
  <si>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</si>
  <si>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</si>
  <si>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</si>
  <si>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</si>
  <si>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</si>
  <si>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</si>
  <si>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</si>
  <si>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</si>
  <si>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</si>
  <si>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</si>
  <si>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</si>
  <si>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</si>
  <si>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</si>
  <si>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</si>
  <si>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</si>
  <si>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</si>
  <si>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</si>
  <si>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</si>
  <si>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</si>
  <si>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</si>
  <si>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</si>
  <si>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</si>
  <si>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</si>
  <si>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</si>
  <si>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</si>
  <si>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</si>
  <si>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</si>
  <si>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</si>
  <si>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</si>
  <si>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</si>
  <si>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</si>
  <si>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</si>
  <si>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</si>
  <si>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</si>
  <si>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</si>
  <si>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</si>
  <si>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</si>
  <si>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</si>
  <si>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</si>
  <si>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</si>
  <si>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</si>
  <si>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</si>
  <si>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</si>
  <si>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</si>
  <si>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</si>
  <si>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</si>
  <si>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</si>
  <si>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</si>
  <si>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</si>
  <si>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</si>
  <si>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</si>
  <si>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</si>
  <si>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</si>
  <si>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</si>
  <si>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</si>
  <si>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</si>
  <si>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</si>
  <si>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</si>
  <si>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</si>
  <si>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</si>
  <si>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</si>
  <si>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</si>
  <si>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</si>
  <si>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</si>
  <si>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</si>
  <si>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</si>
  <si>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</si>
  <si>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</si>
  <si>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</si>
  <si>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</si>
  <si>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</si>
  <si>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</si>
  <si>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</si>
  <si>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</si>
  <si>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</si>
  <si>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</si>
  <si>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</si>
  <si>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</si>
  <si>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</si>
  <si>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</si>
  <si>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</si>
  <si>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</si>
  <si>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</si>
  <si>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</si>
  <si>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</si>
  <si>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</si>
  <si>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</si>
  <si>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</si>
  <si>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</si>
  <si>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</si>
  <si>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</si>
  <si>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</si>
  <si>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</si>
  <si>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</si>
  <si>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</si>
  <si>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</si>
  <si>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</si>
  <si>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</si>
  <si>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</si>
  <si>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</si>
  <si>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</si>
  <si>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</si>
  <si>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</si>
  <si>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</si>
  <si>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</si>
  <si>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</si>
  <si>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</si>
  <si>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</si>
  <si>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</si>
  <si>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</si>
  <si>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</si>
  <si>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</si>
  <si>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</si>
  <si>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</si>
  <si>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</si>
  <si>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</si>
  <si>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</si>
  <si>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</si>
  <si>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</si>
  <si>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</si>
  <si>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</si>
  <si>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</si>
  <si>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</si>
  <si>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</si>
  <si>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</si>
  <si>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</si>
  <si>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</si>
  <si>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</si>
  <si>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</si>
  <si>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</si>
  <si>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</si>
  <si>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</si>
  <si>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</si>
  <si>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</si>
  <si>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</si>
  <si>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</si>
  <si>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</si>
  <si>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</si>
  <si>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</si>
  <si>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</si>
  <si>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</si>
  <si>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</si>
  <si>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</si>
  <si>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</si>
  <si>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</si>
  <si>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</si>
  <si>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</si>
  <si>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</si>
  <si>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</si>
  <si>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</si>
  <si>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</si>
  <si>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</si>
  <si>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</si>
  <si>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</si>
  <si>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</si>
  <si>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</si>
  <si>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</si>
  <si>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</si>
  <si>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</si>
  <si>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</si>
  <si>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</si>
  <si>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</si>
  <si>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</si>
  <si>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</si>
  <si>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</si>
  <si>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</si>
  <si>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</si>
  <si>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</si>
  <si>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</si>
  <si>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</si>
  <si>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</si>
  <si>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</si>
  <si>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</si>
  <si>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</si>
  <si>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</si>
  <si>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</si>
  <si>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</si>
  <si>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</si>
  <si>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</si>
  <si>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</si>
  <si>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</si>
  <si>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</si>
  <si>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</si>
  <si>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</si>
  <si>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</si>
  <si>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</si>
  <si>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</si>
  <si>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</si>
  <si>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</si>
  <si>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</si>
  <si>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</si>
  <si>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</si>
  <si>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</si>
  <si>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</si>
  <si>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</si>
  <si>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</si>
  <si>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</si>
  <si>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</si>
  <si>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</si>
  <si>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</si>
  <si>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</si>
  <si>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</si>
  <si>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</si>
  <si>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</si>
  <si>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</si>
  <si>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</si>
  <si>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</si>
  <si>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</si>
  <si>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</si>
  <si>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</si>
  <si>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</si>
  <si>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</si>
  <si>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</si>
  <si>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</si>
  <si>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</si>
  <si>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</si>
  <si>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</si>
  <si>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</si>
  <si>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</si>
  <si>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</si>
  <si>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</si>
  <si>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</si>
  <si>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</si>
  <si>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</si>
  <si>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</si>
  <si>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</si>
  <si>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</si>
  <si>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</si>
  <si>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</si>
  <si>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</si>
  <si>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</si>
  <si>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</si>
  <si>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</si>
  <si>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</si>
  <si>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</si>
  <si>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</si>
  <si>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</si>
  <si>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</si>
  <si>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</si>
  <si>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</si>
  <si>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</si>
  <si>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</si>
  <si>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</si>
  <si>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</si>
  <si>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</si>
  <si>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</si>
  <si>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</si>
  <si>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</si>
  <si>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</si>
  <si>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</si>
  <si>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</si>
  <si>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</si>
  <si>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</si>
  <si>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</si>
  <si>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</si>
  <si>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</si>
  <si>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</si>
  <si>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</si>
  <si>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</si>
  <si>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</si>
  <si>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</si>
  <si>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</si>
  <si>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</si>
  <si>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</si>
  <si>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</si>
  <si>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</si>
  <si>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</si>
  <si>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</si>
  <si>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</si>
  <si>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</si>
  <si>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</si>
  <si>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</si>
  <si>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</si>
  <si>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</si>
  <si>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</si>
  <si>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</si>
  <si>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</si>
  <si>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</si>
  <si>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</si>
  <si>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</si>
  <si>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</si>
  <si>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</si>
  <si>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</si>
  <si>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</si>
  <si>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</si>
  <si>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</si>
  <si>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</si>
  <si>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</si>
  <si>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</si>
  <si>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</si>
  <si>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</si>
  <si>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</si>
  <si>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</si>
  <si>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</si>
  <si>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</si>
  <si>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</si>
  <si>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</si>
  <si>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</si>
  <si>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</si>
  <si>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</si>
  <si>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</si>
  <si>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</si>
  <si>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</si>
  <si>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</si>
  <si>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</si>
  <si>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</si>
  <si>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</si>
  <si>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</si>
  <si>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</si>
  <si>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</si>
  <si>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</si>
  <si>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</si>
  <si>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</si>
  <si>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</si>
  <si>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</si>
  <si>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</si>
  <si>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</si>
  <si>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</si>
  <si>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</si>
  <si>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</si>
  <si>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</si>
  <si>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</si>
  <si>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</si>
  <si>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</si>
  <si>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</si>
  <si>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</si>
  <si>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</si>
  <si>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</si>
  <si>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</si>
  <si>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</si>
  <si>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</si>
  <si>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</si>
  <si>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</si>
  <si>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</si>
  <si>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</si>
  <si>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</si>
  <si>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</si>
  <si>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</si>
  <si>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</si>
  <si>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</si>
  <si>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</si>
  <si>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</si>
  <si>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</si>
  <si>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</si>
  <si>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</si>
  <si>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</si>
  <si>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</si>
  <si>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</si>
  <si>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</si>
  <si>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</si>
  <si>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</si>
  <si>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</si>
  <si>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</si>
  <si>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</si>
  <si>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</si>
  <si>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</si>
  <si>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</si>
  <si>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</si>
  <si>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</si>
  <si>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</si>
  <si>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</si>
  <si>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</si>
  <si>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</si>
  <si>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</si>
  <si>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</si>
  <si>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</si>
  <si>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</si>
  <si>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</si>
  <si>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</si>
  <si>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</si>
  <si>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</si>
  <si>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</si>
  <si>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</si>
  <si>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</si>
  <si>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</si>
  <si>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</si>
  <si>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</si>
  <si>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</si>
  <si>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</si>
  <si>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</si>
  <si>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</si>
  <si>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</si>
  <si>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</si>
  <si>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</si>
  <si>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</si>
  <si>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</si>
  <si>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</si>
  <si>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</si>
  <si>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</si>
  <si>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</si>
  <si>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</si>
  <si>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</si>
  <si>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</si>
  <si>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</si>
  <si>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</si>
  <si>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</si>
  <si>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</si>
  <si>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</si>
  <si>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</si>
  <si>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</si>
  <si>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</si>
  <si>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</si>
  <si>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</si>
  <si>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</si>
  <si>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</si>
  <si>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</si>
  <si>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</si>
  <si>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</si>
  <si>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</si>
  <si>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</si>
  <si>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</si>
  <si>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</si>
  <si>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</si>
  <si>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</si>
  <si>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</si>
  <si>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</si>
  <si>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</si>
  <si>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</si>
  <si>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</si>
  <si>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</si>
  <si>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</si>
  <si>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</si>
  <si>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</si>
  <si>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</si>
  <si>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</si>
  <si>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</si>
  <si>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</si>
  <si>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</si>
  <si>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</si>
  <si>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</si>
  <si>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</si>
  <si>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</si>
  <si>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</si>
  <si>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</si>
  <si>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</si>
  <si>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</si>
  <si>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</si>
  <si>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</si>
  <si>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</si>
  <si>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</si>
  <si>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</si>
  <si>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</si>
  <si>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</si>
  <si>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</si>
  <si>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</si>
  <si>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</si>
  <si>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</si>
  <si>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</si>
  <si>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</si>
  <si>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</si>
  <si>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</si>
  <si>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</si>
  <si>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</si>
  <si>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</si>
  <si>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</si>
  <si>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</si>
  <si>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</si>
  <si>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</si>
  <si>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</si>
  <si>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</si>
  <si>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</si>
  <si>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</si>
  <si>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</si>
  <si>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</si>
  <si>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</si>
  <si>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</si>
  <si>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</si>
  <si>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</si>
  <si>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</si>
  <si>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</si>
  <si>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</si>
  <si>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</si>
  <si>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</si>
  <si>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</si>
  <si>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</si>
  <si>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</si>
  <si>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</si>
  <si>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</si>
  <si>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</si>
  <si>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</si>
  <si>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</si>
  <si>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</si>
  <si>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</si>
  <si>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</si>
  <si>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</si>
  <si>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</si>
  <si>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</si>
  <si>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</si>
  <si>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</si>
  <si>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</si>
  <si>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</si>
  <si>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</si>
  <si>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</si>
  <si>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</si>
  <si>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</si>
  <si>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</si>
  <si>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</si>
  <si>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</si>
  <si>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</si>
  <si>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</si>
  <si>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</si>
  <si>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</si>
  <si>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</si>
  <si>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</si>
  <si>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</si>
  <si>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</si>
  <si>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</si>
  <si>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</si>
  <si>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</si>
  <si>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</si>
  <si>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</si>
  <si>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</si>
  <si>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</si>
  <si>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</si>
  <si>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</si>
  <si>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</si>
  <si>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</si>
  <si>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</si>
  <si>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</si>
  <si>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</si>
  <si>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</si>
  <si>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</si>
  <si>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</si>
  <si>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</si>
  <si>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</si>
  <si>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</si>
  <si>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</si>
  <si>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</si>
  <si>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</si>
  <si>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</si>
  <si>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</si>
  <si>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</si>
  <si>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</si>
  <si>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</si>
  <si>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</si>
  <si>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</si>
  <si>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</si>
  <si>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</si>
  <si>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</si>
  <si>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</si>
  <si>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</si>
  <si>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</si>
  <si>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</si>
  <si>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</si>
  <si>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</si>
  <si>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</si>
  <si>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</si>
  <si>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</si>
  <si>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</si>
  <si>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</si>
  <si>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</si>
  <si>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</si>
  <si>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</si>
  <si>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</si>
  <si>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</si>
  <si>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</si>
  <si>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</si>
  <si>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</si>
  <si>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</si>
  <si>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</si>
  <si>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</si>
  <si>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</si>
  <si>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</si>
  <si>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</si>
  <si>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</si>
  <si>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</si>
  <si>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</si>
  <si>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</si>
  <si>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</si>
  <si>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</si>
  <si>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</si>
  <si>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</si>
  <si>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</si>
  <si>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</si>
  <si>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</si>
  <si>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</si>
  <si>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</si>
  <si>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</si>
  <si>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</si>
  <si>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</si>
  <si>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</si>
  <si>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</si>
  <si>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</si>
  <si>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</si>
  <si>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</si>
  <si>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</si>
  <si>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</si>
  <si>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</si>
  <si>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</si>
  <si>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</si>
  <si>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</si>
  <si>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</si>
  <si>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</si>
  <si>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</si>
  <si>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</si>
  <si>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</si>
  <si>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</si>
  <si>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</si>
  <si>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</si>
  <si>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</si>
  <si>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</si>
  <si>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</si>
  <si>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</si>
  <si>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</si>
  <si>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</si>
  <si>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</si>
  <si>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</si>
  <si>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</si>
  <si>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</si>
  <si>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</si>
  <si>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</si>
  <si>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</si>
  <si>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</si>
  <si>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</si>
  <si>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</si>
  <si>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</si>
  <si>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</si>
  <si>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</si>
  <si>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</si>
  <si>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</si>
  <si>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</si>
  <si>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</si>
  <si>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</si>
  <si>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</si>
  <si>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</si>
  <si>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</si>
  <si>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</si>
  <si>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</si>
  <si>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</si>
  <si>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</si>
  <si>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</si>
  <si>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</si>
  <si>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</si>
  <si>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</si>
  <si>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</si>
  <si>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</si>
  <si>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</si>
  <si>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</si>
  <si>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</si>
  <si>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</si>
  <si>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</si>
  <si>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</si>
  <si>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</si>
  <si>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</si>
  <si>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</si>
  <si>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</si>
  <si>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</si>
  <si>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</si>
  <si>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</si>
  <si>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</si>
  <si>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</si>
  <si>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</si>
  <si>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</si>
  <si>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</si>
  <si>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</si>
  <si>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</si>
  <si>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</si>
  <si>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</si>
  <si>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</si>
  <si>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</si>
  <si>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</si>
  <si>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</si>
  <si>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</si>
  <si>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</si>
  <si>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</si>
  <si>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</si>
  <si>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</si>
  <si>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</si>
  <si>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</si>
  <si>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</si>
  <si>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</si>
  <si>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</si>
  <si>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</si>
  <si>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</si>
  <si>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</si>
  <si>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</si>
  <si>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</si>
  <si>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</si>
  <si>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</si>
  <si>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</si>
  <si>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</si>
  <si>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</si>
  <si>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</si>
  <si>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</si>
  <si>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</si>
  <si>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</si>
  <si>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</si>
  <si>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</si>
  <si>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</si>
  <si>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</si>
  <si>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</si>
  <si>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</si>
  <si>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</si>
  <si>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</si>
  <si>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</si>
  <si>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</si>
  <si>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</si>
  <si>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</si>
  <si>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</si>
  <si>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</si>
  <si>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</si>
  <si>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</si>
  <si>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</si>
  <si>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</si>
  <si>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</si>
  <si>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</si>
  <si>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</si>
  <si>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</si>
  <si>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</si>
  <si>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</si>
  <si>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</si>
  <si>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</si>
  <si>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</si>
  <si>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</si>
  <si>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</si>
  <si>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</si>
  <si>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</si>
  <si>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</si>
  <si>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</si>
  <si>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</si>
  <si>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</si>
  <si>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</si>
  <si>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</si>
  <si>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</si>
  <si>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</si>
  <si>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</si>
  <si>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</si>
  <si>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</si>
  <si>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</si>
  <si>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</si>
  <si>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</si>
  <si>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</si>
  <si>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</si>
  <si>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</si>
  <si>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</si>
  <si>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</si>
  <si>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</si>
  <si>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</si>
  <si>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</si>
  <si>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</si>
  <si>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</si>
  <si>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</si>
  <si>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</si>
  <si>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</si>
  <si>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</si>
  <si>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</si>
  <si>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</si>
  <si>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</si>
  <si>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</si>
  <si>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</si>
  <si>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</si>
  <si>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</si>
  <si>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</si>
  <si>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</si>
  <si>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</si>
  <si>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</si>
  <si>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</si>
  <si>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</si>
  <si>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</si>
  <si>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</si>
  <si>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</si>
  <si>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</si>
  <si>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</si>
  <si>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</si>
  <si>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</si>
  <si>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</si>
  <si>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</si>
  <si>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</si>
  <si>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</si>
  <si>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</si>
  <si>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</si>
  <si>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</si>
  <si>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</si>
  <si>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</si>
  <si>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</si>
  <si>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</si>
  <si>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</si>
  <si>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</si>
  <si>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</si>
  <si>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</si>
  <si>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</si>
  <si>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</si>
  <si>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</si>
  <si>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</si>
  <si>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</si>
  <si>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</si>
  <si>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</si>
  <si>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</si>
  <si>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</si>
  <si>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</si>
  <si>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</si>
  <si>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</si>
  <si>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</si>
  <si>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</si>
  <si>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</si>
  <si>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</si>
  <si>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</si>
  <si>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</si>
  <si>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</si>
  <si>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</si>
  <si>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</si>
  <si>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</si>
  <si>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</si>
  <si>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</si>
  <si>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</si>
  <si>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</si>
  <si>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</si>
  <si>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</si>
  <si>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</si>
  <si>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</si>
  <si>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</si>
  <si>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</si>
  <si>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</si>
  <si>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</si>
  <si>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</si>
  <si>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</si>
  <si>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</si>
  <si>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</si>
  <si>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</si>
  <si>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</si>
  <si>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</si>
  <si>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</si>
  <si>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</si>
  <si>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</si>
  <si>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</si>
  <si>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</si>
  <si>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</si>
  <si>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</si>
  <si>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</si>
  <si>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</si>
  <si>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</si>
  <si>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</si>
  <si>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</si>
  <si>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</si>
  <si>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</si>
  <si>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</si>
  <si>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</si>
  <si>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</si>
  <si>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</si>
  <si>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</si>
  <si>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</si>
  <si>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</si>
  <si>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</si>
  <si>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</si>
  <si>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</si>
  <si>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</si>
  <si>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</si>
  <si>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</si>
  <si>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</si>
  <si>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</si>
  <si>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</si>
  <si>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</si>
  <si>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</si>
  <si>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</si>
  <si>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</si>
  <si>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</si>
  <si>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</si>
  <si>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</si>
  <si>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</si>
  <si>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</si>
  <si>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</si>
  <si>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</si>
  <si>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</si>
  <si>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</si>
  <si>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</si>
  <si>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</si>
  <si>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</si>
  <si>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</si>
  <si>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</si>
  <si>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</si>
  <si>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</si>
  <si>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</si>
  <si>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</si>
  <si>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</si>
  <si>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</si>
  <si>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</si>
  <si>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</si>
  <si>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</si>
  <si>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</si>
  <si>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</si>
  <si>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</si>
  <si>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</si>
  <si>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</si>
  <si>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</si>
  <si>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</si>
  <si>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</si>
  <si>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</si>
  <si>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</si>
  <si>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</si>
  <si>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</si>
  <si>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</si>
  <si>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</si>
  <si>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</si>
  <si>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</si>
  <si>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</si>
  <si>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</si>
  <si>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</si>
  <si>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</si>
  <si>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</si>
  <si>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</si>
  <si>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</si>
  <si>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</si>
  <si>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</si>
  <si>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</si>
  <si>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</si>
  <si>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</si>
  <si>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</si>
  <si>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</si>
  <si>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</si>
  <si>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</si>
  <si>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</si>
  <si>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</si>
  <si>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</si>
  <si>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</si>
  <si>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</si>
  <si>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</si>
  <si>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</si>
  <si>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</si>
  <si>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</si>
  <si>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</si>
  <si>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</si>
  <si>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</si>
  <si>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</si>
  <si>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</si>
  <si>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</si>
  <si>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</si>
  <si>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</si>
  <si>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</si>
  <si>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</si>
  <si>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</si>
  <si>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</si>
  <si>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</si>
  <si>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</si>
  <si>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</si>
  <si>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</si>
  <si>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</si>
  <si>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</si>
  <si>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</si>
  <si>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</si>
  <si>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</si>
  <si>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</si>
  <si>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</si>
  <si>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</si>
  <si>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</si>
  <si>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</si>
  <si>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</si>
  <si>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</si>
  <si>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</si>
  <si>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</si>
  <si>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</si>
  <si>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</si>
  <si>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</si>
  <si>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</si>
  <si>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</si>
  <si>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</si>
  <si>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</si>
  <si>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</si>
  <si>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</si>
  <si>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</si>
  <si>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</si>
  <si>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</si>
  <si>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</si>
  <si>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</si>
  <si>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</si>
  <si>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</si>
  <si>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</si>
  <si>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</si>
  <si>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</si>
  <si>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</si>
  <si>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</si>
  <si>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</si>
  <si>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</si>
  <si>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</si>
  <si>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</si>
  <si>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</si>
  <si>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</si>
  <si>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</si>
  <si>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</si>
  <si>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</si>
  <si>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</si>
  <si>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</si>
  <si>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</si>
  <si>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</si>
  <si>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</si>
  <si>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</si>
  <si>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</si>
  <si>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</si>
  <si>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</si>
  <si>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</si>
  <si>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</si>
  <si>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</si>
  <si>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</si>
  <si>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</si>
  <si>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</si>
  <si>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</si>
  <si>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</si>
  <si>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</si>
  <si>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</si>
  <si>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</si>
  <si>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</si>
  <si>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</si>
  <si>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</si>
  <si>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</si>
  <si>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</si>
  <si>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</si>
  <si>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</si>
  <si>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</si>
  <si>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</si>
  <si>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</si>
  <si>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</si>
  <si>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</si>
  <si>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</si>
  <si>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</si>
  <si>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</si>
  <si>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</si>
  <si>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</si>
  <si>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</si>
  <si>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</si>
  <si>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</si>
  <si>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</si>
  <si>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</si>
  <si>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</si>
  <si>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</si>
  <si>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</si>
  <si>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</si>
  <si>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</si>
  <si>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</si>
  <si>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</si>
  <si>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</si>
  <si>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</si>
  <si>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</si>
  <si>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</si>
  <si>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</si>
  <si>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</si>
  <si>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</si>
  <si>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</si>
  <si>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</si>
  <si>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</si>
  <si>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</si>
  <si>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</si>
  <si>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</si>
  <si>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</si>
  <si>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</si>
  <si>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</si>
  <si>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</si>
  <si>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</si>
  <si>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</si>
  <si>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</si>
  <si>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</si>
  <si>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</si>
  <si>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</si>
  <si>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</si>
  <si>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</si>
  <si>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</si>
  <si>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</si>
  <si>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</si>
  <si>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</si>
  <si>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</si>
  <si>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</si>
  <si>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</si>
  <si>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</si>
  <si>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</si>
  <si>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</si>
  <si>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</si>
  <si>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</si>
  <si>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</si>
  <si>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</si>
  <si>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</si>
  <si>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</si>
  <si>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</si>
  <si>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</si>
  <si>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</si>
  <si>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</si>
  <si>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</si>
  <si>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</si>
  <si>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</si>
  <si>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</si>
  <si>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</si>
  <si>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</si>
  <si>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</si>
  <si>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</si>
  <si>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</si>
  <si>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</si>
  <si>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</si>
  <si>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</si>
  <si>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</si>
  <si>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</si>
  <si>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</si>
  <si>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</si>
  <si>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</si>
  <si>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</si>
  <si>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</si>
  <si>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</si>
  <si>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</si>
  <si>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</si>
  <si>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</si>
  <si>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</si>
  <si>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</si>
  <si>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</si>
  <si>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</si>
  <si>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</si>
  <si>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</si>
  <si>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</si>
  <si>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</si>
  <si>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</si>
  <si>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</si>
  <si>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</si>
  <si>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</si>
  <si>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</si>
  <si>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</si>
  <si>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</si>
  <si>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</si>
  <si>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</si>
  <si>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</si>
  <si>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</si>
  <si>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</si>
  <si>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</si>
  <si>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</si>
  <si>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</si>
  <si>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</si>
  <si>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</si>
  <si>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</si>
  <si>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</si>
  <si>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</si>
  <si>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</si>
  <si>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</si>
  <si>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</si>
  <si>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</si>
  <si>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</si>
  <si>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</si>
  <si>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</si>
  <si>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</si>
  <si>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</si>
  <si>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</si>
  <si>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</si>
  <si>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</si>
  <si>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</si>
  <si>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</si>
  <si>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</si>
  <si>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</si>
  <si>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</si>
  <si>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</si>
  <si>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</si>
  <si>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</si>
  <si>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</si>
  <si>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</si>
  <si>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</si>
  <si>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</si>
  <si>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</si>
  <si>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</si>
  <si>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</si>
  <si>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</si>
  <si>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</si>
  <si>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</si>
  <si>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</si>
  <si>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</si>
  <si>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</si>
  <si>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</si>
  <si>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</si>
  <si>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</si>
  <si>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</si>
  <si>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</si>
  <si>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</si>
  <si>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</si>
  <si>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</si>
  <si>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</si>
  <si>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</si>
  <si>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</si>
  <si>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</si>
  <si>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</si>
  <si>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</si>
  <si>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</si>
  <si>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</si>
  <si>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</si>
  <si>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</si>
  <si>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</si>
  <si>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</si>
  <si>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</si>
  <si>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</si>
  <si>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</si>
  <si>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</si>
  <si>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</si>
  <si>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</si>
  <si>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</si>
  <si>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</si>
  <si>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</si>
  <si>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</si>
  <si>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</si>
  <si>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</si>
  <si>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</si>
  <si>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</si>
  <si>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</si>
  <si>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</si>
  <si>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</si>
  <si>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</si>
  <si>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</si>
  <si>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</si>
  <si>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</si>
  <si>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</si>
  <si>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</si>
  <si>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</si>
  <si>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</si>
  <si>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</si>
  <si>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</si>
  <si>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</si>
  <si>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</si>
  <si>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</si>
  <si>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</si>
  <si>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</si>
  <si>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</si>
  <si>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</si>
  <si>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</si>
  <si>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</si>
  <si>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</si>
  <si>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</si>
  <si>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</si>
  <si>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</si>
  <si>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</si>
  <si>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</si>
  <si>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</si>
  <si>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</si>
  <si>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</si>
  <si>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</si>
  <si>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</si>
  <si>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</si>
  <si>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</si>
  <si>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</si>
  <si>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</si>
  <si>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</si>
  <si>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</si>
  <si>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</si>
  <si>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</si>
  <si>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</si>
  <si>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</si>
  <si>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</si>
  <si>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</si>
  <si>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</si>
  <si>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</si>
  <si>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</si>
  <si>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</si>
  <si>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</si>
  <si>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</si>
  <si>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</si>
  <si>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</si>
  <si>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</si>
  <si>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</si>
  <si>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</si>
  <si>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</si>
  <si>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</si>
  <si>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</si>
  <si>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</si>
  <si>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</si>
  <si>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</si>
  <si>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</si>
  <si>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</si>
  <si>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</si>
  <si>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</si>
  <si>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</si>
  <si>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</si>
  <si>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</si>
  <si>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</si>
  <si>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</si>
  <si>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</si>
  <si>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</si>
  <si>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</si>
  <si>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</si>
  <si>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</si>
  <si>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</si>
  <si>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</si>
  <si>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</si>
  <si>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</si>
  <si>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</si>
  <si>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</si>
  <si>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</si>
  <si>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</si>
  <si>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</si>
  <si>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</si>
  <si>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</si>
  <si>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</si>
  <si>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</si>
  <si>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</si>
  <si>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</si>
  <si>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</si>
  <si>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</si>
  <si>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</si>
  <si>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</si>
  <si>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</si>
  <si>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</si>
  <si>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</si>
  <si>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</si>
  <si>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</si>
  <si>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</si>
  <si>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</si>
  <si>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</si>
  <si>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</si>
  <si>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</si>
  <si>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</si>
  <si>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</si>
  <si>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</si>
  <si>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</si>
  <si>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</si>
  <si>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</si>
  <si>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</si>
  <si>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</si>
  <si>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</si>
  <si>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</si>
  <si>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</si>
  <si>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</si>
  <si>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</si>
  <si>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</si>
  <si>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</si>
  <si>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</si>
  <si>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</si>
  <si>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</si>
  <si>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</si>
  <si>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</si>
  <si>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</si>
  <si>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</si>
  <si>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</si>
  <si>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</si>
  <si>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</si>
  <si>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</si>
  <si>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</si>
  <si>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</si>
  <si>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</si>
  <si>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</si>
  <si>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</si>
  <si>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</si>
  <si>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</si>
  <si>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</si>
  <si>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</si>
  <si>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</si>
  <si>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</si>
  <si>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</si>
  <si>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</si>
  <si>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</si>
  <si>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</si>
  <si>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</si>
  <si>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</si>
  <si>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</si>
  <si>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</si>
  <si>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</si>
  <si>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</si>
  <si>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</si>
  <si>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</si>
  <si>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</si>
  <si>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</si>
  <si>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</si>
  <si>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</si>
  <si>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</si>
  <si>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</si>
  <si>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</si>
  <si>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</si>
  <si>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</si>
  <si>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</si>
  <si>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</si>
  <si>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</si>
  <si>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</si>
  <si>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</si>
  <si>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</si>
  <si>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</si>
  <si>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</si>
  <si>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</si>
  <si>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</si>
  <si>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</si>
  <si>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</si>
  <si>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</si>
  <si>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</si>
  <si>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</si>
  <si>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</si>
  <si>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</si>
  <si>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</si>
  <si>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</si>
  <si>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</si>
  <si>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</si>
  <si>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</si>
  <si>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</si>
  <si>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</si>
  <si>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</si>
  <si>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</si>
  <si>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</si>
  <si>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</si>
  <si>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</si>
  <si>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</si>
  <si>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</si>
  <si>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</si>
  <si>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</si>
  <si>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</si>
  <si>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</si>
  <si>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</si>
  <si>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</si>
  <si>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</si>
  <si>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</si>
  <si>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</si>
  <si>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</si>
  <si>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</si>
  <si>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</si>
  <si>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</si>
  <si>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</si>
  <si>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</si>
  <si>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</si>
  <si>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</si>
  <si>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</si>
  <si>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</si>
  <si>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</si>
  <si>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</si>
  <si>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</si>
  <si>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</si>
  <si>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</si>
  <si>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</si>
  <si>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</si>
  <si>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</si>
  <si>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</si>
  <si>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</si>
  <si>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</si>
  <si>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</si>
  <si>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</si>
  <si>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</si>
  <si>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</si>
  <si>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</si>
  <si>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</si>
  <si>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</si>
  <si>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</si>
  <si>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</si>
  <si>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</si>
  <si>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</si>
  <si>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</si>
  <si>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</si>
  <si>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</si>
  <si>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</si>
  <si>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</si>
  <si>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</si>
  <si>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</si>
  <si>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</si>
  <si>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</si>
  <si>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</si>
  <si>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</si>
  <si>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</si>
  <si>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</si>
  <si>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</si>
  <si>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</si>
  <si>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</si>
  <si>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</si>
  <si>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</si>
  <si>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</si>
  <si>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</si>
  <si>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</si>
  <si>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</si>
  <si>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</si>
  <si>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</si>
  <si>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</si>
  <si>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</si>
  <si>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</si>
  <si>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</si>
  <si>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</si>
  <si>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</si>
  <si>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</si>
  <si>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</si>
  <si>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</si>
  <si>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</si>
  <si>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</si>
  <si>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</si>
  <si>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</si>
  <si>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</si>
  <si>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</si>
  <si>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</si>
  <si>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</si>
  <si>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</si>
  <si>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</si>
  <si>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</si>
  <si>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</si>
  <si>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</si>
  <si>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</si>
  <si>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</si>
  <si>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</si>
  <si>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</si>
  <si>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</si>
  <si>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</si>
  <si>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</si>
  <si>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</si>
  <si>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</si>
  <si>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</si>
  <si>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</si>
  <si>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</si>
  <si>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</si>
  <si>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</si>
  <si>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</si>
  <si>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</si>
  <si>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</si>
  <si>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</si>
  <si>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</si>
  <si>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</si>
  <si>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</si>
  <si>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</si>
  <si>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</si>
  <si>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</si>
  <si>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</si>
  <si>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</si>
  <si>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</si>
  <si>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</si>
  <si>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</si>
  <si>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</si>
  <si>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</si>
  <si>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</si>
  <si>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</si>
  <si>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</si>
  <si>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</si>
  <si>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</si>
  <si>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</si>
  <si>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</si>
  <si>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</si>
  <si>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</si>
  <si>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</si>
  <si>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</si>
  <si>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</si>
  <si>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</si>
  <si>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</si>
  <si>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</si>
  <si>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</si>
  <si>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</si>
  <si>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</si>
  <si>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</si>
  <si>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</si>
  <si>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</si>
  <si>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</si>
  <si>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</si>
  <si>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</si>
  <si>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</si>
  <si>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</si>
  <si>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</si>
  <si>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</si>
  <si>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</si>
  <si>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</si>
  <si>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</si>
  <si>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</si>
  <si>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</si>
  <si>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</si>
  <si>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</si>
  <si>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</si>
  <si>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</si>
  <si>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</si>
  <si>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</si>
  <si>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</si>
  <si>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</si>
  <si>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</si>
  <si>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</si>
  <si>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</si>
  <si>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</si>
  <si>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</si>
  <si>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</si>
  <si>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</si>
  <si>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</si>
  <si>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</si>
  <si>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</si>
  <si>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</si>
  <si>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</si>
  <si>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</si>
  <si>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</si>
  <si>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</si>
  <si>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</si>
  <si>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</si>
  <si>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</si>
  <si>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</si>
  <si>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</si>
  <si>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</si>
  <si>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</si>
  <si>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</si>
  <si>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</si>
  <si>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</si>
  <si>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</si>
  <si>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</si>
  <si>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</si>
  <si>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</si>
  <si>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</si>
  <si>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</si>
  <si>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</si>
  <si>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</si>
  <si>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</si>
  <si>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</si>
  <si>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</si>
  <si>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</si>
  <si>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</si>
  <si>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</si>
  <si>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</si>
  <si>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</si>
  <si>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</si>
  <si>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</si>
  <si>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</si>
  <si>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</si>
  <si>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</si>
  <si>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</si>
  <si>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</si>
  <si>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</si>
  <si>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</si>
  <si>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</si>
  <si>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</si>
  <si>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</si>
  <si>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</si>
  <si>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</si>
  <si>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</si>
  <si>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</si>
  <si>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</si>
  <si>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</si>
  <si>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</si>
  <si>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</si>
  <si>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</si>
  <si>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</si>
  <si>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</si>
  <si>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</si>
  <si>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</si>
  <si>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</si>
  <si>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</si>
  <si>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</si>
  <si>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</si>
  <si>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</si>
  <si>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</si>
  <si>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</si>
  <si>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</si>
  <si>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</si>
  <si>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</si>
  <si>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</si>
  <si>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</si>
  <si>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</si>
  <si>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</si>
  <si>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</si>
  <si>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</si>
  <si>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</si>
  <si>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</si>
  <si>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</si>
  <si>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</si>
  <si>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</si>
  <si>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</si>
  <si>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</si>
  <si>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</si>
  <si>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</si>
  <si>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</si>
  <si>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</si>
  <si>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</si>
  <si>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</si>
  <si>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</si>
  <si>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</si>
  <si>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</si>
  <si>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</si>
  <si>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</si>
  <si>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</si>
  <si>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</si>
  <si>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</si>
  <si>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</si>
  <si>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</si>
  <si>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</si>
  <si>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</si>
  <si>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</si>
  <si>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</si>
  <si>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</si>
  <si>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</si>
  <si>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</si>
  <si>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</si>
  <si>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</si>
  <si>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</si>
  <si>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</si>
  <si>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</si>
  <si>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</si>
  <si>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</si>
  <si>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</si>
  <si>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</si>
  <si>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</si>
  <si>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</si>
  <si>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</si>
  <si>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</si>
  <si>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</si>
  <si>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</si>
  <si>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</si>
  <si>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</si>
  <si>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</si>
  <si>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</si>
  <si>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</si>
  <si>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</si>
  <si>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</si>
  <si>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</si>
  <si>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</si>
  <si>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</si>
  <si>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</si>
  <si>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</si>
  <si>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</si>
  <si>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</si>
  <si>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</si>
  <si>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</si>
  <si>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</si>
  <si>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</si>
  <si>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</si>
  <si>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</si>
  <si>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</si>
  <si>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</si>
  <si>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</si>
  <si>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</si>
  <si>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</si>
  <si>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</si>
  <si>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</si>
  <si>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</si>
  <si>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</si>
  <si>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</si>
  <si>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</si>
  <si>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</si>
  <si>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</si>
  <si>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</si>
  <si>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</si>
  <si>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</si>
  <si>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</si>
  <si>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</si>
  <si>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</si>
  <si>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</si>
  <si>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</si>
  <si>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</si>
  <si>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</si>
  <si>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</si>
  <si>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</si>
  <si>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</si>
  <si>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</si>
  <si>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</si>
  <si>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</si>
  <si>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</si>
  <si>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</si>
  <si>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</si>
  <si>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</si>
  <si>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</si>
  <si>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</si>
  <si>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</si>
  <si>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</si>
  <si>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</si>
  <si>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</si>
  <si>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</si>
  <si>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</si>
  <si>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</si>
  <si>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</si>
  <si>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</si>
  <si>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</si>
  <si>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</si>
  <si>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</si>
  <si>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</si>
  <si>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</si>
  <si>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</si>
  <si>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</si>
  <si>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</si>
  <si>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</si>
  <si>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</si>
  <si>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</si>
  <si>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</si>
  <si>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</si>
  <si>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</si>
  <si>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</si>
  <si>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</si>
  <si>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</si>
  <si>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</si>
  <si>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</si>
  <si>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</si>
  <si>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</si>
  <si>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</si>
  <si>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</si>
  <si>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</si>
  <si>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</si>
  <si>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</si>
  <si>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</si>
  <si>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</si>
  <si>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</si>
  <si>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</si>
  <si>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</si>
  <si>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</si>
  <si>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</si>
  <si>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</si>
  <si>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</si>
  <si>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</si>
  <si>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</si>
  <si>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</si>
  <si>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</si>
  <si>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</si>
  <si>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</si>
  <si>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</si>
  <si>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</si>
  <si>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</si>
  <si>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</si>
  <si>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</si>
  <si>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</si>
  <si>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</si>
  <si>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</si>
  <si>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</si>
  <si>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</si>
  <si>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</si>
  <si>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</si>
  <si>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</si>
  <si>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</si>
  <si>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</si>
  <si>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</si>
  <si>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</si>
  <si>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</si>
  <si>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</si>
  <si>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</si>
  <si>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</si>
  <si>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</si>
  <si>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</si>
  <si>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</si>
  <si>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</si>
  <si>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</si>
  <si>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</si>
  <si>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</si>
  <si>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</si>
  <si>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</si>
  <si>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</si>
  <si>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</si>
  <si>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</si>
  <si>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</si>
  <si>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</si>
  <si>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</si>
  <si>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</si>
  <si>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</si>
  <si>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</si>
  <si>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</si>
  <si>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</si>
  <si>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</si>
  <si>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</si>
  <si>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</si>
  <si>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</si>
  <si>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</si>
  <si>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</si>
  <si>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</si>
  <si>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</si>
  <si>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</si>
  <si>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</si>
  <si>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</si>
  <si>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</si>
  <si>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</si>
  <si>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</si>
  <si>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</si>
  <si>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</si>
  <si>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</si>
  <si>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</si>
  <si>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</si>
  <si>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</si>
  <si>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</si>
  <si>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</si>
  <si>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</si>
  <si>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</si>
  <si>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</si>
  <si>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</si>
  <si>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</si>
  <si>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</si>
  <si>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</si>
  <si>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</si>
  <si>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</si>
  <si>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</si>
  <si>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</si>
  <si>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</si>
  <si>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</si>
  <si>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</si>
  <si>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</si>
  <si>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</si>
  <si>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</si>
  <si>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</si>
  <si>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</si>
  <si>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</si>
  <si>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</si>
  <si>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</si>
  <si>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</si>
  <si>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</si>
  <si>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</si>
  <si>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</si>
  <si>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</si>
  <si>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</si>
  <si>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</si>
  <si>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</si>
  <si>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</si>
  <si>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</si>
  <si>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</si>
  <si>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</si>
  <si>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</si>
  <si>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</si>
  <si>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</si>
  <si>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</si>
  <si>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</si>
  <si>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</si>
  <si>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</si>
  <si>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</si>
  <si>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</si>
  <si>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</si>
  <si>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</si>
  <si>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</si>
  <si>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</si>
  <si>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</si>
  <si>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</si>
  <si>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</si>
  <si>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</si>
  <si>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</si>
  <si>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</si>
  <si>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</si>
  <si>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</si>
  <si>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</si>
  <si>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</si>
  <si>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</si>
  <si>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</si>
  <si>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</si>
  <si>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</si>
  <si>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</si>
  <si>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</si>
  <si>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</si>
  <si>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</si>
  <si>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</si>
  <si>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</si>
  <si>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</si>
  <si>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</si>
  <si>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</si>
  <si>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</si>
  <si>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</si>
  <si>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</si>
  <si>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</si>
  <si>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</si>
  <si>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</si>
  <si>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</si>
  <si>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</si>
  <si>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</si>
  <si>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</si>
  <si>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</si>
  <si>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</si>
  <si>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</si>
  <si>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</si>
  <si>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</si>
  <si>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</si>
  <si>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</si>
  <si>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</si>
  <si>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</si>
  <si>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</si>
  <si>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</si>
  <si>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</si>
  <si>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</si>
  <si>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</si>
  <si>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</si>
  <si>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</si>
  <si>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</si>
  <si>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</si>
  <si>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</si>
  <si>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</si>
  <si>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</si>
  <si>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</si>
  <si>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</si>
  <si>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</si>
  <si>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</si>
  <si>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</si>
  <si>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</si>
  <si>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</si>
  <si>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</si>
  <si>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</si>
  <si>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</si>
  <si>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</si>
  <si>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</si>
  <si>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</si>
  <si>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</si>
  <si>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</si>
  <si>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</si>
  <si>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</si>
  <si>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</si>
  <si>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</si>
  <si>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</si>
  <si>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</si>
  <si>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</si>
  <si>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</si>
  <si>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</si>
  <si>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</si>
  <si>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</si>
  <si>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</si>
  <si>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</si>
  <si>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</si>
  <si>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</si>
  <si>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</si>
  <si>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</si>
  <si>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</si>
  <si>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</si>
  <si>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</si>
  <si>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</si>
  <si>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</si>
  <si>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</si>
  <si>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</si>
  <si>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</si>
  <si>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</si>
  <si>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</si>
  <si>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</si>
  <si>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</si>
  <si>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</si>
  <si>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</si>
  <si>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</si>
  <si>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</si>
  <si>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</si>
  <si>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</si>
  <si>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</si>
  <si>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</si>
  <si>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</si>
  <si>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</si>
  <si>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</si>
  <si>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</si>
  <si>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</si>
  <si>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</si>
  <si>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</si>
  <si>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</si>
  <si>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</si>
  <si>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</si>
  <si>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</si>
  <si>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</si>
  <si>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</si>
  <si>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</si>
  <si>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</si>
  <si>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</si>
  <si>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</si>
  <si>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</si>
  <si>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</si>
  <si>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</si>
  <si>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</si>
  <si>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</si>
  <si>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</si>
  <si>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</si>
  <si>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</si>
  <si>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</si>
  <si>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</si>
  <si>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</si>
  <si>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</si>
  <si>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</si>
  <si>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</si>
  <si>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</si>
  <si>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</si>
  <si>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</si>
  <si>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</si>
  <si>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</si>
  <si>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</si>
  <si>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</si>
  <si>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</si>
  <si>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</si>
  <si>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</si>
  <si>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</si>
  <si>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</si>
  <si>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</si>
  <si>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</si>
  <si>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</si>
  <si>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</si>
  <si>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</si>
  <si>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</si>
  <si>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</si>
  <si>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</si>
  <si>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</si>
  <si>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</si>
  <si>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</si>
  <si>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</si>
  <si>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</si>
  <si>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</si>
  <si>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</si>
  <si>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</si>
  <si>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</si>
  <si>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</si>
  <si>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</si>
  <si>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</si>
  <si>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</si>
  <si>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</si>
  <si>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</si>
  <si>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</si>
  <si>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</si>
  <si>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</si>
  <si>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</si>
  <si>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</si>
  <si>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</si>
  <si>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</si>
  <si>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</si>
  <si>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</si>
  <si>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</si>
  <si>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</si>
  <si>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</si>
  <si>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</si>
  <si>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</si>
  <si>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</si>
  <si>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</si>
  <si>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</si>
  <si>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</si>
  <si>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</si>
  <si>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</si>
  <si>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</si>
  <si>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</si>
  <si>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</si>
  <si>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</si>
  <si>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</si>
  <si>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</si>
  <si>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</si>
  <si>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</si>
  <si>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</si>
  <si>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</si>
  <si>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</si>
  <si>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</si>
  <si>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</si>
  <si>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</si>
  <si>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</si>
  <si>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</si>
  <si>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</si>
  <si>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</si>
  <si>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</si>
  <si>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</si>
  <si>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</si>
  <si>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</si>
  <si>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</si>
  <si>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</si>
  <si>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</si>
  <si>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</si>
  <si>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</si>
  <si>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</si>
  <si>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</si>
  <si>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</si>
  <si>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</si>
  <si>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</si>
  <si>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</si>
  <si>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</si>
  <si>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</si>
  <si>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</si>
  <si>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</si>
  <si>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</si>
  <si>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</si>
  <si>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</si>
  <si>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</si>
  <si>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</si>
  <si>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</si>
  <si>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</si>
  <si>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</si>
  <si>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</si>
  <si>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</si>
  <si>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</si>
  <si>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</si>
  <si>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</si>
  <si>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</si>
  <si>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</si>
  <si>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</si>
  <si>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</si>
  <si>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</si>
  <si>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</si>
  <si>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</si>
  <si>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</si>
  <si>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</si>
  <si>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</si>
  <si>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</si>
  <si>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</si>
  <si>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</si>
  <si>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</si>
  <si>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</si>
  <si>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</si>
  <si>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</si>
  <si>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</si>
  <si>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</si>
  <si>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</si>
  <si>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</si>
  <si>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</si>
  <si>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</si>
  <si>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</si>
  <si>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</si>
  <si>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</si>
  <si>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</si>
  <si>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</si>
  <si>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</si>
  <si>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</si>
  <si>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</si>
  <si>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</si>
  <si>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</si>
  <si>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</si>
  <si>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</si>
  <si>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</si>
  <si>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</si>
  <si>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</si>
  <si>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</si>
  <si>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</si>
  <si>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</si>
  <si>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</si>
  <si>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</si>
  <si>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</si>
  <si>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</si>
  <si>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</si>
  <si>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</si>
  <si>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</si>
  <si>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</si>
  <si>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</si>
  <si>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</si>
  <si>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</si>
  <si>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</si>
  <si>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</si>
  <si>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</si>
  <si>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</si>
  <si>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</si>
  <si>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</si>
  <si>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</si>
  <si>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</si>
  <si>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</si>
  <si>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</si>
  <si>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</si>
  <si>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</si>
  <si>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</si>
  <si>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</si>
  <si>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</si>
  <si>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</si>
  <si>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</si>
  <si>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</si>
  <si>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</si>
  <si>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</si>
  <si>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</si>
  <si>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</si>
  <si>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</si>
  <si>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</si>
  <si>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</si>
  <si>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</si>
  <si>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</si>
  <si>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</si>
  <si>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</si>
  <si>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</si>
  <si>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</si>
  <si>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</si>
  <si>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</si>
  <si>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</si>
  <si>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</si>
  <si>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</si>
  <si>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</si>
  <si>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</si>
  <si>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</si>
  <si>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</si>
  <si>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</si>
  <si>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</si>
  <si>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</si>
  <si>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</si>
  <si>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</si>
  <si>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</si>
  <si>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</si>
  <si>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</si>
  <si>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</si>
  <si>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</si>
  <si>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</si>
  <si>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</si>
  <si>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</si>
  <si>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</si>
  <si>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</si>
  <si>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</si>
  <si>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</si>
  <si>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</si>
  <si>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</si>
  <si>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</si>
  <si>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</si>
  <si>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</si>
  <si>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</si>
  <si>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</si>
  <si>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</si>
  <si>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</si>
  <si>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</si>
  <si>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</si>
  <si>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</si>
  <si>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</si>
  <si>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</si>
  <si>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</si>
  <si>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</si>
  <si>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</si>
  <si>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</si>
  <si>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</si>
  <si>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</si>
  <si>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</si>
  <si>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</si>
  <si>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</si>
  <si>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</si>
  <si>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</si>
  <si>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</si>
  <si>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</si>
  <si>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</si>
  <si>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</si>
  <si>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</si>
  <si>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</si>
  <si>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</si>
  <si>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</si>
  <si>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</si>
  <si>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</si>
  <si>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</si>
  <si>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</si>
  <si>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</si>
  <si>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</si>
  <si>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</si>
  <si>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</si>
  <si>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</si>
  <si>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</si>
  <si>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</si>
  <si>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</si>
  <si>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</si>
  <si>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</si>
  <si>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</si>
  <si>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</si>
  <si>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</si>
  <si>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</si>
  <si>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</si>
  <si>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</si>
  <si>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</si>
  <si>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</si>
  <si>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</si>
  <si>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</si>
  <si>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</si>
  <si>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</si>
  <si>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</si>
  <si>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</si>
  <si>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</si>
  <si>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</si>
  <si>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</si>
  <si>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</si>
  <si>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</si>
  <si>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</si>
  <si>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</si>
  <si>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</si>
  <si>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</si>
  <si>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</si>
  <si>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</si>
  <si>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</si>
  <si>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</si>
  <si>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</si>
  <si>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</si>
  <si>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</si>
  <si>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</si>
  <si>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</si>
  <si>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</si>
  <si>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</si>
  <si>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</si>
  <si>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</si>
  <si>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</si>
  <si>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</si>
  <si>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</si>
  <si>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</si>
  <si>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</si>
  <si>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</si>
  <si>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</si>
  <si>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</si>
  <si>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</si>
  <si>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</si>
  <si>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</si>
  <si>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</si>
  <si>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</si>
  <si>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</si>
  <si>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</si>
  <si>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</si>
  <si>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</si>
  <si>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</si>
  <si>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</si>
  <si>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</si>
  <si>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</si>
  <si>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</si>
  <si>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</si>
  <si>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</si>
  <si>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</si>
  <si>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</si>
  <si>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</si>
  <si>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</si>
  <si>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</si>
  <si>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</si>
  <si>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</si>
  <si>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</si>
  <si>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</si>
  <si>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</si>
  <si>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</si>
  <si>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</si>
  <si>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</si>
  <si>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</si>
  <si>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</si>
  <si>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</si>
  <si>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</si>
  <si>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</si>
  <si>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</si>
  <si>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</si>
  <si>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</si>
  <si>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</si>
  <si>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</si>
  <si>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</si>
  <si>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</si>
  <si>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</si>
  <si>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</si>
  <si>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</si>
  <si>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</si>
  <si>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</si>
  <si>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</si>
  <si>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</si>
  <si>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</si>
  <si>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</si>
  <si>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</si>
  <si>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</si>
  <si>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</si>
  <si>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</si>
  <si>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</si>
  <si>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</si>
  <si>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</si>
  <si>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</si>
  <si>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</si>
  <si>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</si>
  <si>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</si>
  <si>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</si>
  <si>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</si>
  <si>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</si>
  <si>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</si>
  <si>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</si>
  <si>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</si>
  <si>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</si>
  <si>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</si>
  <si>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</si>
  <si>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</si>
  <si>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</si>
  <si>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</si>
  <si>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</si>
  <si>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</si>
  <si>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</si>
  <si>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</si>
  <si>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</si>
  <si>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</si>
  <si>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</si>
  <si>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</si>
  <si>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</si>
  <si>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</si>
  <si>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</si>
  <si>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</si>
  <si>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</si>
  <si>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</si>
  <si>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</si>
  <si>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</si>
  <si>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</si>
  <si>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</si>
  <si>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</si>
  <si>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</si>
  <si>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</si>
  <si>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</si>
  <si>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</si>
  <si>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</si>
  <si>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</si>
  <si>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</si>
  <si>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</si>
  <si>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</si>
  <si>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</si>
  <si>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</si>
  <si>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</si>
  <si>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</si>
  <si>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</si>
  <si>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</si>
  <si>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</si>
  <si>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</si>
  <si>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</si>
  <si>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</si>
  <si>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</si>
  <si>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</si>
  <si>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</si>
  <si>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</si>
  <si>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</si>
  <si>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</si>
  <si>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</si>
  <si>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</si>
  <si>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</si>
  <si>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</si>
  <si>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</si>
  <si>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</si>
  <si>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</si>
  <si>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</si>
  <si>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</si>
  <si>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</si>
  <si>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</si>
  <si>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</si>
  <si>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</si>
  <si>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</si>
  <si>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</si>
  <si>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</si>
  <si>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</si>
  <si>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</si>
  <si>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</si>
  <si>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</si>
  <si>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</si>
  <si>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</si>
  <si>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</si>
  <si>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</si>
  <si>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</si>
  <si>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</si>
  <si>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</si>
  <si>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</si>
  <si>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</si>
  <si>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</si>
  <si>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</si>
  <si>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</si>
  <si>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</si>
  <si>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</si>
  <si>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</si>
  <si>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</si>
  <si>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</si>
  <si>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</si>
  <si>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</si>
  <si>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</si>
  <si>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</si>
  <si>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</si>
  <si>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</si>
  <si>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</si>
  <si>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</si>
  <si>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</si>
  <si>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</si>
  <si>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</si>
  <si>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</si>
  <si>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</si>
  <si>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</si>
  <si>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</si>
  <si>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</si>
  <si>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</si>
  <si>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</si>
  <si>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</si>
  <si>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</si>
  <si>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</si>
  <si>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</si>
  <si>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</si>
  <si>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</si>
  <si>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</si>
  <si>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</si>
  <si>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</si>
  <si>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</si>
  <si>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</si>
  <si>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</si>
  <si>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</si>
  <si>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</si>
  <si>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</si>
  <si>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</si>
  <si>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</si>
  <si>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</si>
  <si>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</si>
  <si>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</si>
  <si>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</si>
  <si>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</si>
  <si>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</si>
  <si>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</si>
  <si>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</si>
  <si>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</si>
  <si>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</si>
  <si>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</si>
  <si>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</si>
  <si>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</si>
  <si>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</si>
  <si>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</si>
  <si>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</si>
  <si>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</si>
  <si>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</si>
  <si>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</si>
  <si>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</si>
  <si>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</si>
  <si>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</si>
  <si>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</si>
  <si>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</si>
  <si>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</si>
  <si>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</si>
  <si>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</si>
  <si>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</si>
  <si>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</si>
  <si>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</si>
  <si>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</si>
  <si>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</si>
  <si>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</si>
  <si>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</si>
  <si>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</si>
  <si>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</si>
  <si>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</si>
  <si>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</si>
  <si>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</si>
  <si>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</si>
  <si>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</si>
  <si>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</si>
  <si>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</si>
  <si>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</si>
  <si>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</si>
  <si>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</si>
  <si>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</si>
  <si>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</si>
  <si>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</si>
  <si>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</si>
  <si>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</si>
  <si>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</si>
  <si>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</si>
  <si>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</si>
  <si>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</si>
  <si>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</si>
  <si>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</si>
  <si>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</si>
  <si>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</si>
  <si>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</si>
  <si>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</si>
  <si>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</si>
  <si>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</si>
  <si>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</si>
  <si>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</si>
  <si>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</si>
  <si>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</si>
  <si>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</si>
  <si>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</si>
  <si>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</si>
  <si>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</si>
  <si>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</si>
  <si>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</si>
  <si>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</si>
  <si>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</si>
  <si>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</si>
  <si>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</si>
  <si>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</si>
  <si>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</si>
  <si>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</si>
  <si>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</si>
  <si>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</si>
  <si>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</si>
  <si>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</si>
  <si>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</si>
  <si>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</si>
  <si>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</si>
  <si>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</si>
  <si>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</si>
  <si>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</si>
  <si>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</si>
  <si>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</si>
  <si>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</si>
  <si>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</si>
  <si>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</si>
  <si>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</si>
  <si>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</si>
  <si>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</si>
  <si>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</si>
  <si>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</si>
  <si>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</si>
  <si>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</si>
  <si>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</si>
  <si>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</si>
  <si>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</si>
  <si>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</si>
  <si>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</si>
  <si>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</si>
  <si>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</si>
  <si>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</si>
  <si>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</si>
  <si>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</si>
  <si>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</si>
  <si>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</si>
  <si>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</si>
  <si>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</si>
  <si>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</si>
  <si>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</si>
  <si>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</si>
  <si>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</si>
  <si>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</si>
  <si>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</si>
  <si>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</si>
  <si>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</si>
  <si>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</si>
  <si>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</si>
  <si>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</si>
  <si>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</si>
  <si>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</si>
  <si>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</si>
  <si>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</si>
  <si>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</si>
  <si>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</si>
  <si>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</si>
  <si>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</si>
  <si>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</si>
  <si>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</si>
  <si>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</si>
  <si>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</si>
  <si>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</si>
  <si>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</si>
  <si>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</si>
  <si>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</si>
  <si>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</si>
  <si>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</si>
  <si>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</si>
  <si>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</si>
  <si>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</si>
  <si>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</si>
  <si>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</si>
  <si>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</si>
  <si>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</si>
  <si>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</si>
  <si>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</si>
  <si>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</si>
  <si>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</si>
  <si>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</si>
  <si>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</si>
  <si>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</si>
  <si>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</si>
  <si>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</si>
  <si>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</si>
  <si>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</si>
  <si>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</si>
  <si>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</si>
  <si>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</si>
  <si>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</si>
  <si>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</si>
  <si>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</si>
  <si>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</si>
  <si>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</si>
  <si>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</si>
  <si>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</si>
  <si>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</si>
  <si>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</si>
  <si>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</si>
  <si>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</si>
  <si>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</si>
  <si>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</si>
  <si>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</si>
  <si>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</si>
  <si>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</si>
  <si>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</si>
  <si>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</si>
  <si>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</si>
  <si>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</si>
  <si>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</si>
  <si>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</si>
  <si>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</si>
  <si>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</si>
  <si>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</si>
  <si>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</si>
  <si>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</si>
  <si>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</si>
  <si>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</si>
  <si>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</si>
  <si>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</si>
  <si>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</si>
  <si>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</si>
  <si>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</si>
  <si>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</si>
  <si>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</si>
  <si>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</si>
  <si>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</si>
  <si>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</si>
  <si>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</si>
  <si>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</si>
  <si>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</si>
  <si>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</si>
  <si>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</si>
  <si>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</si>
  <si>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</si>
  <si>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</si>
  <si>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</si>
  <si>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</si>
  <si>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</si>
  <si>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</si>
  <si>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</si>
  <si>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</si>
  <si>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</si>
  <si>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</si>
  <si>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</si>
  <si>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</si>
  <si>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</si>
  <si>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</si>
  <si>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</si>
  <si>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</si>
  <si>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</si>
  <si>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</si>
  <si>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</si>
  <si>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</si>
  <si>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</si>
  <si>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</si>
  <si>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</si>
  <si>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</si>
  <si>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</si>
  <si>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</si>
  <si>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</si>
  <si>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</si>
  <si>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</si>
  <si>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</si>
  <si>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</si>
  <si>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</si>
  <si>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</si>
  <si>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</si>
  <si>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</si>
  <si>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</si>
  <si>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</si>
  <si>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</si>
  <si>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</si>
  <si>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</si>
  <si>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</si>
  <si>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</si>
  <si>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</si>
  <si>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</si>
  <si>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</si>
  <si>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</si>
  <si>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</si>
  <si>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</si>
  <si>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</si>
  <si>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</si>
  <si>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</si>
  <si>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</si>
  <si>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</si>
  <si>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</si>
  <si>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</si>
  <si>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</si>
  <si>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</si>
  <si>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</si>
  <si>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</si>
  <si>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</si>
  <si>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</si>
  <si>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</si>
  <si>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</si>
  <si>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</si>
  <si>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</si>
  <si>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</si>
  <si>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</si>
  <si>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</si>
  <si>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</si>
  <si>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</si>
  <si>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</si>
  <si>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</si>
  <si>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</si>
  <si>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</si>
  <si>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</si>
  <si>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</si>
  <si>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</si>
  <si>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</si>
  <si>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</si>
  <si>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</si>
  <si>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</si>
  <si>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</si>
  <si>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</si>
  <si>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</si>
  <si>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</si>
  <si>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</si>
  <si>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</si>
  <si>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</si>
  <si>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</si>
  <si>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</si>
  <si>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</si>
  <si>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</si>
  <si>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</si>
  <si>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</si>
  <si>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</si>
  <si>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</si>
  <si>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</si>
  <si>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</si>
  <si>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</si>
  <si>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</si>
  <si>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</si>
  <si>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</si>
  <si>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</si>
  <si>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</si>
  <si>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</si>
  <si>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</si>
  <si>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</si>
  <si>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</si>
  <si>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</si>
  <si>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</si>
  <si>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</si>
  <si>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</si>
  <si>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</si>
  <si>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</si>
  <si>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</si>
  <si>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</si>
  <si>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</si>
  <si>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</si>
  <si>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</si>
  <si>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</si>
  <si>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</si>
  <si>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</si>
  <si>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</si>
  <si>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</si>
  <si>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</si>
  <si>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</si>
  <si>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</si>
  <si>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</si>
  <si>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</si>
  <si>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</si>
  <si>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</si>
  <si>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</si>
  <si>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</si>
  <si>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</si>
  <si>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</si>
  <si>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</si>
  <si>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</si>
  <si>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</si>
  <si>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</si>
  <si>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</si>
  <si>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</si>
  <si>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</si>
  <si>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</si>
  <si>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</si>
  <si>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</si>
  <si>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</si>
  <si>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</si>
  <si>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</si>
  <si>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</si>
  <si>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</si>
  <si>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</si>
  <si>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</si>
  <si>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</si>
  <si>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</si>
  <si>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</si>
  <si>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</si>
  <si>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</si>
  <si>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</si>
  <si>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</si>
  <si>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</si>
  <si>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</si>
  <si>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</si>
  <si>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</si>
  <si>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</si>
  <si>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</si>
  <si>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</si>
  <si>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</si>
  <si>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</si>
  <si>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</si>
  <si>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</si>
  <si>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</si>
  <si>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</si>
  <si>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</si>
  <si>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</si>
  <si>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</si>
  <si>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</si>
  <si>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</si>
  <si>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</si>
  <si>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</si>
  <si>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</si>
  <si>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</si>
  <si>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</si>
  <si>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</si>
  <si>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</si>
  <si>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</si>
  <si>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</si>
  <si>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</si>
  <si>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</si>
  <si>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</si>
  <si>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</si>
  <si>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</si>
  <si>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</si>
  <si>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</si>
  <si>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</si>
  <si>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</si>
  <si>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</si>
  <si>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</si>
  <si>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</si>
  <si>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</si>
  <si>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</si>
  <si>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</si>
  <si>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</si>
  <si>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</si>
  <si>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</si>
  <si>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</si>
  <si>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</si>
  <si>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</si>
  <si>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</si>
  <si>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</si>
  <si>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</si>
  <si>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</si>
  <si>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</si>
  <si>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</si>
  <si>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</si>
  <si>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</si>
  <si>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</si>
  <si>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</si>
  <si>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</si>
  <si>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</si>
  <si>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</si>
  <si>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</si>
  <si>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</si>
  <si>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</si>
  <si>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</si>
  <si>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</si>
  <si>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</si>
  <si>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</si>
  <si>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</si>
  <si>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</si>
  <si>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</si>
  <si>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</si>
  <si>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</si>
  <si>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</si>
  <si>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</si>
  <si>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</si>
  <si>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</si>
  <si>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</si>
  <si>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</si>
  <si>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</si>
  <si>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</si>
  <si>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</si>
  <si>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</si>
  <si>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</si>
  <si>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</si>
  <si>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</si>
  <si>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</si>
  <si>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</si>
  <si>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</si>
  <si>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</si>
  <si>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</si>
  <si>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</si>
  <si>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</si>
  <si>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</si>
  <si>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</si>
  <si>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</si>
  <si>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</si>
  <si>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</si>
  <si>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</si>
  <si>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</si>
  <si>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</si>
  <si>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</si>
  <si>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</si>
  <si>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</si>
  <si>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</si>
  <si>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</si>
  <si>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</si>
  <si>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</si>
  <si>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</si>
  <si>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</si>
  <si>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</si>
  <si>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</si>
  <si>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</si>
  <si>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</si>
  <si>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</si>
  <si>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</si>
  <si>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</si>
  <si>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</si>
  <si>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</si>
  <si>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</si>
  <si>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</si>
  <si>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</si>
  <si>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</si>
  <si>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</si>
  <si>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</si>
  <si>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</si>
  <si>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</si>
  <si>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</si>
  <si>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</si>
  <si>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</si>
  <si>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</si>
  <si>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</si>
  <si>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</si>
  <si>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</si>
  <si>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</si>
  <si>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</si>
  <si>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</si>
  <si>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</si>
  <si>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</si>
  <si>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</si>
  <si>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</si>
  <si>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</si>
  <si>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</si>
  <si>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</si>
  <si>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</si>
  <si>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</si>
  <si>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</si>
  <si>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</si>
  <si>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</si>
  <si>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</si>
  <si>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</si>
  <si>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</si>
  <si>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</si>
  <si>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</si>
  <si>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</si>
  <si>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</si>
  <si>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</si>
  <si>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</si>
  <si>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</si>
  <si>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</si>
  <si>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</si>
  <si>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</si>
  <si>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</si>
  <si>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</si>
  <si>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</si>
  <si>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</si>
  <si>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</si>
  <si>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</si>
  <si>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</si>
  <si>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</si>
  <si>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</si>
  <si>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</si>
  <si>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</si>
  <si>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</si>
  <si>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</si>
  <si>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</si>
  <si>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</si>
  <si>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</si>
  <si>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</si>
  <si>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</si>
  <si>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</si>
  <si>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</si>
  <si>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</si>
  <si>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</si>
  <si>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</si>
  <si>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</si>
  <si>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</si>
  <si>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</si>
  <si>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</si>
  <si>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</si>
  <si>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</si>
  <si>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</si>
  <si>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</si>
  <si>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</si>
  <si>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</si>
  <si>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</si>
  <si>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</si>
  <si>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</si>
  <si>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</si>
  <si>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</si>
  <si>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</si>
  <si>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</si>
  <si>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</si>
  <si>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</si>
  <si>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</si>
  <si>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</si>
  <si>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</si>
  <si>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</si>
  <si>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</si>
  <si>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</si>
  <si>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</si>
  <si>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</si>
  <si>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</si>
  <si>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</si>
  <si>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</si>
  <si>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</si>
  <si>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</si>
  <si>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</si>
  <si>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</si>
  <si>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</si>
  <si>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</si>
  <si>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</si>
  <si>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</si>
  <si>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</si>
  <si>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</si>
  <si>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</si>
  <si>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</si>
  <si>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</si>
  <si>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</si>
  <si>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</si>
  <si>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</si>
  <si>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</si>
  <si>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</si>
  <si>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</si>
  <si>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</si>
  <si>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</si>
  <si>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</si>
  <si>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</si>
  <si>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</si>
  <si>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</si>
  <si>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</si>
  <si>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</si>
  <si>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</si>
  <si>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</si>
  <si>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</si>
  <si>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</si>
  <si>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</si>
  <si>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</si>
  <si>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</si>
  <si>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</si>
  <si>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</si>
  <si>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</si>
  <si>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</si>
  <si>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</si>
  <si>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</si>
  <si>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</si>
  <si>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</si>
  <si>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</si>
  <si>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</si>
  <si>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</si>
  <si>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</si>
  <si>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</si>
  <si>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</si>
  <si>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</si>
  <si>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</si>
  <si>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</si>
  <si>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</si>
  <si>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</si>
  <si>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</si>
  <si>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</si>
  <si>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</si>
  <si>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</si>
  <si>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</si>
  <si>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</si>
  <si>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</si>
  <si>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</si>
  <si>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</si>
  <si>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</si>
  <si>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</si>
  <si>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</si>
  <si>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</si>
  <si>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</si>
  <si>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</si>
  <si>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</si>
  <si>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</si>
  <si>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</si>
  <si>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</si>
  <si>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</si>
  <si>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</si>
  <si>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</si>
  <si>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</si>
  <si>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</si>
  <si>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</si>
  <si>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</si>
  <si>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</si>
  <si>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</si>
  <si>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</si>
  <si>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</si>
  <si>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</si>
  <si>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</si>
  <si>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</si>
  <si>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</si>
  <si>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</si>
  <si>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</si>
  <si>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</si>
  <si>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</si>
  <si>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</si>
  <si>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</si>
  <si>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</si>
  <si>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</si>
  <si>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</si>
  <si>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</si>
  <si>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</si>
  <si>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</si>
  <si>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</si>
  <si>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</si>
  <si>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</si>
  <si>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</si>
  <si>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</si>
  <si>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</si>
  <si>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</si>
  <si>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</si>
  <si>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</si>
  <si>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</si>
  <si>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</si>
  <si>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</si>
  <si>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</si>
  <si>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</si>
  <si>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</si>
  <si>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</si>
  <si>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</si>
  <si>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</si>
  <si>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</si>
  <si>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</si>
  <si>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</si>
  <si>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</si>
  <si>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</si>
  <si>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</si>
  <si>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</si>
  <si>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</si>
  <si>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</si>
  <si>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</si>
  <si>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</si>
  <si>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</si>
  <si>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</si>
  <si>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</si>
  <si>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</si>
  <si>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</si>
  <si>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</si>
  <si>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</si>
  <si>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</si>
  <si>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</si>
  <si>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</si>
  <si>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</si>
  <si>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</si>
  <si>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</si>
  <si>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</si>
  <si>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</si>
  <si>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</si>
  <si>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</si>
  <si>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</si>
  <si>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</si>
  <si>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</si>
  <si>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</si>
  <si>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</si>
  <si>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</si>
  <si>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</si>
  <si>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</si>
  <si>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</si>
  <si>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</si>
  <si>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</si>
  <si>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</si>
  <si>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</si>
  <si>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</si>
  <si>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</si>
  <si>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</si>
  <si>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</si>
  <si>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</si>
  <si>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</si>
  <si>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</si>
  <si>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</si>
  <si>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</si>
  <si>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</si>
  <si>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</si>
  <si>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</si>
  <si>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</si>
  <si>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</si>
  <si>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</si>
  <si>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</si>
  <si>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</si>
  <si>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</si>
  <si>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</si>
  <si>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</si>
  <si>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</si>
  <si>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</si>
  <si>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</si>
  <si>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</si>
  <si>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</si>
  <si>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</si>
  <si>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</si>
  <si>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</si>
  <si>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</si>
  <si>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</si>
  <si>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</si>
  <si>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</si>
  <si>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</si>
  <si>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</si>
  <si>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</si>
  <si>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</si>
  <si>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</si>
  <si>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</si>
  <si>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</si>
  <si>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</si>
  <si>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</si>
  <si>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</si>
  <si>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</si>
  <si>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</si>
  <si>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</si>
  <si>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</si>
  <si>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</si>
  <si>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</si>
  <si>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</si>
  <si>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</si>
  <si>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</si>
  <si>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</si>
  <si>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</si>
  <si>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</si>
  <si>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</si>
  <si>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</si>
  <si>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</si>
  <si>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</si>
  <si>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</si>
  <si>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</si>
  <si>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</si>
  <si>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</si>
  <si>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</si>
  <si>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</si>
  <si>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</si>
  <si>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</si>
  <si>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</si>
  <si>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</si>
  <si>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</si>
  <si>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</si>
  <si>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</si>
  <si>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</si>
  <si>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</si>
  <si>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</si>
  <si>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</si>
  <si>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</si>
  <si>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</si>
  <si>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</si>
  <si>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</si>
  <si>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</si>
  <si>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</si>
  <si>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</si>
  <si>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</si>
  <si>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</si>
  <si>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</si>
  <si>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</si>
  <si>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</si>
  <si>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</si>
  <si>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</si>
  <si>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</si>
  <si>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</si>
  <si>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</si>
  <si>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</si>
  <si>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</si>
  <si>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</si>
  <si>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</si>
  <si>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</si>
  <si>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</si>
  <si>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</si>
  <si>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</si>
  <si>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</si>
  <si>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</si>
  <si>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</si>
  <si>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</si>
  <si>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</si>
  <si>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</si>
  <si>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</si>
  <si>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</si>
  <si>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</si>
  <si>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</si>
  <si>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</si>
  <si>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</si>
  <si>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</si>
  <si>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</si>
  <si>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</si>
  <si>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</si>
  <si>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</si>
  <si>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</si>
  <si>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</si>
  <si>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</si>
  <si>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</si>
  <si>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</si>
  <si>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</si>
  <si>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</si>
  <si>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</si>
  <si>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</si>
  <si>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</si>
  <si>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</si>
  <si>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</si>
  <si>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</si>
  <si>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</si>
  <si>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</si>
  <si>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</si>
  <si>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</si>
  <si>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</si>
  <si>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</si>
  <si>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</si>
  <si>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</si>
  <si>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</si>
  <si>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</si>
  <si>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</si>
  <si>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</si>
  <si>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</si>
  <si>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</si>
  <si>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</si>
  <si>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</si>
  <si>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</si>
  <si>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</si>
  <si>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</si>
  <si>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</si>
  <si>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</si>
  <si>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</si>
  <si>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</si>
  <si>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</si>
  <si>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</si>
  <si>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</si>
  <si>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</si>
  <si>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</si>
  <si>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</si>
  <si>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</si>
  <si>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</si>
  <si>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</si>
  <si>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</si>
  <si>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</si>
  <si>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</si>
  <si>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</si>
  <si>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</si>
  <si>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</si>
  <si>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</si>
  <si>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</si>
  <si>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</si>
  <si>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</si>
  <si>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</si>
  <si>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</si>
  <si>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</si>
  <si>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</si>
  <si>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</si>
  <si>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</si>
  <si>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</si>
  <si>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</si>
  <si>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</si>
  <si>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</si>
  <si>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</si>
  <si>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</si>
  <si>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</si>
  <si>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</si>
  <si>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</si>
  <si>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</si>
  <si>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</si>
  <si>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</si>
  <si>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</si>
  <si>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</si>
  <si>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</si>
  <si>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</si>
  <si>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</si>
  <si>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</si>
  <si>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</si>
  <si>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</si>
  <si>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</si>
  <si>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</si>
  <si>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</si>
  <si>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</si>
  <si>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</si>
  <si>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</si>
  <si>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</si>
  <si>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</si>
  <si>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</si>
  <si>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</si>
  <si>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</si>
  <si>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</si>
  <si>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</si>
  <si>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</si>
  <si>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</si>
  <si>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</si>
  <si>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</si>
  <si>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</si>
  <si>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</si>
  <si>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</si>
  <si>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</si>
  <si>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</si>
  <si>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</si>
  <si>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</si>
  <si>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</si>
  <si>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</si>
  <si>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</si>
  <si>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</si>
  <si>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</si>
  <si>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</si>
  <si>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</si>
  <si>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</si>
  <si>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</si>
  <si>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</si>
  <si>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</si>
  <si>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</si>
  <si>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</si>
  <si>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</si>
  <si>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</si>
  <si>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</si>
  <si>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</si>
  <si>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</si>
  <si>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</si>
  <si>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</si>
  <si>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</si>
  <si>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</si>
  <si>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</si>
  <si>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</si>
  <si>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</si>
  <si>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</si>
  <si>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</si>
  <si>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</si>
  <si>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</si>
  <si>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</si>
  <si>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</si>
  <si>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</si>
  <si>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</si>
  <si>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</si>
  <si>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</si>
  <si>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</si>
  <si>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</si>
  <si>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</si>
  <si>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</si>
  <si>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</si>
  <si>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</si>
  <si>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</si>
  <si>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</si>
  <si>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</si>
  <si>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</si>
  <si>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</si>
  <si>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</si>
  <si>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</si>
  <si>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</si>
  <si>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</si>
  <si>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</si>
  <si>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</si>
  <si>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</si>
  <si>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</si>
  <si>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</si>
  <si>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</si>
  <si>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</si>
  <si>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</si>
  <si>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</si>
  <si>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</si>
  <si>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</si>
  <si>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</si>
  <si>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</si>
  <si>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</si>
  <si>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</si>
  <si>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</si>
  <si>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</si>
  <si>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</si>
  <si>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</si>
  <si>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</si>
  <si>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</si>
  <si>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</si>
  <si>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</si>
  <si>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</si>
  <si>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</si>
  <si>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</si>
  <si>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</si>
  <si>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</si>
  <si>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</si>
  <si>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</si>
  <si>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</si>
  <si>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</si>
  <si>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</si>
  <si>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</si>
  <si>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</si>
  <si>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</si>
  <si>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</si>
  <si>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</si>
  <si>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</si>
  <si>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</si>
  <si>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</si>
  <si>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</si>
  <si>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</si>
  <si>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</si>
  <si>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</si>
  <si>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</si>
  <si>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</si>
  <si>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</si>
  <si>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</si>
  <si>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</si>
  <si>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</si>
  <si>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</si>
  <si>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</si>
  <si>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</si>
  <si>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</si>
  <si>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</si>
  <si>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</si>
  <si>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</si>
  <si>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</si>
  <si>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</si>
  <si>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</si>
  <si>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</si>
  <si>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</si>
  <si>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</si>
  <si>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</si>
  <si>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</si>
  <si>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</si>
  <si>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</si>
  <si>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</si>
  <si>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</si>
  <si>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</si>
  <si>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</si>
  <si>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60 Piedmont Avenue</t>
  </si>
  <si>
    <t>Vice President</t>
  </si>
  <si>
    <t>epinckney@integral-online.com</t>
  </si>
  <si>
    <t xml:space="preserve">Ashley Auburn Pointe II </t>
  </si>
  <si>
    <t>No</t>
  </si>
  <si>
    <t>Yes- w/Master Plan</t>
  </si>
  <si>
    <t>Yes</t>
  </si>
  <si>
    <t>City of Atlanta</t>
  </si>
  <si>
    <t>Kasim Reed</t>
  </si>
  <si>
    <t>55 Trinity Avenue</t>
  </si>
  <si>
    <t>Mayor</t>
  </si>
  <si>
    <t>Family</t>
  </si>
  <si>
    <t>Eric Pinckney</t>
  </si>
  <si>
    <t>Grady Multifamily II, L.P.</t>
  </si>
  <si>
    <t>Grady Multifamily II, L.P. c/o Eric Pinckney</t>
  </si>
  <si>
    <t>Grady Multifamily GP II, LLC</t>
  </si>
  <si>
    <t>Grady Redevelopment LLC</t>
  </si>
  <si>
    <t>Renee Glover</t>
  </si>
  <si>
    <t>Executive Director</t>
  </si>
  <si>
    <t>Renee.Glover@atlantahousing.org</t>
  </si>
  <si>
    <t>230 John Wesley Dobbs Ave</t>
  </si>
  <si>
    <t>100 Auburn Avenue</t>
  </si>
  <si>
    <t>Kenneth Chestnut</t>
  </si>
  <si>
    <t>COO</t>
  </si>
  <si>
    <t>Kchestnut@ibgcs.com</t>
  </si>
  <si>
    <t>Denise Koehl</t>
  </si>
  <si>
    <t>Chief Operating Officer</t>
  </si>
  <si>
    <t>DKoehl@ims-ms.com</t>
  </si>
  <si>
    <t>Arnall, Golden and Gregory</t>
  </si>
  <si>
    <t>171 17th Street</t>
  </si>
  <si>
    <t>Jonathan Eady</t>
  </si>
  <si>
    <t>Partner</t>
  </si>
  <si>
    <t>jonathan.eady@agg.com</t>
  </si>
  <si>
    <t>For Profit</t>
  </si>
  <si>
    <t>HUD Insured Loan</t>
  </si>
  <si>
    <t>Atlanta Housing Autority</t>
  </si>
  <si>
    <t>Masterplanning</t>
  </si>
  <si>
    <t>FHA &amp; Other Financing Fees</t>
  </si>
  <si>
    <t>DDA/QCT</t>
  </si>
  <si>
    <t>Bank chg, software, training, credit checks, model unit</t>
  </si>
  <si>
    <t>Payroll Taxes</t>
  </si>
  <si>
    <t>Water Billing: Tenant Payment to tenants</t>
  </si>
  <si>
    <t>100 Bell Street</t>
  </si>
  <si>
    <t>3+ Story</t>
  </si>
  <si>
    <t>PHA Oper Sub</t>
  </si>
  <si>
    <t>The Housing Authority of the City of Atlanta, GA</t>
  </si>
  <si>
    <t>230 John Wesley Dobbs</t>
  </si>
  <si>
    <t>Integral Property Management LLC</t>
  </si>
  <si>
    <t>IBG Construction Services LLC</t>
  </si>
  <si>
    <t>Other(see comments)</t>
  </si>
  <si>
    <t>Agree</t>
  </si>
  <si>
    <t>Allen &amp; Associates Consulting</t>
  </si>
  <si>
    <t>Prater &amp; York, LLC</t>
  </si>
  <si>
    <t>Contract/Option</t>
  </si>
  <si>
    <t>Grady Multifamily II, LP</t>
  </si>
  <si>
    <t>Georgia Power</t>
  </si>
  <si>
    <t>The community will only use Electric power and will not have any Gas</t>
  </si>
  <si>
    <t>The City of Atlanta</t>
  </si>
  <si>
    <t>Room</t>
  </si>
  <si>
    <t>Covered Porch</t>
  </si>
  <si>
    <t>Washer and dryer in each unit</t>
  </si>
  <si>
    <t>Covered Pavilion with Picnic &amp; Barbeque Facilities</t>
  </si>
  <si>
    <t>Furnished Arts &amp; Crafts/Activities Center</t>
  </si>
  <si>
    <t>Minority concentration</t>
  </si>
  <si>
    <t>Earth Craft House</t>
  </si>
  <si>
    <t>HOPE VI or Choice Neighborhoods Initiative</t>
  </si>
  <si>
    <t>2008-063</t>
  </si>
  <si>
    <t>Veranda II at Auburn Pointe</t>
  </si>
  <si>
    <t>Pass</t>
  </si>
  <si>
    <t>GC Cost Certification</t>
  </si>
  <si>
    <t>Working Capital (4% of 1st Mortgage Loan)</t>
  </si>
  <si>
    <t>Renee L. Glover</t>
  </si>
  <si>
    <t>renee.glover@atlantahousing.org</t>
  </si>
  <si>
    <t>Ashley Auburn Pointe II currently meets the City of Atlanta Zoning under the RG4 Regulation.  RG Sector 4 requires 1.1 parking spaces per dwelling unit.</t>
  </si>
  <si>
    <t>Habif, Arogeti &amp; Wynne, L.L.P</t>
  </si>
  <si>
    <t>Allison Fossyl</t>
  </si>
  <si>
    <t>Senior Manager</t>
  </si>
  <si>
    <t xml:space="preserve">alison.fossyl@hawcpa.com </t>
  </si>
  <si>
    <t>I-75/85, Dobbins ARB, Marta Rail, and CSX Rail</t>
  </si>
  <si>
    <t>None</t>
  </si>
  <si>
    <t>27, 28, 28, 30, 32, 35</t>
  </si>
  <si>
    <t xml:space="preserve">The property is adjacent to the MARTA King Memorial Train Station and is served by multiple bus lines. </t>
  </si>
  <si>
    <t xml:space="preserve">Ashley Auburn Pointe II will be designed to meet certification through the EarthCraft Multifamily Program sponsored by the Southface Energy Institute. Through the EarthCraft Multifamily certification process, Ashley Auburn Pointe II will also earn ENERGY STAR certification.  Properties certified by the EarthCraft program meet strict energy efficiency criteria in the planning, construction, and operational phases.  Ashley Auburn Pointe II will use resource efficient design and building materials, careful construction waste management and recycling, and energy efficient building envelopes and systems to lower the environmental impact of construction and to reduce the resource consumption by residents.  
</t>
  </si>
  <si>
    <t xml:space="preserve">Auburn Pointe is a Master Planned Community that is transforming the former Grady Homes into a vibrant community that will include multigenerational housing with distinctive and diverse architecture.  The Grady Homes HOPE VI revitalization is a joint effort of The Atlanta Housing Authority and Grady Redevelopment, LLC, a joint-venture of Integral Development LLC and Urban Realty Partners.  The project has become a catalyst for initiating the long anticipated economic resurgence of the neighborhood immediately adjacent to the historic Sweet Auburn District.  Since the revitalization began there has been new private investment in the neighborhood bringing an increase in retail, dining, service, and entertainment options for the residents.  The revitalized Auburn Pointe community will capitalize on the inherent strengths of location, convenient access to diverse transportation, history, and strong public/private partnership in the area to create an exemplary urban neighborhood with unique culture and identity.  </t>
  </si>
  <si>
    <t xml:space="preserve">Auburn Pointe is located in a high profile neighborhood.  It links with Downtown Atlanta’s vibrant shopping, entertainment and employment centers, and state-of-the art educational opportunities. Auburn Pointe is in close proximity to the Georgia State Capitol, State offices, Fulton County offices, the Atlanta Central Business District, Georgia State University, Turner Field, Phillips Arena, and the Martin Luther King Jr. Historical Site.  The community is located near all of Atlanta’s major highways, (I-20 E/W, I-75/85 N/S).  It is adjacent to the MARTA King Memorial train station, and is served by three MARTA bus routes, providing convenient access to the residents.  It is only a block away from Edgewood Avenue, where the new east-west trolley line will run and connect with the Atlanta Beltline. </t>
  </si>
  <si>
    <t xml:space="preserve">Ashley Auburn Pointe II will help meet the need in the neighborhood for safe, affordable, energy efficient rental housing.  It will consist of 150 multi-family residential units, which will include (i) 54-1-bedroom units; (ii) 82-2-bedroom units; and (iii) 14-3-bedroom units. This mixed-income community will incorporate 60% affordable units and 40% market rate units.  The variety of floor plans and affordability levels will allow Ashley Auburn Pointe II to be marketable to a diverse spectrum of residents. The Ashley Auburn Pointe II project is being implemented with strong support by the local community, the City of Atlanta, and the Atlanta Housing Authority.   </t>
  </si>
  <si>
    <t xml:space="preserve">The tenants of a multifamily community need a variety of amenities suitable to a multigenerational population. Ashley Auburn Pointe II will be rich in amenities.  The units will offer gracious home living while creating an urban environment for downtown living.  EnergyStar refrigerators and dishwashers, in-sink disposals, stoves with powder-based fire suppression canisters, and washers and dryers will be standard appliances in every unit. Units will also feature ceiling fans and programmable thermostats.  The units will be pre-wired for security.  Community amenities for Ashley Auburn Pointe II include a pavilion with barbeque and picnic areas, a well-equipped playground, business center, furnished arts &amp; crafts room, and a recycling center.  Ashley Auburn Pointe II will feature a spacious community room to serve as meeting and event space that leads to a covered exterior gathering space.  </t>
  </si>
  <si>
    <t xml:space="preserve">Auburn Pointe is a Master Planned Community as defined in the 2011 QAP.  It is the redevelopment of the former Grady Homes by Grady Redevelopment LLC and the Atlanta Housing Authority.  Ashley II is Phase IV of the HOPE VI redevelopment and the fifth on-site phase. </t>
  </si>
  <si>
    <t>643 11th Street</t>
  </si>
  <si>
    <t>Fred Geheber</t>
  </si>
  <si>
    <t>fgeheber@GLAATL.com</t>
  </si>
  <si>
    <t>Construction hard costs were generated by our affiliate, IBG Construction Services, Inc (IBG).  IBG has years of General Contracting and Construction Management experience on similar projects with DCA.  They have estimated the construction cost using design specification assumptions based upon similar projects and requirements per the 2011 Architectural Manaual.  Pricing is based on current market conditions.  The Construction Cost estimate is included in Tab 8.</t>
  </si>
  <si>
    <t>08-062</t>
  </si>
  <si>
    <t>08-063</t>
  </si>
  <si>
    <t>Veranda III at Auburn Pointe</t>
  </si>
  <si>
    <t>09-028</t>
  </si>
  <si>
    <t>Mechanicsville Ph 6</t>
  </si>
  <si>
    <t>AHA PreDev Loan Fee, Prepaid Const. Int., Insp Fee, &amp; Loan Fees</t>
  </si>
  <si>
    <t>Turnover</t>
  </si>
  <si>
    <t>Lights include Other Electric (include Base Charge), Range/Microwave, and Refrigerator</t>
  </si>
  <si>
    <t>The utility allowances are applied to the tenant portion of the rent.</t>
  </si>
  <si>
    <t>Ashley Auburn Pointe II will be a mixed-income project located on land owned by the Atlanta Housing Authority.  The land and AHA units are exempt from taxes under O.C.G.A § 8-3-8.  A copy of the statute has been placed in Tab 8 for reference along with the calculation of real estate taxes.</t>
  </si>
  <si>
    <t>Additional Professional Fees - Noise Study</t>
  </si>
  <si>
    <t xml:space="preserve">Since the site on which Ashley Auburn Pointe II is being developed once contained housing units as Grady Homes, the project may be eligible for a full or partial impact fee waiver.  That will not be determined until the building permit is issued.  The City of Atlanta sets a cap each year on fee waivers granted, and permits issued after the cap is reached will not be granted waivers.  In addition, the length of time between the demolition of Grady Homes and the construction of Ashley Auburn Pointe II may be too long for a waiver to be granted.  To be conservative, an estimated Impact Fee is included in the Uses of Funds. </t>
  </si>
  <si>
    <t>Oppenheimer Multifamily 221(d)4</t>
  </si>
  <si>
    <t>Atlanta Housing Authority Loan</t>
  </si>
  <si>
    <t>Atlanta Housing Authority</t>
  </si>
  <si>
    <t>The terms of the Deferred Developer Fee are in the Development Services Agreement between Grady Redevelopment, LLC and Grady Multifamily II, LP. A copy of the agreement is included in Tab 5.</t>
  </si>
  <si>
    <t xml:space="preserve">The applicant has applied for funding for an FHA 221(d)4 loan through Oppenheimer Multifamily.  A copy of the letter from Oppenheimer outlining the terms is included in Tab 5, Financing Commitments. </t>
  </si>
  <si>
    <t>Hudson Housing Capital</t>
  </si>
  <si>
    <t>Sugar Creek Realty LLC</t>
  </si>
  <si>
    <t>Hudson Financial Capital, LLC</t>
  </si>
  <si>
    <t>630 Fifth Avenue, Suite 2850</t>
  </si>
  <si>
    <t>New York</t>
  </si>
  <si>
    <t>Sam Ganeshan</t>
  </si>
  <si>
    <t>Managing Director</t>
  </si>
  <si>
    <t>Sugar Creek Realty, LLC</t>
  </si>
  <si>
    <t>17 West Lockwood</t>
  </si>
  <si>
    <t>St. Louis</t>
  </si>
  <si>
    <t xml:space="preserve">The  insurance amount is based upon a quote from McGriff Seibels Williams that is included in Tab 8.  The quote includes permanent property, general liability, and umbrella coverage using current pricing.  </t>
  </si>
  <si>
    <t>Atlanta Affordable Housing for the Future, Inc. ("AAHFI"), is an affiliate of the Atlanta Housing Authority, and has a 0.01% of the partnership interest as a Special Limited Partner.  It is shown above as "Other GP1"</t>
  </si>
  <si>
    <t>The 6.5% of Property Management Fee includes 5.5% to Integral Property Management and 1% Asset Management Services Fee to Atlanta Housing Authority.  The AHA fee is included in the Loan Commitment included in Tab 5.</t>
  </si>
  <si>
    <t>The required services will be coordinated by the on-site manager and resident services coordinator</t>
  </si>
  <si>
    <t xml:space="preserve">The market study comments that the unit mix may include too many 60% AMI 2-bedroom units based upon current vacancies of this unit type.  These vacancies include 38 units at Mechanicsville 6 currently under construction.  The units will be aborbed prior to the placed in service date of Ashley Auburn Pointe II.  The Ashley II unit mix was developed in reaction to </t>
  </si>
  <si>
    <t xml:space="preserve">demand at Ashley Auburn Pointe phase I.  The study suggests that the proposed $1300 3-bedroom market rent is above achievable rent.  The proposed rent is below the $1325 currently achieved by Capitol Gateway II, a similar project within 1/2 mile from Ashley Auburn Pointe II so the applicant believes it is achievable for this property. </t>
  </si>
  <si>
    <t xml:space="preserve">The land is owned by the Atlanta Housing Authority.  The applicant anticipates entering into a long-term ground lease with AHA at the financial closing.  A copy of the Option to Lease is </t>
  </si>
  <si>
    <t>included in Tab 12.</t>
  </si>
  <si>
    <t>A copy of the Option to Lease from the Atlanta Housing Authority is included in Tab 12.</t>
  </si>
  <si>
    <t>The site zoning is RG-4. The Conceptual Site Development Plan included in the application is consistent with RG-4 zoning designation with the allowance for the set-back variances approved</t>
  </si>
  <si>
    <t xml:space="preserve"> for the entire former Grady Homes site.</t>
  </si>
  <si>
    <t xml:space="preserve">Ashley Auburn Pointe II was presented to the Atlanta Neigborhood Planning Unit M.  A support letter from NPU-M is included in tab 16, along with an adopted Atlanta City Council Resolution </t>
  </si>
  <si>
    <t>and a support letter from Mayor Kasim Reed.</t>
  </si>
  <si>
    <t>18A does not appear to apply to new construction projects such as Ashley Auburn Pointe II</t>
  </si>
  <si>
    <t>Qualified without Conditions</t>
  </si>
  <si>
    <t xml:space="preserve">The applicant's understanding is that it is not necessary to submit the Uniform Release Forms in the application since the Project Team submitted a pre-application request for determination and </t>
  </si>
  <si>
    <t>NA</t>
  </si>
  <si>
    <t>There will be 23 units restricted to tenants with incomes at or below 50% AMI. The tenant portion of the rent will likewise be restricted.   All units will be subsidized by AHA.</t>
  </si>
  <si>
    <t>The project team has experience with multiple projects that have been EarthCraft Multifamily Certified.  A Certificate of Attendance to DCA's Sustainability Workshop is included in Tab 29.</t>
  </si>
  <si>
    <t xml:space="preserve">AHA owns the entire site of the former Grady Homes.  Grady Redevelopment LLC has development rights to the entire site through a Revitalization Agreement with AHA. </t>
  </si>
  <si>
    <t xml:space="preserve">Applicant believes there is strong demand for this project based upon the strong response to Ashley Auburn Pointe I.  The non-subsidized tax credit units and market units were completely leased in under 4 months and there is a current wait list for the tax credit units.  The AHA subsidized units took longer due to the process of reoccupancy of former residents of Grady Homes. </t>
  </si>
  <si>
    <t xml:space="preserve">During the lease-up of Ashley Auburn Pointe I, the nearby mixed income community of Capitol Gateway maintained occupancy above 90% in both phases, showing there is a demand in this corridor. </t>
  </si>
  <si>
    <t>City of Atlanta / Atlanta Housing Authority</t>
  </si>
  <si>
    <t xml:space="preserve">The City of Atlanta and the Atlanta Housing Authority are going to renovate Selena S. Butler Park, which is adjacent to Auburn Pointe.  Improvements include a new bocce ball court, walking path around a multipurpose field, picnic area with gazebo and grills, fitness station, playground equipment, landscaping, lighting.  Existing tennis and basketball courts will be resurfaced. </t>
  </si>
  <si>
    <t xml:space="preserve">LOCAL GOVERNMENT FEES includes an amount for Impact Fee.  The project may be eligible for a full or partial waiver but that will not be determined until the permit is issued. The budget does not include Construction Real Estate Taxes because the land is owned by AHA and is therefore exempt under O.C.G.A § 8-3-8 during the construction and permanent period.   A narrative is included in Tab 8.  Under PROFESSIONAL SERVICES, Accounting includes 10% Test, Cost/Basis Certification, Annual Audit/Tax Return, and  DSCR certification.             </t>
  </si>
  <si>
    <t>Geheber Lewis Associates, LLC (formerly Nelson Southeast Operating Company)</t>
  </si>
  <si>
    <t>Other Predevelopment costs include the financing costs of the second mortgage and predevelopment loans provided by the Atlanta Housing Authority.  The costs include a $10,000 predevelopment loan fee, $110,000 in financing fees,  $269,956 in construction interest, and $13,000 in inspection fees. A copy of the commitment letter is included in Tab 5.</t>
  </si>
  <si>
    <t xml:space="preserve">Operating Subsidy is calculated in an amount equal to the difference between rent collected (assumed tenant rents equal to zero for tax credit application purpose) and the cost to operate the 51 public housing units on a breakeven basis.   The Replacement Reserve amount per unit per year is the calculated amount required by the first mortgage lender using HUD guidelines. That calculation yields the largest replacement reserve requirement. </t>
  </si>
  <si>
    <t>The Asset Management Fee includes a $10,000 Administrative Expense Reimbursement to Hudson Housing Capital LLC per the terms of the LOI included in Tab 5.  It also includes the $5000 State Asset Management Fee to Sugar Creek Realty LLC, calculated per the terms of the LOI located in Tab 5.  We have assumed a 3% annual CPI adjustment.  Per the terms of the LOI from Hudson Housing Capital LLC, an Incentive Management Fee of 90% of available cash flow to the GP is shown.</t>
  </si>
  <si>
    <t>sam.ganeshan@hudsonhousing.com</t>
  </si>
  <si>
    <t>The applicant's understanding is that the Contract Addendum is only required for projects using DCA HOME funds</t>
  </si>
  <si>
    <t>was predetermined to be Qualified without Conditions.</t>
  </si>
  <si>
    <t>Chris Hite</t>
  </si>
  <si>
    <t>Director of State Tax Credits</t>
  </si>
  <si>
    <t>chite@sugarcreekrealtyllc.com</t>
  </si>
  <si>
    <t xml:space="preserve">The General Contractor and Management Company have an Identity of Interest with the Managing General Partner and Developer through their affiliation with the Principals of The Integral Group LLC.  </t>
  </si>
  <si>
    <t>Ashley Auburn Pointe II</t>
  </si>
  <si>
    <t>Grady Revelopment / Integral Development</t>
  </si>
  <si>
    <t>Centennial Senior Partnership I, LP</t>
  </si>
  <si>
    <t>Veranda at Centennial Place</t>
  </si>
  <si>
    <t>Centennial Senior GP I, LLC</t>
  </si>
  <si>
    <t>Integral Development, LLC</t>
  </si>
  <si>
    <t>Atlanta Affordable Housing for the Future, Inc.</t>
  </si>
  <si>
    <t xml:space="preserve">The Federal Equity Contribution is calculated using the investor's ownership percentage of 98.98% as shown in the organizational chart and in the letter from Hudson Housing Capital located in Tab 5. </t>
  </si>
  <si>
    <t>Construction Loan Fee includes 2.00% of financing fee and 1.5% of placement fee. Permanent FHA fees are included under "Other Permanent Financing Fees" and include FHA MIP, Exam, and Inspection Fees at 0.90%, 0.30%, and 0.50%, respectively, in addition to $15,000 of architectural review. These fees are stated in the Loan Commitment Letter from Oppenheimer Multifamily in Tab 5.  Construction Insurance includes Builder's Risk and first year Permanent Premiums, which are based on a quote from McGriff Seibels Williams located in Tab 8.  A $2700 Front End Analysis Fee is included per Q&amp;A#5 response #15 since an identity of interest exists with the contractor.</t>
  </si>
  <si>
    <t xml:space="preserve">The commitment letter from Oppenheimer Multifamily is located in Tab 5.  Oppenheimer has submitted a MAP pre-application for a FHA 221(d)4 first mortgage.    We anticipate receiving the HUD </t>
  </si>
  <si>
    <t xml:space="preserve">Invitation to Submit letter prior to July 29, 2011. </t>
  </si>
  <si>
    <t xml:space="preserve">The site is accessible from Bell Street and the new streets that were installed as part of the public improvements performed by the Developer and AHA.  The new streets, Auburn Pointe Drive, </t>
  </si>
  <si>
    <t>Veranda  Circle and Labord Lane are in place and in the process of being dedicated to the City of Atlanta.  A copy of the survey and site map are located in Tab 13.</t>
  </si>
  <si>
    <t xml:space="preserve">Applicant agrees that the additional amenties will meet the DCA Guidebook standards. Part D is NA. </t>
  </si>
  <si>
    <t>A copy of the site plan and the master plan showing the site and the surrounding uses iare included in Tab 18.</t>
  </si>
  <si>
    <t>18 months to 94%</t>
  </si>
  <si>
    <t>18 months tp 94%</t>
  </si>
  <si>
    <t xml:space="preserve">Ashley Auburn Pointe II is a mixed-income, mixed-finance project that will combine public and private financing to continue the revitalization of an important corridor in Downtown Atlanta, </t>
  </si>
  <si>
    <t>Ashley Auburn Pointe II is Phase IV of the HOPE VI revitalization of the former public housing community known as Grady Homes.  Documentation from the Atlanta Housing Authority is included in Tab 2 and Tab 31.</t>
  </si>
  <si>
    <t xml:space="preserve">The City commitment letter is included in Tab 37, along with a commitment letter from AHA to provide $800,000 in funds for grading, hardscape, paving, landscaping and equipment installation.  The design is underway and construction is anticipated to begin in July 2011 and to be complete by October 2011. </t>
  </si>
  <si>
    <t xml:space="preserve">There is an open 8823 on Centennial Phase I pertaining to a building set-aside issue.  The issue arose from an incorrect selection to treat each building as an individual project on the 8609s, which resulted in one building having too few units set aside to be treated as an individual project.  A copy of the Private Letter Ruling request to the IRS seeking modification of the set-aside </t>
  </si>
  <si>
    <t xml:space="preserve">election was provided to DCA by April 1, 2011.  The open 8823 results in a 1 point deduction.  The Project Team qualifies for 3 bonus points by owning &amp; managing 10 qualifying projects. </t>
  </si>
  <si>
    <t>Ashley Auburn Pointe II is Phase IV of the HOPE VI revitalization plan.  It is the second phase of multifamily development at Auburn Pointe and will be located on two parcels comprised of 5.45 acres. There are currently four on-site phases and one off-site phase in various stages of development.  The original on-site phase, a senior apartment building known as Veranda I, opened in 2008 and remains 100% occupied. Two more on-site senior phases, Veranda II and Veranda III, will be open in June and July 2011.  Ashley Auburn Pointe I, the first on-site phase of 154 multifamily apartments, opened in late 2010.   The non-subsidized units achieved full occupancy by March 2011 and the total project reached 100% occupancy by May.  The subsidized units took slightly longer to occupy due to the process for the reoccupancy of former residents of Grady Homes.  The rapid lease-up of Ashley I demonstrates a strong demand and need for rental housing in the area with a range of affordability levels.  Ashley I has a diverse resident population including young professionals, students, traditional families and multigenerational families. The opening of Ashley I had no impact on the occupancy of the nearby Capitol Gateway, a mixed-income community less than 0.5 miles from Auburn Pointe.  Both phases of the 421-unit community increased occupancy during the same period, up to 94%.</t>
  </si>
  <si>
    <t xml:space="preserve">The streetscapes at Auburn Pointe feature various distinctive facades and newly-improved pedestrian-friendly streets.  The public improvements performed in conjunction with revitalization include new water lines and new separated storm and sanitary sewer lines.  The existing streets surrounding Auburn Pointe have been completely rebuilt, and new streets have been installed within the Auburn Pointe community to improve neighborhood connectivity.  The streets improvements included the installation of new sidewalks, curbs and gutters, landscape strips, and pedestrian scale lighting.  Overhead utilities have been buried underground to remove pedestrian obstacles and to reduce service breaks caused by downed lines.  As part of the continued investment in the public infrastructure, the preservation and reactivation of Selena S. Butler Park, the neighborhood park, is a critical part of the Auburn Pointe master plan.  With the addition of Ashley Auburn Pointe II to the community, the neighborhood density will be enough for the City and the Atlanta Housing Authority to partner in the redevelopment of Butler Park. </t>
  </si>
  <si>
    <t xml:space="preserve">The Phase I environmental report has been provided in a separate binder included with the application. The Atlanta Housing Authority submitted a HUD 4128 but has not yet received a response.  </t>
  </si>
  <si>
    <t xml:space="preserve">The noise consultant concludes that the project as planned meets HUD &amp; DCA requirements.  </t>
  </si>
  <si>
    <t>11 A.1) is not applicable to this project.  The utility letters are located in Tab 15.</t>
  </si>
  <si>
    <t>N/A - This parcel is a vacant parcel owned byt the Atlanta Housing Authority.</t>
  </si>
  <si>
    <t xml:space="preserve">encouraging further private investment in the area. </t>
  </si>
  <si>
    <t xml:space="preserve">A copy of the Option to Ground Lease is included in Tab 12.  It has nominal rent and a term at least a minimum of 45 years.  The City Department of Parks, Recreation and Cultural Affairs was prompted to begin the renovation of Selena S. Butler Park due to the increased neighborhood density that Ashley Auburn Pointe II will bring.  The City is providing approximately $200,000 directly and has arranged for approximately $300,000 in financial, equipment, and in-kind contributions from other third parties.  </t>
  </si>
  <si>
    <t>3644 Memorial Senior LP</t>
  </si>
  <si>
    <t>Veteran Senior Housing - Assisted Living</t>
  </si>
  <si>
    <t>3644 Memorial Senior GP, LLC</t>
  </si>
  <si>
    <t xml:space="preserve">The exterior 69.22 DNL for NAL 2 , the highest NAL, was for a height at the 3rd floor level.  Adjusting for a 6 foot tall person using the outside use area resulted in a 63.24 DNL.  The composite exterior wall materials to be used as indicated by the project  architect results in a on-line HUD STraCAT TOOL interior noise rating of 42.95 DNL for NAL 2. </t>
  </si>
  <si>
    <t>Veranda II (08-063) and Veranda III (08-062) at Auburn Pointe and Veranda at UniversityHomes (2010-055) have all received allocations within the last three funding cycles. Construction has begun and completed on Veranda I (06-041) and Ashley I (07-050) at Auburn Pointe.  Veranda II (08-063) has received its CO and Veranda III will have its CO by 7/30/11</t>
  </si>
  <si>
    <t>Egbert Perry</t>
  </si>
  <si>
    <t>Vicki Lundy Wilbon</t>
  </si>
  <si>
    <t>CEO</t>
  </si>
  <si>
    <t>Eperry@integral-online.com</t>
  </si>
  <si>
    <t>Vlwilbon@integral-online.com</t>
  </si>
  <si>
    <t xml:space="preserve">Ashley Auburn Pointe II is located in downtown Atlanta, within walking distance to the Central Business District, local and state government offices, Georgia State University, the Sweet Auburn Curb Market, the Martin Luther King Historic Site, Atlanta-Fulton Public Library, Georgia State University, Children's Healthcare of Atlanta, Ebenezer Baptist Church, Big Bethel AME Church, Rolling Bones Barbeque and multiple shopping, dining and entertainment options. The project is less than 1/2 mile from Grady Memorial Hospital. </t>
  </si>
  <si>
    <t xml:space="preserve">The Second Mortgage from AHA is a “soft” loan with the only payment obligations coming from cash flow after the first mortgage and MIP payments. Please see the full loan terms in the commitment letter in Tab 5. </t>
  </si>
  <si>
    <t>Ashley Auburn Pointe I</t>
  </si>
  <si>
    <t>07-050</t>
  </si>
  <si>
    <t>2011-013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</si>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</sst>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43" fontId="10" fillId="6" borderId="18"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 fontId="10" fillId="5" borderId="17"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43" fontId="58" fillId="5" borderId="37" xfId="1" applyNumberFormat="1" applyFont="1" applyFill="1" applyBorder="1" applyAlignment="1" applyProtection="1">
      <alignment horizontal="right"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D12" sqref="D12"/>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2011-013, Ashley Auburn Pointe II , Fulton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3827</v>
      </c>
      <c r="B3" s="752"/>
      <c r="C3" s="752"/>
      <c r="D3" s="752"/>
      <c r="E3" s="752"/>
      <c r="F3" s="752"/>
      <c r="G3" s="752"/>
    </row>
    <row r="4" spans="1:9" s="42" customFormat="1" ht="8.25" customHeight="1">
      <c r="A4" s="98"/>
      <c r="B4" s="761" t="s">
        <v>1338</v>
      </c>
      <c r="C4" s="762"/>
      <c r="D4" s="762"/>
      <c r="E4" s="762" t="s">
        <v>3893</v>
      </c>
      <c r="F4" s="767"/>
      <c r="G4" s="99" t="s">
        <v>781</v>
      </c>
    </row>
    <row r="5" spans="1:9" s="42" customFormat="1" ht="8.25" customHeight="1">
      <c r="A5" s="100" t="s">
        <v>783</v>
      </c>
      <c r="B5" s="763"/>
      <c r="C5" s="764"/>
      <c r="D5" s="764"/>
      <c r="E5" s="764"/>
      <c r="F5" s="768"/>
      <c r="G5" s="101" t="s">
        <v>784</v>
      </c>
    </row>
    <row r="6" spans="1:9" s="42" customFormat="1" ht="8.25" customHeight="1">
      <c r="A6" s="102" t="s">
        <v>785</v>
      </c>
      <c r="B6" s="765"/>
      <c r="C6" s="766"/>
      <c r="D6" s="766"/>
      <c r="E6" s="766"/>
      <c r="F6" s="769"/>
      <c r="G6" s="103" t="s">
        <v>786</v>
      </c>
    </row>
    <row r="7" spans="1:9" s="42" customFormat="1" ht="3" customHeight="1">
      <c r="A7" s="100"/>
      <c r="B7" s="394"/>
      <c r="C7" s="394"/>
      <c r="D7" s="394"/>
      <c r="E7" s="306"/>
      <c r="F7" s="710"/>
      <c r="G7" s="311"/>
    </row>
    <row r="8" spans="1:9" s="42" customFormat="1" ht="12.6" customHeight="1" thickBot="1">
      <c r="A8" s="104"/>
      <c r="B8" s="711"/>
      <c r="C8" s="391"/>
      <c r="D8" s="391"/>
      <c r="E8" s="711" t="s">
        <v>1075</v>
      </c>
      <c r="F8" s="391"/>
      <c r="G8" s="1084" t="s">
        <v>3926</v>
      </c>
      <c r="I8" s="1085"/>
    </row>
    <row r="9" spans="1:9" s="42" customFormat="1" ht="12.6" customHeight="1" thickBot="1">
      <c r="A9" s="100"/>
      <c r="B9" s="404" t="s">
        <v>1422</v>
      </c>
      <c r="C9" s="404"/>
      <c r="D9" s="405"/>
      <c r="E9" s="306"/>
      <c r="F9" s="710"/>
      <c r="G9" s="710"/>
    </row>
    <row r="10" spans="1:9" s="42" customFormat="1" ht="12" customHeight="1">
      <c r="A10" s="387">
        <v>1</v>
      </c>
      <c r="B10" s="406" t="s">
        <v>2137</v>
      </c>
      <c r="C10" s="241"/>
      <c r="D10" s="392"/>
      <c r="E10" s="392" t="s">
        <v>2308</v>
      </c>
      <c r="F10" s="392"/>
      <c r="G10" s="1084" t="s">
        <v>3926</v>
      </c>
    </row>
    <row r="11" spans="1:9" s="42" customFormat="1" ht="12" customHeight="1">
      <c r="A11" s="104"/>
      <c r="B11" s="392"/>
      <c r="C11" s="392"/>
      <c r="D11" s="392"/>
      <c r="E11" s="392" t="s">
        <v>2138</v>
      </c>
      <c r="F11" s="392"/>
      <c r="G11" s="1084" t="s">
        <v>2253</v>
      </c>
    </row>
    <row r="12" spans="1:9" s="42" customFormat="1" ht="12" customHeight="1">
      <c r="A12" s="104"/>
      <c r="B12" s="392"/>
      <c r="C12" s="418"/>
      <c r="D12" s="1086"/>
      <c r="E12" s="392" t="s">
        <v>804</v>
      </c>
      <c r="F12" s="391"/>
      <c r="G12" s="1084" t="s">
        <v>3926</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3926</v>
      </c>
    </row>
    <row r="15" spans="1:9" s="42" customFormat="1" ht="12" customHeight="1">
      <c r="A15" s="104"/>
      <c r="B15" s="392"/>
      <c r="C15" s="392"/>
      <c r="D15" s="392"/>
      <c r="E15" s="393" t="s">
        <v>805</v>
      </c>
      <c r="F15" s="392"/>
      <c r="G15" s="1084" t="s">
        <v>3926</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3767</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3926</v>
      </c>
    </row>
    <row r="22" spans="1:7" s="42" customFormat="1" ht="12" customHeight="1">
      <c r="A22" s="100"/>
      <c r="B22" s="394"/>
      <c r="C22" s="394"/>
      <c r="D22" s="394"/>
      <c r="E22" s="753" t="s">
        <v>150</v>
      </c>
      <c r="F22" s="754"/>
      <c r="G22" s="1084" t="s">
        <v>3926</v>
      </c>
    </row>
    <row r="23" spans="1:7" s="42" customFormat="1" ht="12" customHeight="1">
      <c r="A23" s="100"/>
      <c r="B23" s="394"/>
      <c r="C23" s="394"/>
      <c r="D23" s="394"/>
      <c r="E23" s="396" t="s">
        <v>509</v>
      </c>
      <c r="F23" s="395"/>
      <c r="G23" s="1084" t="s">
        <v>3926</v>
      </c>
    </row>
    <row r="24" spans="1:7" s="42" customFormat="1" ht="12" customHeight="1">
      <c r="A24" s="100"/>
      <c r="B24" s="394"/>
      <c r="C24" s="394"/>
      <c r="D24" s="394"/>
      <c r="E24" s="396" t="s">
        <v>510</v>
      </c>
      <c r="F24" s="395"/>
      <c r="G24" s="1084" t="s">
        <v>3926</v>
      </c>
    </row>
    <row r="25" spans="1:7" s="42" customFormat="1" ht="3" customHeight="1">
      <c r="A25" s="104"/>
      <c r="B25" s="241"/>
      <c r="C25" s="392"/>
      <c r="D25" s="392"/>
      <c r="E25" s="1086"/>
      <c r="F25" s="392"/>
      <c r="G25" s="105"/>
    </row>
    <row r="26" spans="1:7" s="42" customFormat="1" ht="12" customHeight="1">
      <c r="A26" s="104"/>
      <c r="B26" s="711"/>
      <c r="C26" s="407" t="s">
        <v>946</v>
      </c>
      <c r="D26" s="392"/>
      <c r="E26" s="392" t="s">
        <v>3768</v>
      </c>
      <c r="F26" s="392"/>
      <c r="G26" s="1084" t="s">
        <v>2253</v>
      </c>
    </row>
    <row r="27" spans="1:7" s="42" customFormat="1" ht="12" customHeight="1">
      <c r="A27" s="104"/>
      <c r="B27" s="392"/>
      <c r="C27" s="392"/>
      <c r="D27" s="392"/>
      <c r="E27" s="1086" t="s">
        <v>3502</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3574</v>
      </c>
      <c r="F34" s="395"/>
      <c r="G34" s="1084" t="s">
        <v>2253</v>
      </c>
    </row>
    <row r="35" spans="1:7" s="42" customFormat="1" ht="12" customHeight="1">
      <c r="A35" s="100"/>
      <c r="B35" s="394"/>
      <c r="C35" s="394"/>
      <c r="D35" s="394"/>
      <c r="E35" s="396" t="s">
        <v>3575</v>
      </c>
      <c r="F35" s="395"/>
      <c r="G35" s="1084" t="s">
        <v>2253</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3576</v>
      </c>
      <c r="F37" s="395"/>
      <c r="G37" s="1084" t="s">
        <v>2253</v>
      </c>
    </row>
    <row r="38" spans="1:7" s="42" customFormat="1" ht="12" customHeight="1">
      <c r="A38" s="104"/>
      <c r="B38" s="241"/>
      <c r="C38" s="392"/>
      <c r="D38" s="392"/>
      <c r="E38" s="396" t="s">
        <v>3499</v>
      </c>
      <c r="F38" s="392"/>
      <c r="G38" s="1084" t="s">
        <v>2253</v>
      </c>
    </row>
    <row r="39" spans="1:7" s="42" customFormat="1" ht="12" customHeight="1">
      <c r="A39" s="104"/>
      <c r="B39" s="241"/>
      <c r="C39" s="392"/>
      <c r="D39" s="392"/>
      <c r="E39" s="396" t="s">
        <v>3909</v>
      </c>
      <c r="F39" s="392"/>
      <c r="G39" s="1084" t="s">
        <v>2253</v>
      </c>
    </row>
    <row r="40" spans="1:7" s="42" customFormat="1" ht="12" customHeight="1">
      <c r="A40" s="100"/>
      <c r="B40" s="394"/>
      <c r="C40" s="394"/>
      <c r="D40" s="394"/>
      <c r="E40" s="396" t="s">
        <v>1905</v>
      </c>
      <c r="F40" s="395"/>
      <c r="G40" s="1084" t="s">
        <v>2253</v>
      </c>
    </row>
    <row r="41" spans="1:7" s="42" customFormat="1" ht="12" customHeight="1">
      <c r="A41" s="100"/>
      <c r="B41" s="394"/>
      <c r="C41" s="394"/>
      <c r="D41" s="394"/>
      <c r="E41" s="396" t="s">
        <v>1904</v>
      </c>
      <c r="F41" s="395"/>
      <c r="G41" s="1084" t="s">
        <v>2253</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084" t="s">
        <v>3926</v>
      </c>
    </row>
    <row r="44" spans="1:7" s="42" customFormat="1" ht="12" customHeight="1">
      <c r="A44" s="104"/>
      <c r="B44" s="241"/>
      <c r="C44" s="711"/>
      <c r="D44" s="392"/>
      <c r="E44" s="396" t="s">
        <v>3420</v>
      </c>
      <c r="F44" s="392"/>
      <c r="G44" s="1084" t="s">
        <v>3926</v>
      </c>
    </row>
    <row r="45" spans="1:7" s="42" customFormat="1" ht="12" customHeight="1">
      <c r="A45" s="104"/>
      <c r="B45" s="241"/>
      <c r="C45" s="711"/>
      <c r="D45" s="392"/>
      <c r="E45" s="392" t="s">
        <v>3421</v>
      </c>
      <c r="F45" s="392"/>
      <c r="G45" s="1084" t="s">
        <v>2253</v>
      </c>
    </row>
    <row r="46" spans="1:7" s="42" customFormat="1" ht="12" customHeight="1">
      <c r="A46" s="104"/>
      <c r="B46" s="241"/>
      <c r="C46" s="392"/>
      <c r="D46" s="392"/>
      <c r="E46" s="392" t="s">
        <v>3422</v>
      </c>
      <c r="F46" s="392"/>
      <c r="G46" s="1084" t="s">
        <v>3926</v>
      </c>
    </row>
    <row r="47" spans="1:7" s="42" customFormat="1" ht="24.6" customHeight="1">
      <c r="A47" s="104"/>
      <c r="B47" s="241"/>
      <c r="C47" s="392"/>
      <c r="D47" s="392"/>
      <c r="E47" s="755" t="s">
        <v>3858</v>
      </c>
      <c r="F47" s="756"/>
      <c r="G47" s="1084" t="s">
        <v>2253</v>
      </c>
    </row>
    <row r="48" spans="1:7" s="42" customFormat="1" ht="12" customHeight="1">
      <c r="A48" s="104"/>
      <c r="B48" s="241"/>
      <c r="C48" s="392"/>
      <c r="D48" s="392"/>
      <c r="E48" s="392" t="s">
        <v>3483</v>
      </c>
      <c r="F48" s="396"/>
      <c r="G48" s="1084" t="s">
        <v>3926</v>
      </c>
    </row>
    <row r="49" spans="1:7" s="42" customFormat="1" ht="12" customHeight="1">
      <c r="A49" s="104"/>
      <c r="B49" s="241"/>
      <c r="C49" s="392"/>
      <c r="D49" s="392"/>
      <c r="E49" s="396" t="s">
        <v>3423</v>
      </c>
      <c r="F49" s="396"/>
      <c r="G49" s="1084" t="s">
        <v>3926</v>
      </c>
    </row>
    <row r="50" spans="1:7" s="42" customFormat="1" ht="12" customHeight="1">
      <c r="A50" s="107"/>
      <c r="B50" s="241"/>
      <c r="C50" s="392"/>
      <c r="D50" s="392"/>
      <c r="E50" s="750" t="s">
        <v>466</v>
      </c>
      <c r="F50" s="751"/>
      <c r="G50" s="1084" t="s">
        <v>2253</v>
      </c>
    </row>
    <row r="51" spans="1:7" s="42" customFormat="1" ht="12" customHeight="1">
      <c r="A51" s="387">
        <v>4</v>
      </c>
      <c r="B51" s="1087" t="s">
        <v>1022</v>
      </c>
      <c r="C51" s="392"/>
      <c r="D51" s="392"/>
      <c r="E51" s="1086" t="s">
        <v>1411</v>
      </c>
      <c r="F51" s="392"/>
      <c r="G51" s="1084" t="s">
        <v>3926</v>
      </c>
    </row>
    <row r="52" spans="1:7" s="42" customFormat="1" ht="12" customHeight="1">
      <c r="A52" s="387"/>
      <c r="B52" s="1087"/>
      <c r="C52" s="392"/>
      <c r="D52" s="392"/>
      <c r="E52" s="1086" t="s">
        <v>3582</v>
      </c>
      <c r="F52" s="392"/>
      <c r="G52" s="1084" t="s">
        <v>2253</v>
      </c>
    </row>
    <row r="53" spans="1:7" s="42" customFormat="1" ht="12.6" customHeight="1">
      <c r="A53" s="104"/>
      <c r="B53" s="392"/>
      <c r="C53" s="392"/>
      <c r="D53" s="1086"/>
      <c r="E53" s="397" t="s">
        <v>3545</v>
      </c>
      <c r="F53" s="396"/>
      <c r="G53" s="1084" t="s">
        <v>2253</v>
      </c>
    </row>
    <row r="54" spans="1:7" s="42" customFormat="1" ht="12.6" customHeight="1">
      <c r="A54" s="104"/>
      <c r="B54" s="392"/>
      <c r="C54" s="392"/>
      <c r="D54" s="1086"/>
      <c r="E54" s="397" t="s">
        <v>3765</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3503</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084" t="s">
        <v>3926</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3926</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70" t="s">
        <v>1846</v>
      </c>
      <c r="F66" s="771"/>
      <c r="G66" s="1084" t="s">
        <v>3926</v>
      </c>
    </row>
    <row r="67" spans="1:7" s="42" customFormat="1" ht="12" customHeight="1">
      <c r="A67" s="104"/>
      <c r="B67" s="392"/>
      <c r="C67" s="418"/>
      <c r="D67" s="392"/>
      <c r="E67" s="441" t="s">
        <v>1847</v>
      </c>
      <c r="F67" s="399"/>
      <c r="G67" s="1084" t="s">
        <v>3926</v>
      </c>
    </row>
    <row r="68" spans="1:7" s="42" customFormat="1" ht="12" customHeight="1">
      <c r="A68" s="104"/>
      <c r="B68" s="392"/>
      <c r="C68" s="392"/>
      <c r="D68" s="392"/>
      <c r="E68" s="1086" t="s">
        <v>1901</v>
      </c>
      <c r="F68" s="398"/>
      <c r="G68" s="1084" t="s">
        <v>3924</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3926</v>
      </c>
    </row>
    <row r="74" spans="1:7" s="42" customFormat="1" ht="12" customHeight="1">
      <c r="A74" s="104"/>
      <c r="B74" s="392"/>
      <c r="C74" s="392"/>
      <c r="D74" s="392"/>
      <c r="E74" s="398" t="s">
        <v>3512</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3504</v>
      </c>
      <c r="F76" s="392"/>
      <c r="G76" s="1084" t="s">
        <v>2253</v>
      </c>
    </row>
    <row r="77" spans="1:7" s="42" customFormat="1" ht="12" customHeight="1">
      <c r="A77" s="104"/>
      <c r="B77" s="392"/>
      <c r="C77" s="413"/>
      <c r="D77" s="413"/>
      <c r="E77" s="396" t="s">
        <v>3859</v>
      </c>
      <c r="F77" s="400"/>
      <c r="G77" s="1084" t="s">
        <v>2253</v>
      </c>
    </row>
    <row r="78" spans="1:7" s="42" customFormat="1" ht="12" customHeight="1">
      <c r="A78" s="104"/>
      <c r="B78" s="392"/>
      <c r="C78" s="413"/>
      <c r="D78" s="413"/>
      <c r="E78" s="396" t="s">
        <v>3860</v>
      </c>
      <c r="F78" s="400"/>
      <c r="G78" s="1084" t="s">
        <v>2253</v>
      </c>
    </row>
    <row r="79" spans="1:7" s="42" customFormat="1" ht="12" customHeight="1">
      <c r="A79" s="104"/>
      <c r="B79" s="392"/>
      <c r="C79" s="392"/>
      <c r="D79" s="392"/>
      <c r="E79" s="392" t="s">
        <v>3861</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3926</v>
      </c>
    </row>
    <row r="82" spans="1:7" s="42" customFormat="1" ht="6" customHeight="1">
      <c r="A82" s="104"/>
      <c r="B82" s="241"/>
      <c r="C82" s="711"/>
      <c r="D82" s="392"/>
      <c r="E82" s="398"/>
      <c r="F82" s="398"/>
      <c r="G82" s="147"/>
    </row>
    <row r="83" spans="1:7" s="42" customFormat="1" ht="12" customHeight="1">
      <c r="A83" s="387">
        <v>8</v>
      </c>
      <c r="B83" s="408" t="s">
        <v>3425</v>
      </c>
      <c r="C83" s="241"/>
      <c r="D83" s="392"/>
      <c r="E83" s="398" t="s">
        <v>1902</v>
      </c>
      <c r="F83" s="398"/>
      <c r="G83" s="1084" t="s">
        <v>3926</v>
      </c>
    </row>
    <row r="84" spans="1:7" s="42" customFormat="1" ht="12" customHeight="1">
      <c r="A84" s="104"/>
      <c r="B84" s="241"/>
      <c r="C84" s="711"/>
      <c r="D84" s="392"/>
      <c r="E84" s="398" t="s">
        <v>3795</v>
      </c>
      <c r="F84" s="398"/>
      <c r="G84" s="1084" t="s">
        <v>2253</v>
      </c>
    </row>
    <row r="85" spans="1:7" s="42" customFormat="1" ht="6" customHeight="1">
      <c r="A85" s="104"/>
      <c r="B85" s="711"/>
      <c r="C85" s="392"/>
      <c r="D85" s="392"/>
      <c r="E85" s="1086"/>
      <c r="F85" s="398"/>
      <c r="G85" s="314"/>
    </row>
    <row r="86" spans="1:7" s="42" customFormat="1" ht="12" customHeight="1">
      <c r="A86" s="387">
        <v>9</v>
      </c>
      <c r="B86" s="406" t="s">
        <v>3702</v>
      </c>
      <c r="C86" s="241"/>
      <c r="D86" s="392"/>
      <c r="E86" s="1086" t="s">
        <v>3880</v>
      </c>
      <c r="F86" s="398"/>
      <c r="G86" s="1084" t="s">
        <v>3926</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3885</v>
      </c>
      <c r="F90" s="1088"/>
      <c r="G90" s="1084" t="s">
        <v>3926</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3463</v>
      </c>
      <c r="F92" s="398"/>
      <c r="G92" s="1084" t="s">
        <v>3926</v>
      </c>
    </row>
    <row r="93" spans="1:7" s="42" customFormat="1" ht="12" customHeight="1">
      <c r="A93" s="104"/>
      <c r="B93" s="396"/>
      <c r="C93" s="241"/>
      <c r="D93" s="396"/>
      <c r="E93" s="396" t="s">
        <v>724</v>
      </c>
      <c r="F93" s="402"/>
      <c r="G93" s="1084" t="s">
        <v>3926</v>
      </c>
    </row>
    <row r="94" spans="1:7" s="42" customFormat="1" ht="12" customHeight="1">
      <c r="A94" s="104"/>
      <c r="B94" s="392"/>
      <c r="C94" s="241"/>
      <c r="D94" s="392"/>
      <c r="E94" s="396" t="s">
        <v>3881</v>
      </c>
      <c r="F94" s="398"/>
      <c r="G94" s="1084"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3926</v>
      </c>
    </row>
    <row r="97" spans="1:7" s="42" customFormat="1" ht="12" customHeight="1">
      <c r="A97" s="104"/>
      <c r="B97" s="241"/>
      <c r="C97" s="241"/>
      <c r="D97" s="392"/>
      <c r="E97" s="392" t="s">
        <v>3330</v>
      </c>
      <c r="F97" s="392"/>
      <c r="G97" s="1084" t="s">
        <v>2253</v>
      </c>
    </row>
    <row r="98" spans="1:7" s="42" customFormat="1" ht="12" customHeight="1">
      <c r="A98" s="104"/>
      <c r="B98" s="392"/>
      <c r="C98" s="241"/>
      <c r="D98" s="392"/>
      <c r="E98" s="392" t="s">
        <v>3270</v>
      </c>
      <c r="F98" s="392"/>
      <c r="G98" s="1084" t="s">
        <v>2253</v>
      </c>
    </row>
    <row r="99" spans="1:7" s="42" customFormat="1" ht="12" customHeight="1">
      <c r="A99" s="104"/>
      <c r="B99" s="391"/>
      <c r="C99" s="241"/>
      <c r="D99" s="392"/>
      <c r="E99" s="396" t="s">
        <v>3271</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3926</v>
      </c>
    </row>
    <row r="102" spans="1:7" s="42" customFormat="1" ht="12" customHeight="1">
      <c r="A102" s="104"/>
      <c r="B102" s="391"/>
      <c r="C102" s="241"/>
      <c r="D102" s="396"/>
      <c r="E102" s="750" t="s">
        <v>908</v>
      </c>
      <c r="F102" s="751"/>
      <c r="G102" s="1084" t="s">
        <v>3926</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084" t="s">
        <v>2253</v>
      </c>
    </row>
    <row r="105" spans="1:7" s="42" customFormat="1" ht="12" customHeight="1">
      <c r="A105" s="104"/>
      <c r="B105" s="396"/>
      <c r="C105" s="241"/>
      <c r="D105" s="396"/>
      <c r="E105" s="397" t="s">
        <v>3766</v>
      </c>
      <c r="F105" s="392"/>
      <c r="G105" s="1084" t="s">
        <v>2253</v>
      </c>
    </row>
    <row r="106" spans="1:7" s="42" customFormat="1" ht="12" customHeight="1">
      <c r="A106" s="104"/>
      <c r="B106" s="392"/>
      <c r="C106" s="241"/>
      <c r="D106" s="1086"/>
      <c r="E106" s="392" t="s">
        <v>3506</v>
      </c>
      <c r="F106" s="392"/>
      <c r="G106" s="1084" t="s">
        <v>3926</v>
      </c>
    </row>
    <row r="107" spans="1:7" s="42" customFormat="1" ht="12" customHeight="1">
      <c r="A107" s="104"/>
      <c r="B107" s="391"/>
      <c r="C107" s="241"/>
      <c r="D107" s="392"/>
      <c r="E107" s="392" t="s">
        <v>1651</v>
      </c>
      <c r="F107" s="392"/>
      <c r="G107" s="1084" t="s">
        <v>3926</v>
      </c>
    </row>
    <row r="108" spans="1:7" s="42" customFormat="1" ht="12" customHeight="1">
      <c r="A108" s="104"/>
      <c r="B108" s="392"/>
      <c r="C108" s="241"/>
      <c r="D108" s="392"/>
      <c r="E108" s="396" t="s">
        <v>1652</v>
      </c>
      <c r="F108" s="402"/>
      <c r="G108" s="1084" t="s">
        <v>3926</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3464</v>
      </c>
      <c r="F110" s="402"/>
      <c r="G110" s="1084" t="s">
        <v>2253</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1909</v>
      </c>
      <c r="F112" s="396"/>
      <c r="G112" s="1084" t="s">
        <v>3926</v>
      </c>
    </row>
    <row r="113" spans="1:7" s="42" customFormat="1" ht="12" customHeight="1">
      <c r="A113" s="104"/>
      <c r="B113" s="772"/>
      <c r="C113" s="773"/>
      <c r="D113" s="773"/>
      <c r="E113" s="396" t="s">
        <v>1910</v>
      </c>
      <c r="F113" s="396"/>
      <c r="G113" s="1084" t="s">
        <v>3926</v>
      </c>
    </row>
    <row r="114" spans="1:7" s="42" customFormat="1" ht="12" customHeight="1">
      <c r="A114" s="104"/>
      <c r="B114" s="772"/>
      <c r="C114" s="773"/>
      <c r="D114" s="773"/>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3546</v>
      </c>
      <c r="F116" s="398"/>
      <c r="G116" s="1084" t="s">
        <v>2253</v>
      </c>
    </row>
    <row r="117" spans="1:7" s="42" customFormat="1" ht="12" customHeight="1">
      <c r="A117" s="104"/>
      <c r="B117" s="602" t="s">
        <v>3081</v>
      </c>
      <c r="C117" s="241"/>
      <c r="D117" s="1089"/>
      <c r="E117" s="403" t="s">
        <v>3547</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3926</v>
      </c>
    </row>
    <row r="120" spans="1:7" s="42" customFormat="1" ht="12" customHeight="1">
      <c r="A120" s="387"/>
      <c r="B120" s="602" t="s">
        <v>3395</v>
      </c>
      <c r="C120" s="406"/>
      <c r="D120" s="392"/>
      <c r="E120" s="393" t="s">
        <v>2527</v>
      </c>
      <c r="F120" s="392"/>
      <c r="G120" s="1084" t="s">
        <v>3926</v>
      </c>
    </row>
    <row r="121" spans="1:7" s="42" customFormat="1" ht="12" customHeight="1">
      <c r="A121" s="104"/>
      <c r="B121" s="241"/>
      <c r="C121" s="392"/>
      <c r="D121" s="392"/>
      <c r="E121" s="392" t="s">
        <v>3304</v>
      </c>
      <c r="F121" s="392"/>
      <c r="G121" s="1084" t="s">
        <v>3926</v>
      </c>
    </row>
    <row r="122" spans="1:7" s="42" customFormat="1" ht="12" customHeight="1">
      <c r="A122" s="104"/>
      <c r="B122" s="392"/>
      <c r="C122" s="392"/>
      <c r="D122" s="392"/>
      <c r="E122" s="392" t="s">
        <v>3882</v>
      </c>
      <c r="F122" s="392"/>
      <c r="G122" s="1084" t="s">
        <v>3926</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3519</v>
      </c>
      <c r="F124" s="396"/>
      <c r="G124" s="1084" t="s">
        <v>3926</v>
      </c>
    </row>
    <row r="125" spans="1:7" s="42" customFormat="1" ht="12" customHeight="1">
      <c r="A125" s="104"/>
      <c r="B125" s="396"/>
      <c r="C125" s="391"/>
      <c r="D125" s="396"/>
      <c r="E125" s="396" t="s">
        <v>890</v>
      </c>
      <c r="F125" s="396"/>
      <c r="G125" s="1084" t="s">
        <v>3926</v>
      </c>
    </row>
    <row r="126" spans="1:7" s="42" customFormat="1" ht="12" customHeight="1">
      <c r="A126" s="104"/>
      <c r="B126" s="396"/>
      <c r="C126" s="391"/>
      <c r="D126" s="396"/>
      <c r="E126" s="396" t="s">
        <v>3520</v>
      </c>
      <c r="F126" s="396"/>
      <c r="G126" s="1084" t="s">
        <v>2253</v>
      </c>
    </row>
    <row r="127" spans="1:7" s="42" customFormat="1" ht="12" customHeight="1">
      <c r="A127" s="104"/>
      <c r="B127" s="396"/>
      <c r="C127" s="415"/>
      <c r="D127" s="396"/>
      <c r="E127" s="396" t="s">
        <v>3521</v>
      </c>
      <c r="F127" s="396"/>
      <c r="G127" s="1084" t="s">
        <v>3926</v>
      </c>
    </row>
    <row r="128" spans="1:7" s="42" customFormat="1" ht="12" customHeight="1">
      <c r="A128" s="104"/>
      <c r="B128" s="396"/>
      <c r="C128" s="396"/>
      <c r="D128" s="416"/>
      <c r="E128" s="396" t="s">
        <v>3522</v>
      </c>
      <c r="F128" s="396"/>
      <c r="G128" s="1084" t="s">
        <v>2253</v>
      </c>
    </row>
    <row r="129" spans="1:7" s="42" customFormat="1" ht="12" customHeight="1">
      <c r="A129" s="104"/>
      <c r="B129" s="396"/>
      <c r="C129" s="396"/>
      <c r="D129" s="416"/>
      <c r="E129" s="396" t="s">
        <v>3523</v>
      </c>
      <c r="F129" s="396"/>
      <c r="G129" s="1084" t="s">
        <v>2253</v>
      </c>
    </row>
    <row r="130" spans="1:7" s="1090" customFormat="1" ht="12" customHeight="1">
      <c r="A130" s="104"/>
      <c r="B130" s="396"/>
      <c r="C130" s="396"/>
      <c r="D130" s="416"/>
      <c r="E130" s="396" t="s">
        <v>3543</v>
      </c>
      <c r="F130" s="396"/>
      <c r="G130" s="1084" t="s">
        <v>3926</v>
      </c>
    </row>
    <row r="131" spans="1:7" s="42" customFormat="1" ht="24.6" customHeight="1">
      <c r="A131" s="107"/>
      <c r="B131" s="396"/>
      <c r="C131" s="396"/>
      <c r="D131" s="396"/>
      <c r="E131" s="750" t="s">
        <v>3544</v>
      </c>
      <c r="F131" s="751"/>
      <c r="G131" s="1084" t="s">
        <v>3926</v>
      </c>
    </row>
    <row r="132" spans="1:7" s="42" customFormat="1" ht="12.6" customHeight="1">
      <c r="A132" s="387">
        <v>20</v>
      </c>
      <c r="B132" s="414" t="s">
        <v>823</v>
      </c>
      <c r="C132" s="1086"/>
      <c r="D132" s="1086"/>
      <c r="E132" s="396" t="s">
        <v>467</v>
      </c>
      <c r="F132" s="396"/>
      <c r="G132" s="1084" t="s">
        <v>3926</v>
      </c>
    </row>
    <row r="133" spans="1:7" s="42" customFormat="1" ht="12" customHeight="1">
      <c r="A133" s="104"/>
      <c r="B133" s="396"/>
      <c r="C133" s="391"/>
      <c r="D133" s="396"/>
      <c r="E133" s="396" t="s">
        <v>3663</v>
      </c>
      <c r="F133" s="396"/>
      <c r="G133" s="1084" t="s">
        <v>3926</v>
      </c>
    </row>
    <row r="134" spans="1:7" s="42" customFormat="1" ht="12" customHeight="1">
      <c r="A134" s="104"/>
      <c r="B134" s="396"/>
      <c r="C134" s="415"/>
      <c r="D134" s="396"/>
      <c r="E134" s="396" t="s">
        <v>722</v>
      </c>
      <c r="F134" s="396"/>
      <c r="G134" s="1084" t="s">
        <v>3926</v>
      </c>
    </row>
    <row r="135" spans="1:7" s="42" customFormat="1" ht="12" customHeight="1">
      <c r="A135" s="104"/>
      <c r="B135" s="396"/>
      <c r="C135" s="396"/>
      <c r="D135" s="416"/>
      <c r="E135" s="396" t="s">
        <v>723</v>
      </c>
      <c r="F135" s="396"/>
      <c r="G135" s="1084" t="s">
        <v>3926</v>
      </c>
    </row>
    <row r="136" spans="1:7" s="42" customFormat="1" ht="12" customHeight="1">
      <c r="A136" s="104"/>
      <c r="B136" s="396"/>
      <c r="C136" s="396"/>
      <c r="D136" s="416"/>
      <c r="E136" s="396" t="s">
        <v>989</v>
      </c>
      <c r="F136" s="396"/>
      <c r="G136" s="1084" t="s">
        <v>3926</v>
      </c>
    </row>
    <row r="137" spans="1:7" s="1090" customFormat="1" ht="12" customHeight="1">
      <c r="A137" s="104"/>
      <c r="B137" s="396"/>
      <c r="C137" s="396"/>
      <c r="D137" s="416"/>
      <c r="E137" s="396" t="s">
        <v>2292</v>
      </c>
      <c r="F137" s="396"/>
      <c r="G137" s="1084" t="s">
        <v>3926</v>
      </c>
    </row>
    <row r="138" spans="1:7" s="42" customFormat="1" ht="12" customHeight="1">
      <c r="A138" s="104"/>
      <c r="B138" s="396"/>
      <c r="C138" s="396"/>
      <c r="D138" s="396"/>
      <c r="E138" s="711" t="s">
        <v>3573</v>
      </c>
      <c r="F138" s="402"/>
      <c r="G138" s="1084" t="s">
        <v>3926</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3202</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3078</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3309</v>
      </c>
      <c r="F147" s="392"/>
      <c r="G147" s="1084" t="s">
        <v>2253</v>
      </c>
    </row>
    <row r="148" spans="1:7" s="42" customFormat="1" ht="12" customHeight="1">
      <c r="A148" s="104"/>
      <c r="B148" s="241"/>
      <c r="C148" s="241"/>
      <c r="D148" s="241"/>
      <c r="E148" s="396" t="s">
        <v>3342</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3337</v>
      </c>
      <c r="F151" s="392"/>
      <c r="G151" s="1084" t="s">
        <v>2253</v>
      </c>
    </row>
    <row r="152" spans="1:7" s="42" customFormat="1" ht="12" customHeight="1">
      <c r="A152" s="104"/>
      <c r="B152" s="396"/>
      <c r="C152" s="396"/>
      <c r="D152" s="396"/>
      <c r="E152" s="396" t="s">
        <v>3338</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11"/>
      <c r="C154" s="415"/>
      <c r="D154" s="396"/>
      <c r="E154" s="397" t="s">
        <v>2858</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3924</v>
      </c>
    </row>
    <row r="157" spans="1:7" s="42" customFormat="1" ht="12" customHeight="1">
      <c r="A157" s="104"/>
      <c r="B157" s="1093"/>
      <c r="C157" s="1092"/>
      <c r="D157" s="1092"/>
      <c r="E157" s="1086" t="s">
        <v>1409</v>
      </c>
      <c r="F157" s="392"/>
      <c r="G157" s="1084" t="s">
        <v>3924</v>
      </c>
    </row>
    <row r="158" spans="1:7" s="42" customFormat="1" ht="12" customHeight="1">
      <c r="A158" s="104"/>
      <c r="B158" s="1093"/>
      <c r="C158" s="1092"/>
      <c r="D158" s="1092"/>
      <c r="E158" s="1086" t="s">
        <v>1410</v>
      </c>
      <c r="F158" s="392"/>
      <c r="G158" s="1084" t="s">
        <v>3924</v>
      </c>
    </row>
    <row r="159" spans="1:7" s="42" customFormat="1" ht="24.6" customHeight="1">
      <c r="A159" s="104"/>
      <c r="B159" s="1094"/>
      <c r="C159" s="141"/>
      <c r="D159" s="141"/>
      <c r="E159" s="1095" t="s">
        <v>3507</v>
      </c>
      <c r="F159" s="1096"/>
      <c r="G159" s="1084" t="s">
        <v>3924</v>
      </c>
    </row>
    <row r="160" spans="1:7" s="42" customFormat="1" ht="5.45" customHeight="1">
      <c r="A160" s="100"/>
      <c r="B160" s="394"/>
      <c r="C160" s="394"/>
      <c r="D160" s="394"/>
      <c r="E160" s="394"/>
      <c r="F160" s="395"/>
      <c r="G160" s="312"/>
    </row>
    <row r="161" spans="1:7" s="42" customFormat="1" ht="12.6" customHeight="1">
      <c r="A161" s="104"/>
      <c r="B161" s="409" t="s">
        <v>3500</v>
      </c>
      <c r="C161" s="1097"/>
      <c r="D161" s="1098"/>
      <c r="E161" s="1086"/>
      <c r="F161" s="392"/>
      <c r="G161" s="106"/>
    </row>
    <row r="162" spans="1:7" s="42" customFormat="1" ht="12" customHeight="1">
      <c r="A162" s="387">
        <v>24</v>
      </c>
      <c r="B162" s="1087" t="s">
        <v>1025</v>
      </c>
      <c r="C162" s="241"/>
      <c r="D162" s="1086"/>
      <c r="E162" s="398" t="s">
        <v>3501</v>
      </c>
      <c r="F162" s="392"/>
      <c r="G162" s="1084" t="s">
        <v>3926</v>
      </c>
    </row>
    <row r="163" spans="1:7" s="42" customFormat="1" ht="12" customHeight="1">
      <c r="A163" s="104"/>
      <c r="B163" s="241"/>
      <c r="C163" s="711"/>
      <c r="D163" s="1086"/>
      <c r="E163" s="757" t="s">
        <v>866</v>
      </c>
      <c r="F163" s="751"/>
      <c r="G163" s="1084" t="s">
        <v>3926</v>
      </c>
    </row>
    <row r="164" spans="1:7" s="42" customFormat="1" ht="12" customHeight="1">
      <c r="A164" s="104"/>
      <c r="B164" s="401"/>
      <c r="C164" s="1086"/>
      <c r="D164" s="1086"/>
      <c r="E164" s="398" t="s">
        <v>37</v>
      </c>
      <c r="F164" s="392"/>
      <c r="G164" s="1084" t="s">
        <v>3926</v>
      </c>
    </row>
    <row r="165" spans="1:7" s="42" customFormat="1" ht="24.6" customHeight="1">
      <c r="A165" s="104"/>
      <c r="B165" s="401"/>
      <c r="C165" s="1086"/>
      <c r="D165" s="1086"/>
      <c r="E165" s="757" t="s">
        <v>687</v>
      </c>
      <c r="F165" s="751"/>
      <c r="G165" s="1084" t="s">
        <v>2253</v>
      </c>
    </row>
    <row r="166" spans="1:7" s="42" customFormat="1" ht="12" customHeight="1">
      <c r="A166" s="104"/>
      <c r="B166" s="401"/>
      <c r="C166" s="1086"/>
      <c r="D166" s="1086"/>
      <c r="E166" s="757" t="s">
        <v>688</v>
      </c>
      <c r="F166" s="751"/>
      <c r="G166" s="1084" t="s">
        <v>2253</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2654</v>
      </c>
      <c r="F168" s="751"/>
      <c r="G168" s="1084" t="s">
        <v>3926</v>
      </c>
    </row>
    <row r="169" spans="1:7" s="42" customFormat="1" ht="13.9" customHeight="1">
      <c r="A169" s="389"/>
      <c r="B169" s="1100"/>
      <c r="C169" s="241"/>
      <c r="D169" s="1087"/>
      <c r="E169" s="757" t="s">
        <v>628</v>
      </c>
      <c r="F169" s="751"/>
      <c r="G169" s="1084" t="s">
        <v>3924</v>
      </c>
    </row>
    <row r="170" spans="1:7" s="42" customFormat="1" ht="12" customHeight="1">
      <c r="A170" s="387">
        <v>26</v>
      </c>
      <c r="B170" s="1087" t="s">
        <v>689</v>
      </c>
      <c r="C170" s="241"/>
      <c r="D170" s="1087"/>
      <c r="E170" s="712" t="s">
        <v>690</v>
      </c>
      <c r="F170" s="708"/>
      <c r="G170" s="1084" t="s">
        <v>2253</v>
      </c>
    </row>
    <row r="171" spans="1:7" s="42" customFormat="1" ht="12" customHeight="1">
      <c r="A171" s="104"/>
      <c r="B171" s="1087"/>
      <c r="C171" s="241"/>
      <c r="E171" s="712" t="s">
        <v>629</v>
      </c>
      <c r="F171" s="708"/>
      <c r="G171" s="1084" t="s">
        <v>2253</v>
      </c>
    </row>
    <row r="172" spans="1:7" s="42" customFormat="1" ht="12" customHeight="1">
      <c r="A172" s="104"/>
      <c r="B172" s="408"/>
      <c r="C172" s="241"/>
      <c r="D172" s="1087"/>
      <c r="E172" s="757" t="s">
        <v>630</v>
      </c>
      <c r="F172" s="751"/>
      <c r="G172" s="1084" t="s">
        <v>2253</v>
      </c>
    </row>
    <row r="173" spans="1:7" s="42" customFormat="1" ht="12" customHeight="1">
      <c r="A173" s="104"/>
      <c r="B173" s="408"/>
      <c r="C173" s="241"/>
      <c r="D173" s="1087"/>
      <c r="E173" s="757" t="s">
        <v>631</v>
      </c>
      <c r="F173" s="751"/>
      <c r="G173" s="1084" t="s">
        <v>2253</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2253</v>
      </c>
    </row>
    <row r="176" spans="1:7" s="42" customFormat="1" ht="12" customHeight="1">
      <c r="A176" s="104"/>
      <c r="B176" s="1087"/>
      <c r="C176" s="241"/>
      <c r="D176" s="1087"/>
      <c r="E176" s="757" t="s">
        <v>177</v>
      </c>
      <c r="F176" s="751"/>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3472</v>
      </c>
      <c r="C181" s="1087"/>
      <c r="D181" s="1087"/>
      <c r="E181" s="757" t="s">
        <v>178</v>
      </c>
      <c r="F181" s="1040"/>
      <c r="G181" s="1084" t="s">
        <v>2253</v>
      </c>
    </row>
    <row r="182" spans="1:7" s="42" customFormat="1" ht="12" customHeight="1">
      <c r="A182" s="387"/>
      <c r="B182" s="1101"/>
      <c r="C182" s="1087"/>
      <c r="D182" s="1087"/>
      <c r="E182" s="757" t="s">
        <v>179</v>
      </c>
      <c r="F182" s="1040"/>
      <c r="G182" s="1084" t="s">
        <v>2253</v>
      </c>
    </row>
    <row r="183" spans="1:7" s="42" customFormat="1" ht="25.15" customHeight="1">
      <c r="A183" s="104"/>
      <c r="B183" s="1087"/>
      <c r="C183" s="241"/>
      <c r="D183" s="1087"/>
      <c r="E183" s="757" t="s">
        <v>1619</v>
      </c>
      <c r="F183" s="751"/>
      <c r="G183" s="1084" t="s">
        <v>2253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3926</v>
      </c>
    </row>
    <row r="186" spans="1:7" s="42" customFormat="1" ht="12" customHeight="1">
      <c r="A186" s="387"/>
      <c r="B186" s="1101"/>
      <c r="C186" s="241"/>
      <c r="D186" s="1087"/>
      <c r="E186" s="393" t="s">
        <v>1636</v>
      </c>
      <c r="F186" s="708"/>
      <c r="G186" s="1084" t="s">
        <v>3926</v>
      </c>
    </row>
    <row r="187" spans="1:7" s="42" customFormat="1" ht="6" customHeight="1">
      <c r="A187" s="100"/>
      <c r="B187" s="394"/>
      <c r="C187" s="1087"/>
      <c r="D187" s="1087"/>
      <c r="E187" s="1086"/>
      <c r="F187" s="396"/>
      <c r="G187" s="396"/>
    </row>
    <row r="188" spans="1:7" s="42" customFormat="1" ht="12" customHeight="1">
      <c r="A188" s="387">
        <v>30</v>
      </c>
      <c r="B188" s="1087" t="s">
        <v>3884</v>
      </c>
      <c r="C188" s="241"/>
      <c r="D188" s="1087"/>
      <c r="E188" s="1086" t="s">
        <v>1637</v>
      </c>
      <c r="F188" s="396"/>
      <c r="G188" s="1084" t="s">
        <v>2253</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3548</v>
      </c>
      <c r="F191" s="1106"/>
      <c r="G191" s="1084" t="s">
        <v>3926</v>
      </c>
    </row>
    <row r="192" spans="1:7" s="42" customFormat="1" ht="12" customHeight="1">
      <c r="A192" s="387"/>
      <c r="C192" s="1104"/>
      <c r="D192" s="1087"/>
      <c r="E192" s="1107" t="s">
        <v>1638</v>
      </c>
      <c r="F192" s="1108"/>
      <c r="G192" s="1084" t="s">
        <v>3926</v>
      </c>
    </row>
    <row r="193" spans="1:7" s="42" customFormat="1" ht="12" customHeight="1">
      <c r="A193" s="104"/>
      <c r="C193" s="241"/>
      <c r="D193" s="1087"/>
      <c r="E193" s="1109" t="s">
        <v>3549</v>
      </c>
      <c r="F193" s="1110"/>
      <c r="G193" s="1084" t="s">
        <v>3926</v>
      </c>
    </row>
    <row r="194" spans="1:7" s="42" customFormat="1" ht="12" customHeight="1">
      <c r="A194" s="104"/>
      <c r="C194" s="241"/>
      <c r="D194" s="1087"/>
      <c r="E194" s="1086" t="s">
        <v>3550</v>
      </c>
      <c r="F194" s="396"/>
      <c r="G194" s="1084" t="s">
        <v>3926</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3796</v>
      </c>
      <c r="F196" s="396"/>
      <c r="G196" s="1084" t="s">
        <v>2253</v>
      </c>
    </row>
    <row r="197" spans="1:7" s="42" customFormat="1" ht="12" customHeight="1">
      <c r="A197" s="104"/>
      <c r="B197" s="241"/>
      <c r="C197" s="241"/>
      <c r="D197" s="1087"/>
      <c r="E197" s="1086" t="s">
        <v>3382</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3883</v>
      </c>
      <c r="F199" s="396"/>
      <c r="G199" s="1084" t="s">
        <v>2253</v>
      </c>
    </row>
    <row r="200" spans="1:7" s="42" customFormat="1" ht="12" customHeight="1">
      <c r="A200" s="104"/>
      <c r="B200" s="711"/>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1"/>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3508</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1"/>
      <c r="C209" s="1087"/>
      <c r="D209" s="1087"/>
      <c r="E209" s="1086" t="s">
        <v>174</v>
      </c>
      <c r="F209" s="396"/>
      <c r="G209" s="1084" t="s">
        <v>2253</v>
      </c>
    </row>
    <row r="210" spans="1:7" s="42" customFormat="1" ht="12" customHeight="1">
      <c r="A210" s="107"/>
      <c r="B210" s="711"/>
      <c r="C210" s="1087"/>
      <c r="D210" s="1087"/>
      <c r="E210" s="1086" t="s">
        <v>175</v>
      </c>
      <c r="F210" s="396"/>
      <c r="G210" s="1084" t="s">
        <v>2253</v>
      </c>
    </row>
    <row r="211" spans="1:7" s="42" customFormat="1" ht="12" customHeight="1">
      <c r="A211" s="387">
        <v>32</v>
      </c>
      <c r="B211" s="1087" t="s">
        <v>3361</v>
      </c>
      <c r="C211" s="241"/>
      <c r="D211" s="1087"/>
      <c r="E211" s="1086" t="s">
        <v>176</v>
      </c>
      <c r="F211" s="396"/>
      <c r="G211" s="1084" t="s">
        <v>2253</v>
      </c>
    </row>
    <row r="212" spans="1:7" s="42" customFormat="1" ht="6" customHeight="1">
      <c r="A212" s="104"/>
      <c r="B212" s="711"/>
      <c r="C212" s="1087"/>
      <c r="D212" s="1087"/>
      <c r="E212" s="1086"/>
      <c r="F212" s="396"/>
      <c r="G212" s="313"/>
    </row>
    <row r="213" spans="1:7" s="42" customFormat="1" ht="12" customHeight="1">
      <c r="A213" s="387">
        <v>33</v>
      </c>
      <c r="B213" s="1087" t="s">
        <v>2841</v>
      </c>
      <c r="C213" s="241"/>
      <c r="D213" s="1087"/>
      <c r="E213" s="757" t="s">
        <v>180</v>
      </c>
      <c r="F213" s="751"/>
      <c r="G213" s="1084" t="s">
        <v>2253</v>
      </c>
    </row>
    <row r="214" spans="1:7" s="42" customFormat="1" ht="12" customHeight="1">
      <c r="A214" s="387"/>
      <c r="B214" s="241"/>
      <c r="C214" s="241"/>
      <c r="D214" s="1087"/>
      <c r="E214" s="757" t="s">
        <v>181</v>
      </c>
      <c r="F214" s="751"/>
      <c r="G214" s="1084" t="s">
        <v>2253</v>
      </c>
    </row>
    <row r="215" spans="1:7" s="42" customFormat="1" ht="12" customHeight="1">
      <c r="A215" s="387"/>
      <c r="B215" s="241"/>
      <c r="C215" s="241"/>
      <c r="D215" s="1087"/>
      <c r="E215" s="393" t="s">
        <v>3509</v>
      </c>
      <c r="F215" s="708"/>
      <c r="G215" s="1084" t="s">
        <v>2253</v>
      </c>
    </row>
    <row r="216" spans="1:7" s="42" customFormat="1" ht="6" customHeight="1">
      <c r="A216" s="104"/>
      <c r="B216" s="711"/>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1" t="s">
        <v>2670</v>
      </c>
      <c r="D220" s="1087"/>
      <c r="E220" s="1086" t="s">
        <v>183</v>
      </c>
      <c r="F220" s="396"/>
      <c r="G220" s="1084" t="s">
        <v>2253</v>
      </c>
    </row>
    <row r="221" spans="1:7" s="42" customFormat="1" ht="6" customHeight="1">
      <c r="A221" s="104"/>
      <c r="B221" s="711"/>
      <c r="C221" s="1087"/>
      <c r="D221" s="1087"/>
      <c r="E221" s="1086"/>
      <c r="F221" s="396"/>
      <c r="G221" s="313"/>
    </row>
    <row r="222" spans="1:7" s="42" customFormat="1" ht="12" customHeight="1">
      <c r="A222" s="387">
        <v>35</v>
      </c>
      <c r="B222" s="1087" t="s">
        <v>1906</v>
      </c>
      <c r="C222" s="241"/>
      <c r="D222" s="1087"/>
      <c r="E222" s="1086" t="s">
        <v>1907</v>
      </c>
      <c r="F222" s="396"/>
      <c r="G222" s="1084" t="s">
        <v>2253</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11"/>
      <c r="C225" s="1087"/>
      <c r="D225" s="1087"/>
      <c r="E225" s="1086"/>
      <c r="F225" s="396"/>
      <c r="G225" s="106"/>
    </row>
    <row r="226" spans="1:7" s="42" customFormat="1" ht="12" customHeight="1">
      <c r="A226" s="387">
        <v>37</v>
      </c>
      <c r="B226" s="1087" t="s">
        <v>2735</v>
      </c>
      <c r="C226" s="241"/>
      <c r="D226" s="1087"/>
      <c r="E226" s="1086" t="s">
        <v>526</v>
      </c>
      <c r="F226" s="396"/>
      <c r="G226" s="1084" t="s">
        <v>3926</v>
      </c>
    </row>
    <row r="227" spans="1:7" s="42" customFormat="1" ht="12" customHeight="1">
      <c r="A227" s="104"/>
      <c r="B227" s="1086"/>
      <c r="C227" s="1087"/>
      <c r="D227" s="1087"/>
      <c r="E227" s="396" t="s">
        <v>527</v>
      </c>
      <c r="F227" s="396"/>
      <c r="G227" s="1084" t="s">
        <v>3926</v>
      </c>
    </row>
    <row r="228" spans="1:7" s="42" customFormat="1" ht="12" customHeight="1">
      <c r="A228" s="104"/>
      <c r="B228" s="1086"/>
      <c r="C228" s="408"/>
      <c r="D228" s="1087"/>
      <c r="E228" s="1086" t="s">
        <v>528</v>
      </c>
      <c r="F228" s="396"/>
      <c r="G228" s="1084" t="s">
        <v>3926</v>
      </c>
    </row>
    <row r="229" spans="1:7" s="42" customFormat="1" ht="12" customHeight="1">
      <c r="A229" s="104"/>
      <c r="B229" s="711"/>
      <c r="C229" s="1087"/>
      <c r="D229" s="1087"/>
      <c r="E229" s="1111" t="s">
        <v>529</v>
      </c>
      <c r="F229" s="396"/>
      <c r="G229" s="1084" t="s">
        <v>3926</v>
      </c>
    </row>
    <row r="230" spans="1:7" s="42" customFormat="1" ht="12" customHeight="1">
      <c r="A230" s="104"/>
      <c r="B230" s="1086"/>
      <c r="E230" s="1086" t="s">
        <v>35</v>
      </c>
      <c r="F230" s="396"/>
      <c r="G230" s="1084" t="s">
        <v>3926</v>
      </c>
    </row>
    <row r="231" spans="1:7" s="42" customFormat="1" ht="12" customHeight="1">
      <c r="A231" s="104"/>
      <c r="B231" s="711"/>
      <c r="E231" s="1111" t="s">
        <v>36</v>
      </c>
      <c r="F231" s="396"/>
      <c r="G231" s="1084" t="s">
        <v>3926</v>
      </c>
    </row>
    <row r="232" spans="1:7" s="42" customFormat="1" ht="6" customHeight="1">
      <c r="A232" s="104"/>
      <c r="B232" s="711"/>
      <c r="C232" s="1087"/>
      <c r="D232" s="1087"/>
      <c r="E232" s="1086"/>
      <c r="F232" s="396"/>
      <c r="G232" s="106"/>
    </row>
    <row r="233" spans="1:7" s="42" customFormat="1" ht="12" customHeight="1">
      <c r="A233" s="387">
        <v>38</v>
      </c>
      <c r="B233" s="1087" t="s">
        <v>3551</v>
      </c>
      <c r="C233" s="241"/>
      <c r="D233" s="1087"/>
      <c r="E233" s="1086" t="s">
        <v>3510</v>
      </c>
      <c r="F233" s="396"/>
      <c r="G233" s="1084" t="s">
        <v>3926</v>
      </c>
    </row>
    <row r="234" spans="1:7" s="42" customFormat="1" ht="12" customHeight="1">
      <c r="A234" s="104"/>
      <c r="B234" s="1086"/>
      <c r="C234" s="1087"/>
      <c r="D234" s="1087"/>
      <c r="E234" s="396" t="s">
        <v>3511</v>
      </c>
      <c r="F234" s="396"/>
      <c r="G234" s="1084" t="s">
        <v>3926</v>
      </c>
    </row>
    <row r="235" spans="1:7" s="42" customFormat="1" ht="6" customHeight="1">
      <c r="A235" s="104"/>
      <c r="B235" s="417"/>
      <c r="C235" s="1112"/>
      <c r="D235" s="1112"/>
      <c r="E235" s="1113"/>
      <c r="F235" s="106"/>
      <c r="G235" s="106"/>
    </row>
    <row r="236" spans="1:7" s="42" customFormat="1" ht="13.15" customHeight="1">
      <c r="A236" s="387">
        <v>39</v>
      </c>
      <c r="B236" s="1087" t="s">
        <v>2363</v>
      </c>
      <c r="E236" s="1114"/>
      <c r="F236" s="1114"/>
      <c r="G236" s="1084"/>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2011-013 Ashley Auburn Pointe II , Atlanta,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3571</v>
      </c>
      <c r="C3" s="2"/>
      <c r="D3" s="167" t="s">
        <v>328</v>
      </c>
      <c r="E3" s="2"/>
      <c r="F3" s="2"/>
      <c r="G3" s="167"/>
      <c r="H3" s="167"/>
      <c r="I3" s="167"/>
      <c r="J3" s="167"/>
      <c r="K3" s="167"/>
      <c r="L3" s="167"/>
      <c r="N3" s="707" t="s">
        <v>886</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3686</v>
      </c>
      <c r="FA3" s="655" t="s">
        <v>3687</v>
      </c>
      <c r="FB3" s="655" t="s">
        <v>3688</v>
      </c>
      <c r="FC3" s="655" t="s">
        <v>3689</v>
      </c>
      <c r="FD3" s="656"/>
      <c r="FE3" s="656"/>
      <c r="FF3" s="656"/>
      <c r="FG3" s="656"/>
      <c r="FH3" s="656"/>
      <c r="FI3" s="655" t="s">
        <v>716</v>
      </c>
      <c r="FJ3" s="655" t="s">
        <v>3686</v>
      </c>
      <c r="FK3" s="655" t="s">
        <v>3687</v>
      </c>
      <c r="FL3" s="655" t="s">
        <v>3688</v>
      </c>
      <c r="FM3" s="655" t="s">
        <v>3689</v>
      </c>
      <c r="FN3" s="655" t="s">
        <v>716</v>
      </c>
      <c r="FO3" s="655" t="s">
        <v>3686</v>
      </c>
      <c r="FP3" s="655" t="s">
        <v>3687</v>
      </c>
      <c r="FQ3" s="655" t="s">
        <v>3688</v>
      </c>
      <c r="FR3" s="655" t="s">
        <v>3689</v>
      </c>
      <c r="FS3" s="655" t="s">
        <v>716</v>
      </c>
      <c r="FT3" s="655" t="s">
        <v>3686</v>
      </c>
      <c r="FU3" s="655" t="s">
        <v>3687</v>
      </c>
      <c r="FV3" s="655" t="s">
        <v>3688</v>
      </c>
      <c r="FW3" s="655" t="s">
        <v>3689</v>
      </c>
      <c r="FX3" s="655" t="s">
        <v>716</v>
      </c>
      <c r="FY3" s="655" t="s">
        <v>3686</v>
      </c>
      <c r="FZ3" s="655" t="s">
        <v>3687</v>
      </c>
      <c r="GA3" s="655" t="s">
        <v>3688</v>
      </c>
      <c r="GB3" s="655" t="s">
        <v>3689</v>
      </c>
      <c r="GC3" s="655" t="s">
        <v>716</v>
      </c>
      <c r="GD3" s="655" t="s">
        <v>3686</v>
      </c>
      <c r="GE3" s="655" t="s">
        <v>3687</v>
      </c>
      <c r="GF3" s="655" t="s">
        <v>3688</v>
      </c>
      <c r="GG3" s="655" t="s">
        <v>3689</v>
      </c>
      <c r="GH3" s="655" t="s">
        <v>716</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3452</v>
      </c>
      <c r="AA4" s="965" t="s">
        <v>3453</v>
      </c>
      <c r="AB4" s="965" t="s">
        <v>3454</v>
      </c>
      <c r="AC4" s="965" t="s">
        <v>3455</v>
      </c>
      <c r="AD4" s="965" t="s">
        <v>1515</v>
      </c>
      <c r="AE4" s="965" t="s">
        <v>3456</v>
      </c>
      <c r="AF4" s="965" t="s">
        <v>3457</v>
      </c>
      <c r="AG4" s="965" t="s">
        <v>3458</v>
      </c>
      <c r="AH4" s="965" t="s">
        <v>3459</v>
      </c>
      <c r="AI4" s="965" t="s">
        <v>152</v>
      </c>
      <c r="AJ4" s="965" t="s">
        <v>3460</v>
      </c>
      <c r="AK4" s="965" t="s">
        <v>3461</v>
      </c>
      <c r="AL4" s="965" t="s">
        <v>3462</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3676</v>
      </c>
      <c r="BS4" s="965" t="s">
        <v>3677</v>
      </c>
      <c r="BT4" s="965" t="s">
        <v>3678</v>
      </c>
      <c r="BU4" s="965" t="s">
        <v>3679</v>
      </c>
      <c r="BV4" s="965" t="s">
        <v>3680</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3675</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3321</v>
      </c>
      <c r="EK4" s="964" t="s">
        <v>3322</v>
      </c>
      <c r="EL4" s="964" t="s">
        <v>3323</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3"/>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4" t="s">
        <v>3924</v>
      </c>
      <c r="J6" s="737" t="s">
        <v>3645</v>
      </c>
      <c r="O6" s="2"/>
      <c r="P6" s="658">
        <f>VLOOKUP('Part I-Project Information'!$J$26,'DCA Underwriting Assumptions'!$C$77:$D$187,2)</f>
        <v>68300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2212</v>
      </c>
      <c r="C8" s="737" t="s">
        <v>228</v>
      </c>
      <c r="D8" s="737" t="s">
        <v>839</v>
      </c>
      <c r="E8" s="737" t="s">
        <v>2210</v>
      </c>
      <c r="F8" s="737" t="s">
        <v>2210</v>
      </c>
      <c r="G8" s="737" t="s">
        <v>3617</v>
      </c>
      <c r="H8" s="737" t="s">
        <v>3615</v>
      </c>
      <c r="I8" s="737" t="s">
        <v>1380</v>
      </c>
      <c r="J8" s="737" t="s">
        <v>3647</v>
      </c>
      <c r="K8" s="981" t="s">
        <v>186</v>
      </c>
      <c r="L8" s="981"/>
      <c r="M8" s="737" t="s">
        <v>3572</v>
      </c>
      <c r="N8" s="737" t="s">
        <v>825</v>
      </c>
      <c r="O8" s="737" t="s">
        <v>487</v>
      </c>
      <c r="P8" s="984" t="s">
        <v>1665</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3686</v>
      </c>
      <c r="EV8" s="445" t="s">
        <v>3687</v>
      </c>
      <c r="EW8" s="445" t="s">
        <v>3688</v>
      </c>
      <c r="EX8" s="445" t="s">
        <v>3689</v>
      </c>
      <c r="EY8" s="964" t="s">
        <v>3776</v>
      </c>
      <c r="EZ8" s="964" t="s">
        <v>3776</v>
      </c>
      <c r="FA8" s="964" t="s">
        <v>3776</v>
      </c>
      <c r="FB8" s="964" t="s">
        <v>3776</v>
      </c>
      <c r="FC8" s="964" t="s">
        <v>3776</v>
      </c>
      <c r="FD8" s="445" t="s">
        <v>716</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1996</v>
      </c>
      <c r="C9" s="737" t="s">
        <v>227</v>
      </c>
      <c r="D9" s="737" t="s">
        <v>229</v>
      </c>
      <c r="E9" s="737" t="s">
        <v>2211</v>
      </c>
      <c r="F9" s="737" t="s">
        <v>1963</v>
      </c>
      <c r="G9" s="737" t="s">
        <v>1964</v>
      </c>
      <c r="H9" s="737" t="s">
        <v>3616</v>
      </c>
      <c r="I9" s="737" t="s">
        <v>1381</v>
      </c>
      <c r="J9" s="684" t="s">
        <v>450</v>
      </c>
      <c r="K9" s="737" t="s">
        <v>2281</v>
      </c>
      <c r="L9" s="737" t="s">
        <v>832</v>
      </c>
      <c r="M9" s="737" t="s">
        <v>2210</v>
      </c>
      <c r="N9" s="737" t="s">
        <v>1996</v>
      </c>
      <c r="O9" s="737" t="s">
        <v>488</v>
      </c>
      <c r="P9" s="738" t="s">
        <v>1663</v>
      </c>
      <c r="Q9" s="738" t="s">
        <v>1664</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5" t="s">
        <v>133</v>
      </c>
      <c r="C10" s="1306">
        <v>1</v>
      </c>
      <c r="D10" s="1307">
        <v>1</v>
      </c>
      <c r="E10" s="1308">
        <v>10</v>
      </c>
      <c r="F10" s="1308">
        <v>756</v>
      </c>
      <c r="G10" s="1308">
        <v>641</v>
      </c>
      <c r="H10" s="1308">
        <v>0</v>
      </c>
      <c r="I10" s="1308"/>
      <c r="J10" s="1309" t="s">
        <v>3964</v>
      </c>
      <c r="K10" s="226">
        <f>MAX(0,H10-I10)</f>
        <v>0</v>
      </c>
      <c r="L10" s="226">
        <f t="shared" ref="L10:L47" si="0">MAX(0,E10*K10)</f>
        <v>0</v>
      </c>
      <c r="M10" s="1310" t="s">
        <v>3924</v>
      </c>
      <c r="N10" s="1310" t="s">
        <v>3963</v>
      </c>
      <c r="O10" s="1310" t="s">
        <v>3435</v>
      </c>
      <c r="P10" s="581">
        <f>IF(H10="","",H10*12/0.3)</f>
        <v>0</v>
      </c>
      <c r="Q10" s="582">
        <f>IF(H10="","",P10/($P$6*VLOOKUP(C10,'DCA Underwriting Assumptions'!$J$77:$K$82,2,FALSE)))</f>
        <v>0</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10</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7560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7560</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10</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10</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10</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1" t="s">
        <v>133</v>
      </c>
      <c r="C11" s="1312">
        <v>2</v>
      </c>
      <c r="D11" s="1313">
        <v>2</v>
      </c>
      <c r="E11" s="1314">
        <v>11</v>
      </c>
      <c r="F11" s="1314">
        <v>1079</v>
      </c>
      <c r="G11" s="1314">
        <v>768</v>
      </c>
      <c r="H11" s="1314">
        <v>0</v>
      </c>
      <c r="I11" s="1314"/>
      <c r="J11" s="1315" t="s">
        <v>3964</v>
      </c>
      <c r="K11" s="227">
        <f t="shared" ref="K11:K27" si="172">MAX(0,H11-I11)</f>
        <v>0</v>
      </c>
      <c r="L11" s="227">
        <f t="shared" si="0"/>
        <v>0</v>
      </c>
      <c r="M11" s="1316" t="s">
        <v>3924</v>
      </c>
      <c r="N11" s="1316" t="s">
        <v>3963</v>
      </c>
      <c r="O11" s="1316" t="s">
        <v>3435</v>
      </c>
      <c r="P11" s="581">
        <f>IF(H11="","",H11*12/0.3)</f>
        <v>0</v>
      </c>
      <c r="Q11" s="582">
        <f>IF(H11="","",P11/($P$6*VLOOKUP(C11,'DCA Underwriting Assumptions'!$J$77:$K$82,2,FALSE)))</f>
        <v>0</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11</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f t="shared" ref="BJ11:BJ47" si="195">IF(OR(AND($C11=2,$J11="PHA Oper Sub",$B11="50% AMI",NOT($M11="Common")),AND($C11=2,$J11="PHA Oper Sub",$B11="HOME 50% AMI",NOT($M11="Common"))),$E11,"")</f>
        <v>11</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11869</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f t="shared" si="48"/>
        <v>11869</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11</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11</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11</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1" t="s">
        <v>133</v>
      </c>
      <c r="C12" s="1312">
        <v>3</v>
      </c>
      <c r="D12" s="1313">
        <v>2</v>
      </c>
      <c r="E12" s="1314">
        <v>2</v>
      </c>
      <c r="F12" s="1314">
        <v>1264</v>
      </c>
      <c r="G12" s="1314">
        <v>888</v>
      </c>
      <c r="H12" s="1314">
        <v>0</v>
      </c>
      <c r="I12" s="1314"/>
      <c r="J12" s="1315" t="s">
        <v>3964</v>
      </c>
      <c r="K12" s="227">
        <f t="shared" si="172"/>
        <v>0</v>
      </c>
      <c r="L12" s="227">
        <f t="shared" si="0"/>
        <v>0</v>
      </c>
      <c r="M12" s="1316" t="s">
        <v>3924</v>
      </c>
      <c r="N12" s="1316" t="s">
        <v>3963</v>
      </c>
      <c r="O12" s="1316" t="s">
        <v>3435</v>
      </c>
      <c r="P12" s="581">
        <f>IF(H12="","",H12*12/0.3)</f>
        <v>0</v>
      </c>
      <c r="Q12" s="582">
        <f>IF(H12="","",P12/($P$6*VLOOKUP(C12,'DCA Underwriting Assumptions'!$J$77:$K$82,2,FALSE)))</f>
        <v>0</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2</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f t="shared" si="196"/>
        <v>2</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2528</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f t="shared" si="49"/>
        <v>2528</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2</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2</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f t="shared" si="144"/>
        <v>2</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1"/>
      <c r="C13" s="1312"/>
      <c r="D13" s="1313"/>
      <c r="E13" s="1314"/>
      <c r="F13" s="1314"/>
      <c r="G13" s="1314"/>
      <c r="H13" s="1314"/>
      <c r="I13" s="1314"/>
      <c r="J13" s="1315"/>
      <c r="K13" s="227">
        <f t="shared" si="172"/>
        <v>0</v>
      </c>
      <c r="L13" s="227">
        <f t="shared" si="0"/>
        <v>0</v>
      </c>
      <c r="M13" s="1316"/>
      <c r="N13" s="1316"/>
      <c r="O13" s="1316"/>
      <c r="P13" s="581" t="str">
        <f>IF(H13="","",H13*12/0.3)</f>
        <v/>
      </c>
      <c r="Q13" s="582" t="str">
        <f>IF(H13="","",P13/($P$6*VLOOKUP(C13,'DCA Underwriting Assumptions'!$J$77:$K$82,2,FALSE)))</f>
        <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1" t="s">
        <v>1791</v>
      </c>
      <c r="C14" s="1312">
        <v>1</v>
      </c>
      <c r="D14" s="1313">
        <v>1</v>
      </c>
      <c r="E14" s="1314">
        <v>12</v>
      </c>
      <c r="F14" s="1314">
        <v>756</v>
      </c>
      <c r="G14" s="1314">
        <v>769</v>
      </c>
      <c r="H14" s="1314">
        <v>0</v>
      </c>
      <c r="I14" s="1314"/>
      <c r="J14" s="1315" t="s">
        <v>3964</v>
      </c>
      <c r="K14" s="227">
        <f t="shared" si="172"/>
        <v>0</v>
      </c>
      <c r="L14" s="227">
        <f t="shared" si="0"/>
        <v>0</v>
      </c>
      <c r="M14" s="1316" t="s">
        <v>3924</v>
      </c>
      <c r="N14" s="1316" t="s">
        <v>3963</v>
      </c>
      <c r="O14" s="1316" t="s">
        <v>3435</v>
      </c>
      <c r="P14" s="581">
        <f>IF(H14="","",H14*12/0.3)</f>
        <v>0</v>
      </c>
      <c r="Q14" s="582">
        <f>IF(H14="","",P14/($P$6*VLOOKUP(C14,'DCA Underwriting Assumptions'!$J$77:$K$82,2,FALSE)))</f>
        <v>0</v>
      </c>
      <c r="R14" s="738"/>
      <c r="S14" s="659"/>
      <c r="T14" s="113" t="str">
        <f t="shared" si="1"/>
        <v/>
      </c>
      <c r="U14" s="113">
        <f t="shared" si="2"/>
        <v>12</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f t="shared" si="199"/>
        <v>12</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f t="shared" si="27"/>
        <v>9072</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f t="shared" si="47"/>
        <v>9072</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f t="shared" si="57"/>
        <v>12</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12</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f t="shared" si="142"/>
        <v>12</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1" t="s">
        <v>1791</v>
      </c>
      <c r="C15" s="1312">
        <v>2</v>
      </c>
      <c r="D15" s="1313">
        <v>2</v>
      </c>
      <c r="E15" s="1314">
        <v>12</v>
      </c>
      <c r="F15" s="1314">
        <v>1079</v>
      </c>
      <c r="G15" s="1314">
        <v>922</v>
      </c>
      <c r="H15" s="1314">
        <v>0</v>
      </c>
      <c r="I15" s="1314"/>
      <c r="J15" s="1315" t="s">
        <v>3964</v>
      </c>
      <c r="K15" s="227">
        <f t="shared" si="172"/>
        <v>0</v>
      </c>
      <c r="L15" s="227">
        <f t="shared" si="0"/>
        <v>0</v>
      </c>
      <c r="M15" s="1316" t="s">
        <v>3924</v>
      </c>
      <c r="N15" s="1316" t="s">
        <v>3963</v>
      </c>
      <c r="O15" s="1316" t="s">
        <v>3435</v>
      </c>
      <c r="P15" s="581">
        <f t="shared" ref="P15:P47" si="203">IF(H15="","",H15*12/0.3)</f>
        <v>0</v>
      </c>
      <c r="Q15" s="582">
        <f>IF(H15="","",P15/($P$6*VLOOKUP(C15,'DCA Underwriting Assumptions'!$J$77:$K$82,2,FALSE)))</f>
        <v>0</v>
      </c>
      <c r="R15" s="738"/>
      <c r="S15" s="659"/>
      <c r="T15" s="113" t="str">
        <f t="shared" si="1"/>
        <v/>
      </c>
      <c r="U15" s="113" t="str">
        <f t="shared" si="2"/>
        <v/>
      </c>
      <c r="V15" s="113">
        <f t="shared" si="3"/>
        <v>12</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f t="shared" si="200"/>
        <v>12</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12948</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f t="shared" si="48"/>
        <v>12948</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12</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12</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12</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1" t="s">
        <v>1791</v>
      </c>
      <c r="C16" s="1312">
        <v>3</v>
      </c>
      <c r="D16" s="1313">
        <v>2</v>
      </c>
      <c r="E16" s="1314">
        <v>4</v>
      </c>
      <c r="F16" s="1314">
        <v>1264</v>
      </c>
      <c r="G16" s="1314">
        <v>1065</v>
      </c>
      <c r="H16" s="1314">
        <v>0</v>
      </c>
      <c r="I16" s="1314"/>
      <c r="J16" s="1315" t="s">
        <v>3964</v>
      </c>
      <c r="K16" s="227">
        <f t="shared" si="172"/>
        <v>0</v>
      </c>
      <c r="L16" s="227">
        <f t="shared" si="0"/>
        <v>0</v>
      </c>
      <c r="M16" s="1316" t="s">
        <v>3924</v>
      </c>
      <c r="N16" s="1316" t="s">
        <v>3963</v>
      </c>
      <c r="O16" s="1316" t="s">
        <v>3435</v>
      </c>
      <c r="P16" s="581">
        <f t="shared" si="203"/>
        <v>0</v>
      </c>
      <c r="Q16" s="582">
        <f>IF(H16="","",P16/($P$6*VLOOKUP(C16,'DCA Underwriting Assumptions'!$J$77:$K$82,2,FALSE)))</f>
        <v>0</v>
      </c>
      <c r="R16" s="738"/>
      <c r="S16" s="659"/>
      <c r="T16" s="113" t="str">
        <f t="shared" si="1"/>
        <v/>
      </c>
      <c r="U16" s="113" t="str">
        <f t="shared" si="2"/>
        <v/>
      </c>
      <c r="V16" s="113" t="str">
        <f t="shared" si="3"/>
        <v/>
      </c>
      <c r="W16" s="113">
        <f t="shared" si="4"/>
        <v>4</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f t="shared" si="201"/>
        <v>4</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f t="shared" si="29"/>
        <v>5056</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f t="shared" si="49"/>
        <v>5056</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f t="shared" si="59"/>
        <v>4</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f t="shared" si="104"/>
        <v>4</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f t="shared" si="144"/>
        <v>4</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1"/>
      <c r="C17" s="1312"/>
      <c r="D17" s="1313"/>
      <c r="E17" s="1314"/>
      <c r="F17" s="1314"/>
      <c r="G17" s="1314"/>
      <c r="H17" s="1314"/>
      <c r="I17" s="1314"/>
      <c r="J17" s="1315"/>
      <c r="K17" s="227">
        <f t="shared" si="172"/>
        <v>0</v>
      </c>
      <c r="L17" s="227">
        <f t="shared" si="0"/>
        <v>0</v>
      </c>
      <c r="M17" s="1316"/>
      <c r="N17" s="1316"/>
      <c r="O17" s="1316"/>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1" t="s">
        <v>1791</v>
      </c>
      <c r="C18" s="1312">
        <v>1</v>
      </c>
      <c r="D18" s="1313">
        <v>1</v>
      </c>
      <c r="E18" s="1314">
        <v>8</v>
      </c>
      <c r="F18" s="1314">
        <v>756</v>
      </c>
      <c r="G18" s="1314">
        <v>769</v>
      </c>
      <c r="H18" s="1314">
        <v>769</v>
      </c>
      <c r="I18" s="1314">
        <v>186</v>
      </c>
      <c r="J18" s="1315"/>
      <c r="K18" s="227">
        <f t="shared" si="172"/>
        <v>583</v>
      </c>
      <c r="L18" s="227">
        <f t="shared" si="0"/>
        <v>4664</v>
      </c>
      <c r="M18" s="1316" t="s">
        <v>3924</v>
      </c>
      <c r="N18" s="1316" t="s">
        <v>3963</v>
      </c>
      <c r="O18" s="1316" t="s">
        <v>3435</v>
      </c>
      <c r="P18" s="581">
        <f t="shared" si="203"/>
        <v>30760</v>
      </c>
      <c r="Q18" s="582">
        <f>IF(H18="","",P18/($P$6*VLOOKUP(C18,'DCA Underwriting Assumptions'!$J$77:$K$82,2,FALSE)))</f>
        <v>0.60048804294777935</v>
      </c>
      <c r="R18" s="738"/>
      <c r="S18" s="659"/>
      <c r="T18" s="113" t="str">
        <f t="shared" si="1"/>
        <v/>
      </c>
      <c r="U18" s="113">
        <f t="shared" si="2"/>
        <v>8</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f t="shared" si="27"/>
        <v>6048</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f t="shared" si="57"/>
        <v>8</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f t="shared" si="102"/>
        <v>8</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f t="shared" si="142"/>
        <v>8</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1" t="s">
        <v>1791</v>
      </c>
      <c r="C19" s="1312">
        <v>2</v>
      </c>
      <c r="D19" s="1313">
        <v>2</v>
      </c>
      <c r="E19" s="1314">
        <v>27</v>
      </c>
      <c r="F19" s="1314">
        <v>1079</v>
      </c>
      <c r="G19" s="1314">
        <v>922</v>
      </c>
      <c r="H19" s="1314">
        <v>922</v>
      </c>
      <c r="I19" s="1314">
        <v>252</v>
      </c>
      <c r="J19" s="1315"/>
      <c r="K19" s="227">
        <f t="shared" si="172"/>
        <v>670</v>
      </c>
      <c r="L19" s="227">
        <f t="shared" si="0"/>
        <v>18090</v>
      </c>
      <c r="M19" s="1316" t="s">
        <v>3924</v>
      </c>
      <c r="N19" s="1316" t="s">
        <v>3963</v>
      </c>
      <c r="O19" s="1316" t="s">
        <v>3435</v>
      </c>
      <c r="P19" s="581">
        <f t="shared" si="203"/>
        <v>36880</v>
      </c>
      <c r="Q19" s="582">
        <f>IF(H19="","",P19/($P$6*VLOOKUP(C19,'DCA Underwriting Assumptions'!$J$77:$K$82,2,FALSE)))</f>
        <v>0.59996746380348143</v>
      </c>
      <c r="R19" s="738"/>
      <c r="S19" s="659"/>
      <c r="T19" s="113" t="str">
        <f t="shared" si="1"/>
        <v/>
      </c>
      <c r="U19" s="113" t="str">
        <f t="shared" si="2"/>
        <v/>
      </c>
      <c r="V19" s="113">
        <f t="shared" si="3"/>
        <v>27</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f t="shared" si="28"/>
        <v>29133</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f t="shared" si="58"/>
        <v>27</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f t="shared" si="103"/>
        <v>27</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f t="shared" si="143"/>
        <v>27</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1" t="s">
        <v>1791</v>
      </c>
      <c r="C20" s="1312">
        <v>3</v>
      </c>
      <c r="D20" s="1313">
        <v>2</v>
      </c>
      <c r="E20" s="1314">
        <v>4</v>
      </c>
      <c r="F20" s="1314">
        <v>1264</v>
      </c>
      <c r="G20" s="1314">
        <v>1065</v>
      </c>
      <c r="H20" s="1314">
        <v>1065</v>
      </c>
      <c r="I20" s="1314">
        <v>320</v>
      </c>
      <c r="J20" s="1315"/>
      <c r="K20" s="227">
        <f t="shared" si="172"/>
        <v>745</v>
      </c>
      <c r="L20" s="227">
        <f t="shared" si="0"/>
        <v>2980</v>
      </c>
      <c r="M20" s="1316" t="s">
        <v>3924</v>
      </c>
      <c r="N20" s="1316" t="s">
        <v>3963</v>
      </c>
      <c r="O20" s="1316" t="s">
        <v>3435</v>
      </c>
      <c r="P20" s="581">
        <f t="shared" si="203"/>
        <v>42600</v>
      </c>
      <c r="Q20" s="582">
        <f>IF(H20="","",P20/($P$6*VLOOKUP(C20,'DCA Underwriting Assumptions'!$J$77:$K$82,2,FALSE)))</f>
        <v>0.5997296992904606</v>
      </c>
      <c r="R20" s="738"/>
      <c r="S20" s="659"/>
      <c r="T20" s="113" t="str">
        <f t="shared" si="1"/>
        <v/>
      </c>
      <c r="U20" s="113" t="str">
        <f t="shared" si="2"/>
        <v/>
      </c>
      <c r="V20" s="113" t="str">
        <f t="shared" si="3"/>
        <v/>
      </c>
      <c r="W20" s="113">
        <f t="shared" si="4"/>
        <v>4</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f t="shared" si="29"/>
        <v>5056</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f t="shared" si="59"/>
        <v>4</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f t="shared" si="104"/>
        <v>4</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f t="shared" si="144"/>
        <v>4</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1"/>
      <c r="C21" s="1312"/>
      <c r="D21" s="1313"/>
      <c r="E21" s="1314"/>
      <c r="F21" s="1314"/>
      <c r="G21" s="1314"/>
      <c r="H21" s="1314"/>
      <c r="I21" s="1314"/>
      <c r="J21" s="1315"/>
      <c r="K21" s="227">
        <f t="shared" si="172"/>
        <v>0</v>
      </c>
      <c r="L21" s="227">
        <f t="shared" si="0"/>
        <v>0</v>
      </c>
      <c r="M21" s="1316"/>
      <c r="N21" s="1316"/>
      <c r="O21" s="1316"/>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1" t="s">
        <v>396</v>
      </c>
      <c r="C22" s="1312">
        <v>1</v>
      </c>
      <c r="D22" s="1313">
        <v>1</v>
      </c>
      <c r="E22" s="1314">
        <v>24</v>
      </c>
      <c r="F22" s="1314">
        <v>756</v>
      </c>
      <c r="G22" s="1314" t="s">
        <v>3924</v>
      </c>
      <c r="H22" s="1314">
        <v>825</v>
      </c>
      <c r="I22" s="1314"/>
      <c r="J22" s="1315"/>
      <c r="K22" s="227">
        <f t="shared" si="172"/>
        <v>825</v>
      </c>
      <c r="L22" s="227">
        <f t="shared" si="0"/>
        <v>19800</v>
      </c>
      <c r="M22" s="1316" t="s">
        <v>3924</v>
      </c>
      <c r="N22" s="1316" t="s">
        <v>3963</v>
      </c>
      <c r="O22" s="1316" t="s">
        <v>3435</v>
      </c>
      <c r="P22" s="581">
        <f t="shared" si="203"/>
        <v>33000</v>
      </c>
      <c r="Q22" s="582">
        <f>IF(H22="","",P22/($P$6*VLOOKUP(C22,'DCA Underwriting Assumptions'!$J$77:$K$82,2,FALSE)))</f>
        <v>0.64421669106881407</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f t="shared" si="17"/>
        <v>24</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f t="shared" si="42"/>
        <v>18144</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f t="shared" si="62"/>
        <v>24</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f t="shared" si="102"/>
        <v>24</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f t="shared" si="142"/>
        <v>24</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1" t="s">
        <v>396</v>
      </c>
      <c r="C23" s="1312">
        <v>2</v>
      </c>
      <c r="D23" s="1313">
        <v>2</v>
      </c>
      <c r="E23" s="1314">
        <v>32</v>
      </c>
      <c r="F23" s="1314">
        <v>1079</v>
      </c>
      <c r="G23" s="1314" t="s">
        <v>3924</v>
      </c>
      <c r="H23" s="1314">
        <v>1050</v>
      </c>
      <c r="I23" s="1314"/>
      <c r="J23" s="1315"/>
      <c r="K23" s="227">
        <f t="shared" si="172"/>
        <v>1050</v>
      </c>
      <c r="L23" s="227">
        <f t="shared" si="0"/>
        <v>33600</v>
      </c>
      <c r="M23" s="1316" t="s">
        <v>3924</v>
      </c>
      <c r="N23" s="1316" t="s">
        <v>3963</v>
      </c>
      <c r="O23" s="1316" t="s">
        <v>3435</v>
      </c>
      <c r="P23" s="581">
        <f t="shared" si="203"/>
        <v>42000</v>
      </c>
      <c r="Q23" s="582">
        <f>IF(H23="","",P23/($P$6*VLOOKUP(C23,'DCA Underwriting Assumptions'!$J$77:$K$82,2,FALSE)))</f>
        <v>0.68326012689116644</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f t="shared" si="18"/>
        <v>32</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f t="shared" si="43"/>
        <v>34528</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f t="shared" si="63"/>
        <v>32</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f t="shared" si="103"/>
        <v>32</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f t="shared" si="143"/>
        <v>32</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1" t="s">
        <v>396</v>
      </c>
      <c r="C24" s="1312">
        <v>3</v>
      </c>
      <c r="D24" s="1313">
        <v>3</v>
      </c>
      <c r="E24" s="1314">
        <v>4</v>
      </c>
      <c r="F24" s="1314">
        <v>1264</v>
      </c>
      <c r="G24" s="1314" t="s">
        <v>3924</v>
      </c>
      <c r="H24" s="1314">
        <v>1300</v>
      </c>
      <c r="I24" s="1314"/>
      <c r="J24" s="1315"/>
      <c r="K24" s="227">
        <f t="shared" si="172"/>
        <v>1300</v>
      </c>
      <c r="L24" s="227">
        <f t="shared" si="0"/>
        <v>5200</v>
      </c>
      <c r="M24" s="1316" t="s">
        <v>3924</v>
      </c>
      <c r="N24" s="1316" t="s">
        <v>3963</v>
      </c>
      <c r="O24" s="1316" t="s">
        <v>3435</v>
      </c>
      <c r="P24" s="581">
        <f t="shared" si="203"/>
        <v>52000</v>
      </c>
      <c r="Q24" s="582">
        <f>IF(H24="","",P24/($P$6*VLOOKUP(C24,'DCA Underwriting Assumptions'!$J$77:$K$82,2,FALSE)))</f>
        <v>0.7320644216691069</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f t="shared" si="19"/>
        <v>4</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f t="shared" si="44"/>
        <v>5056</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f t="shared" si="64"/>
        <v>4</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f t="shared" si="104"/>
        <v>4</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f t="shared" si="144"/>
        <v>4</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1"/>
      <c r="C25" s="1312"/>
      <c r="D25" s="1313"/>
      <c r="E25" s="1314"/>
      <c r="F25" s="1314"/>
      <c r="G25" s="1314"/>
      <c r="H25" s="1314"/>
      <c r="I25" s="1314"/>
      <c r="J25" s="1315"/>
      <c r="K25" s="227">
        <f t="shared" si="172"/>
        <v>0</v>
      </c>
      <c r="L25" s="227">
        <f t="shared" si="0"/>
        <v>0</v>
      </c>
      <c r="M25" s="1316"/>
      <c r="N25" s="1316"/>
      <c r="O25" s="1316"/>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1"/>
      <c r="C26" s="1312"/>
      <c r="D26" s="1313"/>
      <c r="E26" s="1314"/>
      <c r="F26" s="1314"/>
      <c r="G26" s="1314"/>
      <c r="H26" s="1314"/>
      <c r="I26" s="1314"/>
      <c r="J26" s="1315"/>
      <c r="K26" s="227">
        <f t="shared" si="172"/>
        <v>0</v>
      </c>
      <c r="L26" s="227">
        <f t="shared" si="0"/>
        <v>0</v>
      </c>
      <c r="M26" s="1316"/>
      <c r="N26" s="1316"/>
      <c r="O26" s="1316"/>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1"/>
      <c r="C27" s="1312"/>
      <c r="D27" s="1313"/>
      <c r="E27" s="1314"/>
      <c r="F27" s="1314"/>
      <c r="G27" s="1314"/>
      <c r="H27" s="1314"/>
      <c r="I27" s="1314"/>
      <c r="J27" s="1315"/>
      <c r="K27" s="227">
        <f t="shared" si="172"/>
        <v>0</v>
      </c>
      <c r="L27" s="227">
        <f t="shared" si="0"/>
        <v>0</v>
      </c>
      <c r="M27" s="1316"/>
      <c r="N27" s="1316"/>
      <c r="O27" s="1316"/>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1"/>
      <c r="C28" s="1312"/>
      <c r="D28" s="1313"/>
      <c r="E28" s="1314"/>
      <c r="F28" s="1314"/>
      <c r="G28" s="1314"/>
      <c r="H28" s="1314"/>
      <c r="I28" s="1314"/>
      <c r="J28" s="1315"/>
      <c r="K28" s="227">
        <f>MAX(0,H28-I28)</f>
        <v>0</v>
      </c>
      <c r="L28" s="227">
        <f t="shared" si="0"/>
        <v>0</v>
      </c>
      <c r="M28" s="1316"/>
      <c r="N28" s="1316"/>
      <c r="O28" s="1316"/>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1"/>
      <c r="C29" s="1312"/>
      <c r="D29" s="1313"/>
      <c r="E29" s="1314"/>
      <c r="F29" s="1314"/>
      <c r="G29" s="1314"/>
      <c r="H29" s="1314"/>
      <c r="I29" s="1314"/>
      <c r="J29" s="1315"/>
      <c r="K29" s="227">
        <f t="shared" ref="K29:K47" si="204">MAX(0,H29-I29)</f>
        <v>0</v>
      </c>
      <c r="L29" s="227">
        <f t="shared" si="0"/>
        <v>0</v>
      </c>
      <c r="M29" s="1316"/>
      <c r="N29" s="1316"/>
      <c r="O29" s="1316"/>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1"/>
      <c r="C30" s="1312"/>
      <c r="D30" s="1313"/>
      <c r="E30" s="1314"/>
      <c r="F30" s="1314"/>
      <c r="G30" s="1314"/>
      <c r="H30" s="1314"/>
      <c r="I30" s="1314"/>
      <c r="J30" s="1315"/>
      <c r="K30" s="227">
        <f t="shared" si="204"/>
        <v>0</v>
      </c>
      <c r="L30" s="227">
        <f t="shared" si="0"/>
        <v>0</v>
      </c>
      <c r="M30" s="1316"/>
      <c r="N30" s="1316"/>
      <c r="O30" s="1316"/>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1"/>
      <c r="C31" s="1312"/>
      <c r="D31" s="1313"/>
      <c r="E31" s="1314"/>
      <c r="F31" s="1314"/>
      <c r="G31" s="1314"/>
      <c r="H31" s="1314"/>
      <c r="I31" s="1314"/>
      <c r="J31" s="1315"/>
      <c r="K31" s="227">
        <f t="shared" si="204"/>
        <v>0</v>
      </c>
      <c r="L31" s="227">
        <f t="shared" si="0"/>
        <v>0</v>
      </c>
      <c r="M31" s="1316"/>
      <c r="N31" s="1316"/>
      <c r="O31" s="1316"/>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1"/>
      <c r="C32" s="1312"/>
      <c r="D32" s="1313"/>
      <c r="E32" s="1314"/>
      <c r="F32" s="1314"/>
      <c r="G32" s="1314"/>
      <c r="H32" s="1314"/>
      <c r="I32" s="1314"/>
      <c r="J32" s="1315"/>
      <c r="K32" s="227">
        <f t="shared" si="204"/>
        <v>0</v>
      </c>
      <c r="L32" s="227">
        <f t="shared" si="0"/>
        <v>0</v>
      </c>
      <c r="M32" s="1316"/>
      <c r="N32" s="1316"/>
      <c r="O32" s="1316"/>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1"/>
      <c r="C33" s="1312"/>
      <c r="D33" s="1313"/>
      <c r="E33" s="1314"/>
      <c r="F33" s="1314"/>
      <c r="G33" s="1314"/>
      <c r="H33" s="1314"/>
      <c r="I33" s="1314"/>
      <c r="J33" s="1315"/>
      <c r="K33" s="227">
        <f t="shared" si="204"/>
        <v>0</v>
      </c>
      <c r="L33" s="227">
        <f t="shared" si="0"/>
        <v>0</v>
      </c>
      <c r="M33" s="1316"/>
      <c r="N33" s="1316"/>
      <c r="O33" s="1316"/>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1"/>
      <c r="C34" s="1312"/>
      <c r="D34" s="1313"/>
      <c r="E34" s="1314"/>
      <c r="F34" s="1314"/>
      <c r="G34" s="1314"/>
      <c r="H34" s="1314"/>
      <c r="I34" s="1314"/>
      <c r="J34" s="1315"/>
      <c r="K34" s="227">
        <f t="shared" si="204"/>
        <v>0</v>
      </c>
      <c r="L34" s="227">
        <f t="shared" si="0"/>
        <v>0</v>
      </c>
      <c r="M34" s="1316"/>
      <c r="N34" s="1316"/>
      <c r="O34" s="1316"/>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1"/>
      <c r="C35" s="1312"/>
      <c r="D35" s="1313"/>
      <c r="E35" s="1314"/>
      <c r="F35" s="1314"/>
      <c r="G35" s="1314"/>
      <c r="H35" s="1314"/>
      <c r="I35" s="1314"/>
      <c r="J35" s="1315"/>
      <c r="K35" s="227">
        <f t="shared" si="204"/>
        <v>0</v>
      </c>
      <c r="L35" s="227">
        <f t="shared" si="0"/>
        <v>0</v>
      </c>
      <c r="M35" s="1316"/>
      <c r="N35" s="1316"/>
      <c r="O35" s="1316"/>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1"/>
      <c r="C36" s="1312"/>
      <c r="D36" s="1313"/>
      <c r="E36" s="1314"/>
      <c r="F36" s="1314"/>
      <c r="G36" s="1314"/>
      <c r="H36" s="1314"/>
      <c r="I36" s="1314"/>
      <c r="J36" s="1315"/>
      <c r="K36" s="227">
        <f t="shared" si="204"/>
        <v>0</v>
      </c>
      <c r="L36" s="227">
        <f t="shared" si="0"/>
        <v>0</v>
      </c>
      <c r="M36" s="1316"/>
      <c r="N36" s="1316"/>
      <c r="O36" s="1316"/>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1"/>
      <c r="C37" s="1312"/>
      <c r="D37" s="1313"/>
      <c r="E37" s="1314"/>
      <c r="F37" s="1314"/>
      <c r="G37" s="1314"/>
      <c r="H37" s="1314"/>
      <c r="I37" s="1314"/>
      <c r="J37" s="1315"/>
      <c r="K37" s="227">
        <f t="shared" si="204"/>
        <v>0</v>
      </c>
      <c r="L37" s="227">
        <f t="shared" si="0"/>
        <v>0</v>
      </c>
      <c r="M37" s="1316"/>
      <c r="N37" s="1316"/>
      <c r="O37" s="1316"/>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1"/>
      <c r="C38" s="1312"/>
      <c r="D38" s="1313"/>
      <c r="E38" s="1314"/>
      <c r="F38" s="1314"/>
      <c r="G38" s="1314"/>
      <c r="H38" s="1314"/>
      <c r="I38" s="1314"/>
      <c r="J38" s="1315"/>
      <c r="K38" s="227">
        <f>MAX(0,H38-I38)</f>
        <v>0</v>
      </c>
      <c r="L38" s="227">
        <f t="shared" si="0"/>
        <v>0</v>
      </c>
      <c r="M38" s="1316"/>
      <c r="N38" s="1316"/>
      <c r="O38" s="1316"/>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1"/>
      <c r="C39" s="1312"/>
      <c r="D39" s="1313"/>
      <c r="E39" s="1314"/>
      <c r="F39" s="1314"/>
      <c r="G39" s="1314"/>
      <c r="H39" s="1314"/>
      <c r="I39" s="1314"/>
      <c r="J39" s="1315"/>
      <c r="K39" s="227">
        <f t="shared" ref="K39:K46" si="205">MAX(0,H39-I39)</f>
        <v>0</v>
      </c>
      <c r="L39" s="227">
        <f t="shared" si="0"/>
        <v>0</v>
      </c>
      <c r="M39" s="1316"/>
      <c r="N39" s="1316"/>
      <c r="O39" s="1316"/>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1"/>
      <c r="C40" s="1312"/>
      <c r="D40" s="1313"/>
      <c r="E40" s="1314"/>
      <c r="F40" s="1314"/>
      <c r="G40" s="1314"/>
      <c r="H40" s="1314"/>
      <c r="I40" s="1314"/>
      <c r="J40" s="1315"/>
      <c r="K40" s="227">
        <f t="shared" si="205"/>
        <v>0</v>
      </c>
      <c r="L40" s="227">
        <f t="shared" si="0"/>
        <v>0</v>
      </c>
      <c r="M40" s="1316"/>
      <c r="N40" s="1316"/>
      <c r="O40" s="1316"/>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1"/>
      <c r="C41" s="1312"/>
      <c r="D41" s="1313"/>
      <c r="E41" s="1314"/>
      <c r="F41" s="1314"/>
      <c r="G41" s="1314"/>
      <c r="H41" s="1314"/>
      <c r="I41" s="1314"/>
      <c r="J41" s="1315"/>
      <c r="K41" s="227">
        <f t="shared" si="205"/>
        <v>0</v>
      </c>
      <c r="L41" s="227">
        <f t="shared" si="0"/>
        <v>0</v>
      </c>
      <c r="M41" s="1316"/>
      <c r="N41" s="1316"/>
      <c r="O41" s="1316"/>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1"/>
      <c r="C42" s="1312"/>
      <c r="D42" s="1313"/>
      <c r="E42" s="1314"/>
      <c r="F42" s="1314"/>
      <c r="G42" s="1314"/>
      <c r="H42" s="1314"/>
      <c r="I42" s="1314"/>
      <c r="J42" s="1315"/>
      <c r="K42" s="227">
        <f t="shared" si="205"/>
        <v>0</v>
      </c>
      <c r="L42" s="227">
        <f t="shared" si="0"/>
        <v>0</v>
      </c>
      <c r="M42" s="1316"/>
      <c r="N42" s="1316"/>
      <c r="O42" s="1316"/>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1"/>
      <c r="C43" s="1312"/>
      <c r="D43" s="1313"/>
      <c r="E43" s="1314"/>
      <c r="F43" s="1314"/>
      <c r="G43" s="1314"/>
      <c r="H43" s="1314"/>
      <c r="I43" s="1314"/>
      <c r="J43" s="1315"/>
      <c r="K43" s="227">
        <f t="shared" si="205"/>
        <v>0</v>
      </c>
      <c r="L43" s="227">
        <f t="shared" si="0"/>
        <v>0</v>
      </c>
      <c r="M43" s="1316"/>
      <c r="N43" s="1316"/>
      <c r="O43" s="1316"/>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1"/>
      <c r="C44" s="1312"/>
      <c r="D44" s="1313"/>
      <c r="E44" s="1314"/>
      <c r="F44" s="1314"/>
      <c r="G44" s="1314"/>
      <c r="H44" s="1314"/>
      <c r="I44" s="1314"/>
      <c r="J44" s="1315"/>
      <c r="K44" s="227">
        <f t="shared" si="205"/>
        <v>0</v>
      </c>
      <c r="L44" s="227">
        <f t="shared" si="0"/>
        <v>0</v>
      </c>
      <c r="M44" s="1316"/>
      <c r="N44" s="1316"/>
      <c r="O44" s="1316"/>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1"/>
      <c r="C45" s="1312"/>
      <c r="D45" s="1313"/>
      <c r="E45" s="1314"/>
      <c r="F45" s="1314"/>
      <c r="G45" s="1314"/>
      <c r="H45" s="1314"/>
      <c r="I45" s="1314"/>
      <c r="J45" s="1315"/>
      <c r="K45" s="227">
        <f t="shared" si="205"/>
        <v>0</v>
      </c>
      <c r="L45" s="227">
        <f t="shared" si="0"/>
        <v>0</v>
      </c>
      <c r="M45" s="1316"/>
      <c r="N45" s="1316"/>
      <c r="O45" s="1316"/>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1"/>
      <c r="C46" s="1312"/>
      <c r="D46" s="1313"/>
      <c r="E46" s="1314"/>
      <c r="F46" s="1314"/>
      <c r="G46" s="1314"/>
      <c r="H46" s="1314"/>
      <c r="I46" s="1314"/>
      <c r="J46" s="1315"/>
      <c r="K46" s="227">
        <f t="shared" si="205"/>
        <v>0</v>
      </c>
      <c r="L46" s="227">
        <f t="shared" si="0"/>
        <v>0</v>
      </c>
      <c r="M46" s="1316"/>
      <c r="N46" s="1316"/>
      <c r="O46" s="1316"/>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7"/>
      <c r="C47" s="1318"/>
      <c r="D47" s="1319"/>
      <c r="E47" s="1320"/>
      <c r="F47" s="1320"/>
      <c r="G47" s="1320"/>
      <c r="H47" s="1320"/>
      <c r="I47" s="1320"/>
      <c r="J47" s="1321"/>
      <c r="K47" s="228">
        <f t="shared" si="204"/>
        <v>0</v>
      </c>
      <c r="L47" s="228">
        <f t="shared" si="0"/>
        <v>0</v>
      </c>
      <c r="M47" s="1322"/>
      <c r="N47" s="1322"/>
      <c r="O47" s="1322"/>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150</v>
      </c>
      <c r="F48" s="171">
        <f>(E10*F10+E11*F11+E12*F12+E13*F13+E14*F14+E15*F15+E16*F16+E17*F17+E18*F18+E19*F19+E20*F20+E21*F21+E22*F22+E23*F23+E24*F24+E25*F25+E26*F26+E27*F27+E28*F28+E29*F29+E30*F30+E31*F31+E32*F32+E33*F33+E34*F34+E35*F35+E36*F36+E37*F37+E38*F38+E39*F39+E40*F40+E41*F41+E42*F42+E43*F43+E44*F44+E45*F45+E46*F46+E47*F47)</f>
        <v>146998</v>
      </c>
      <c r="G48" s="162"/>
      <c r="H48" s="163"/>
      <c r="I48" s="163"/>
      <c r="J48" s="163"/>
      <c r="K48" s="15" t="s">
        <v>2002</v>
      </c>
      <c r="L48" s="169">
        <f>SUM(L10:L47)</f>
        <v>84334</v>
      </c>
      <c r="M48" s="2"/>
      <c r="N48" s="42"/>
      <c r="O48" s="2"/>
      <c r="P48" s="122"/>
      <c r="Q48" s="122"/>
      <c r="R48" s="738"/>
      <c r="S48" s="446"/>
      <c r="T48" s="446">
        <f t="shared" ref="T48:CI48" si="206">SUM(T10:T47)</f>
        <v>0</v>
      </c>
      <c r="U48" s="446">
        <f t="shared" si="206"/>
        <v>20</v>
      </c>
      <c r="V48" s="446">
        <f t="shared" si="206"/>
        <v>39</v>
      </c>
      <c r="W48" s="446">
        <f t="shared" si="206"/>
        <v>8</v>
      </c>
      <c r="X48" s="446">
        <f t="shared" si="206"/>
        <v>0</v>
      </c>
      <c r="Y48" s="446">
        <f t="shared" si="206"/>
        <v>0</v>
      </c>
      <c r="Z48" s="446">
        <f t="shared" si="206"/>
        <v>10</v>
      </c>
      <c r="AA48" s="446">
        <f t="shared" si="206"/>
        <v>11</v>
      </c>
      <c r="AB48" s="446">
        <f t="shared" si="206"/>
        <v>2</v>
      </c>
      <c r="AC48" s="446">
        <f t="shared" si="206"/>
        <v>0</v>
      </c>
      <c r="AD48" s="446">
        <f t="shared" si="206"/>
        <v>0</v>
      </c>
      <c r="AE48" s="446">
        <f t="shared" si="206"/>
        <v>0</v>
      </c>
      <c r="AF48" s="446">
        <f t="shared" si="206"/>
        <v>0</v>
      </c>
      <c r="AG48" s="446">
        <f t="shared" si="206"/>
        <v>0</v>
      </c>
      <c r="AH48" s="446">
        <f t="shared" si="206"/>
        <v>0</v>
      </c>
      <c r="AI48" s="446">
        <f t="shared" si="206"/>
        <v>0</v>
      </c>
      <c r="AJ48" s="446">
        <f t="shared" si="206"/>
        <v>24</v>
      </c>
      <c r="AK48" s="446">
        <f t="shared" si="206"/>
        <v>32</v>
      </c>
      <c r="AL48" s="446">
        <f t="shared" si="206"/>
        <v>4</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11</v>
      </c>
      <c r="BK48" s="446">
        <f t="shared" si="207"/>
        <v>2</v>
      </c>
      <c r="BL48" s="446">
        <f t="shared" si="207"/>
        <v>0</v>
      </c>
      <c r="BM48" s="446">
        <f t="shared" si="207"/>
        <v>0</v>
      </c>
      <c r="BN48" s="446">
        <f t="shared" si="207"/>
        <v>12</v>
      </c>
      <c r="BO48" s="446">
        <f t="shared" si="207"/>
        <v>12</v>
      </c>
      <c r="BP48" s="446">
        <f t="shared" si="207"/>
        <v>4</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15120</v>
      </c>
      <c r="BY48" s="446">
        <f t="shared" si="206"/>
        <v>42081</v>
      </c>
      <c r="BZ48" s="446">
        <f t="shared" si="206"/>
        <v>10112</v>
      </c>
      <c r="CA48" s="446">
        <f t="shared" si="206"/>
        <v>0</v>
      </c>
      <c r="CB48" s="446">
        <f t="shared" si="206"/>
        <v>0</v>
      </c>
      <c r="CC48" s="446">
        <f t="shared" si="206"/>
        <v>7560</v>
      </c>
      <c r="CD48" s="446">
        <f t="shared" si="206"/>
        <v>11869</v>
      </c>
      <c r="CE48" s="446">
        <f t="shared" si="206"/>
        <v>2528</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18144</v>
      </c>
      <c r="CN48" s="446">
        <f t="shared" si="208"/>
        <v>34528</v>
      </c>
      <c r="CO48" s="446">
        <f t="shared" si="208"/>
        <v>5056</v>
      </c>
      <c r="CP48" s="446">
        <f t="shared" si="208"/>
        <v>0</v>
      </c>
      <c r="CQ48" s="446">
        <f t="shared" si="208"/>
        <v>0</v>
      </c>
      <c r="CR48" s="446">
        <f t="shared" si="208"/>
        <v>16632</v>
      </c>
      <c r="CS48" s="446">
        <f t="shared" si="208"/>
        <v>24817</v>
      </c>
      <c r="CT48" s="446">
        <f t="shared" si="208"/>
        <v>7584</v>
      </c>
      <c r="CU48" s="446">
        <f t="shared" si="208"/>
        <v>0</v>
      </c>
      <c r="CV48" s="446">
        <f t="shared" si="208"/>
        <v>0</v>
      </c>
      <c r="CW48" s="446">
        <f t="shared" si="208"/>
        <v>0</v>
      </c>
      <c r="CX48" s="446">
        <f t="shared" si="208"/>
        <v>0</v>
      </c>
      <c r="CY48" s="446">
        <f t="shared" si="208"/>
        <v>0</v>
      </c>
      <c r="CZ48" s="446">
        <f t="shared" si="208"/>
        <v>0</v>
      </c>
      <c r="DA48" s="446">
        <f t="shared" si="208"/>
        <v>0</v>
      </c>
      <c r="DB48" s="446">
        <f t="shared" si="208"/>
        <v>30</v>
      </c>
      <c r="DC48" s="446">
        <f t="shared" si="208"/>
        <v>50</v>
      </c>
      <c r="DD48" s="446">
        <f t="shared" si="208"/>
        <v>10</v>
      </c>
      <c r="DE48" s="446">
        <f t="shared" si="208"/>
        <v>0</v>
      </c>
      <c r="DF48" s="446">
        <f t="shared" si="208"/>
        <v>0</v>
      </c>
      <c r="DG48" s="446">
        <f t="shared" si="208"/>
        <v>24</v>
      </c>
      <c r="DH48" s="446">
        <f t="shared" si="208"/>
        <v>32</v>
      </c>
      <c r="DI48" s="446">
        <f t="shared" si="208"/>
        <v>4</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54</v>
      </c>
      <c r="EV48" s="446">
        <f t="shared" si="209"/>
        <v>82</v>
      </c>
      <c r="EW48" s="446">
        <f t="shared" si="209"/>
        <v>14</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54</v>
      </c>
      <c r="GJ48" s="446">
        <f t="shared" si="209"/>
        <v>82</v>
      </c>
      <c r="GK48" s="446">
        <f t="shared" si="209"/>
        <v>14</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1012008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3648</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2"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3"/>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20</v>
      </c>
      <c r="J57" s="381">
        <f>V48</f>
        <v>39</v>
      </c>
      <c r="K57" s="381">
        <f>W48</f>
        <v>8</v>
      </c>
      <c r="L57" s="381">
        <f>X48</f>
        <v>0</v>
      </c>
      <c r="M57" s="381">
        <f t="shared" ref="M57:M63" si="211">SUM(H57:L57)</f>
        <v>67</v>
      </c>
      <c r="N57" s="976" t="s">
        <v>1483</v>
      </c>
      <c r="O57" s="977"/>
      <c r="P57" s="739"/>
      <c r="Q57" s="680">
        <f t="shared" ref="Q57:Q63" si="212">ABS(M57-AD57)</f>
        <v>0</v>
      </c>
      <c r="S57" s="207"/>
      <c r="T57" s="447" t="s">
        <v>1778</v>
      </c>
      <c r="U57" s="447"/>
      <c r="V57" s="447"/>
      <c r="W57" s="447"/>
      <c r="X57" s="448" t="s">
        <v>1791</v>
      </c>
      <c r="Y57" s="449">
        <f>T48</f>
        <v>0</v>
      </c>
      <c r="Z57" s="449">
        <f>U48</f>
        <v>20</v>
      </c>
      <c r="AA57" s="449">
        <f>V48</f>
        <v>39</v>
      </c>
      <c r="AB57" s="449">
        <f>W48</f>
        <v>8</v>
      </c>
      <c r="AC57" s="449">
        <f>X48</f>
        <v>0</v>
      </c>
      <c r="AD57" s="449">
        <f t="shared" ref="AD57:AD63" si="213">SUM(Y57:AC57)</f>
        <v>67</v>
      </c>
      <c r="AE57" s="448" t="s">
        <v>1555</v>
      </c>
      <c r="AF57" s="122"/>
      <c r="GU57" s="172"/>
      <c r="HJ57" s="113"/>
    </row>
    <row r="58" spans="1:221" ht="15" customHeight="1">
      <c r="A58" s="963" t="s">
        <v>652</v>
      </c>
      <c r="B58" s="963"/>
      <c r="C58" s="5"/>
      <c r="D58" s="2"/>
      <c r="E58" s="2"/>
      <c r="F58" s="2"/>
      <c r="G58" s="46" t="s">
        <v>133</v>
      </c>
      <c r="H58" s="382">
        <f>Y48</f>
        <v>0</v>
      </c>
      <c r="I58" s="382">
        <f>Z48</f>
        <v>10</v>
      </c>
      <c r="J58" s="382">
        <f>AA48</f>
        <v>11</v>
      </c>
      <c r="K58" s="382">
        <f>AB48</f>
        <v>2</v>
      </c>
      <c r="L58" s="382">
        <f>AC48</f>
        <v>0</v>
      </c>
      <c r="M58" s="382">
        <f t="shared" si="211"/>
        <v>23</v>
      </c>
      <c r="N58" s="976"/>
      <c r="O58" s="977"/>
      <c r="P58" s="739"/>
      <c r="Q58" s="680">
        <f t="shared" si="212"/>
        <v>0</v>
      </c>
      <c r="S58" s="207"/>
      <c r="T58" s="231"/>
      <c r="U58" s="447"/>
      <c r="V58" s="447"/>
      <c r="W58" s="447"/>
      <c r="X58" s="448" t="s">
        <v>133</v>
      </c>
      <c r="Y58" s="449">
        <f>Y48</f>
        <v>0</v>
      </c>
      <c r="Z58" s="449">
        <f>Z48</f>
        <v>10</v>
      </c>
      <c r="AA58" s="449">
        <f>AA48</f>
        <v>11</v>
      </c>
      <c r="AB58" s="449">
        <f>AB48</f>
        <v>2</v>
      </c>
      <c r="AC58" s="449">
        <f>AC48</f>
        <v>0</v>
      </c>
      <c r="AD58" s="449">
        <f t="shared" si="213"/>
        <v>23</v>
      </c>
      <c r="AE58" s="448"/>
      <c r="AF58" s="122"/>
      <c r="GU58" s="172"/>
      <c r="HJ58" s="113"/>
    </row>
    <row r="59" spans="1:221" ht="15" customHeight="1">
      <c r="A59" s="963"/>
      <c r="B59" s="963"/>
      <c r="C59" s="5"/>
      <c r="D59" s="2"/>
      <c r="E59" s="2"/>
      <c r="F59" s="2"/>
      <c r="G59" s="46" t="s">
        <v>832</v>
      </c>
      <c r="H59" s="383">
        <f>SUM(H57:H58)</f>
        <v>0</v>
      </c>
      <c r="I59" s="383">
        <f>SUM(I57:I58)</f>
        <v>30</v>
      </c>
      <c r="J59" s="383">
        <f>SUM(J57:J58)</f>
        <v>50</v>
      </c>
      <c r="K59" s="383">
        <f>SUM(K57:K58)</f>
        <v>10</v>
      </c>
      <c r="L59" s="383">
        <f>SUM(L57:L58)</f>
        <v>0</v>
      </c>
      <c r="M59" s="383">
        <f t="shared" si="211"/>
        <v>90</v>
      </c>
      <c r="N59" s="386"/>
      <c r="O59" s="113"/>
      <c r="Q59" s="680">
        <f t="shared" si="212"/>
        <v>0</v>
      </c>
      <c r="S59" s="207"/>
      <c r="T59" s="231"/>
      <c r="U59" s="447"/>
      <c r="V59" s="447"/>
      <c r="W59" s="447"/>
      <c r="X59" s="448" t="s">
        <v>832</v>
      </c>
      <c r="Y59" s="449">
        <f>SUM(Y57:Y58)</f>
        <v>0</v>
      </c>
      <c r="Z59" s="449">
        <f>SUM(Z57:Z58)</f>
        <v>30</v>
      </c>
      <c r="AA59" s="449">
        <f>SUM(AA57:AA58)</f>
        <v>50</v>
      </c>
      <c r="AB59" s="449">
        <f>SUM(AB57:AB58)</f>
        <v>10</v>
      </c>
      <c r="AC59" s="449">
        <f>SUM(AC57:AC58)</f>
        <v>0</v>
      </c>
      <c r="AD59" s="449">
        <f t="shared" si="213"/>
        <v>90</v>
      </c>
      <c r="AE59" s="448"/>
      <c r="AF59" s="122"/>
      <c r="GU59" s="172"/>
      <c r="HJ59" s="113"/>
    </row>
    <row r="60" spans="1:221" ht="15" customHeight="1">
      <c r="A60" s="963"/>
      <c r="B60" s="963"/>
      <c r="C60" s="2" t="s">
        <v>396</v>
      </c>
      <c r="D60" s="2"/>
      <c r="E60" s="2"/>
      <c r="F60" s="2"/>
      <c r="G60" s="46"/>
      <c r="H60" s="383">
        <f>AI48</f>
        <v>0</v>
      </c>
      <c r="I60" s="383">
        <f>AJ48</f>
        <v>24</v>
      </c>
      <c r="J60" s="383">
        <f>AK48</f>
        <v>32</v>
      </c>
      <c r="K60" s="383">
        <f>AL48</f>
        <v>4</v>
      </c>
      <c r="L60" s="383">
        <f>AM48</f>
        <v>0</v>
      </c>
      <c r="M60" s="383">
        <f t="shared" si="211"/>
        <v>60</v>
      </c>
      <c r="N60" s="68"/>
      <c r="O60" s="113"/>
      <c r="Q60" s="680">
        <f t="shared" si="212"/>
        <v>0</v>
      </c>
      <c r="S60" s="207"/>
      <c r="T60" s="122" t="s">
        <v>396</v>
      </c>
      <c r="U60" s="447"/>
      <c r="V60" s="447"/>
      <c r="W60" s="447"/>
      <c r="X60" s="448"/>
      <c r="Y60" s="449">
        <f>AI48</f>
        <v>0</v>
      </c>
      <c r="Z60" s="449">
        <f>AJ48</f>
        <v>24</v>
      </c>
      <c r="AA60" s="449">
        <f>AK48</f>
        <v>32</v>
      </c>
      <c r="AB60" s="449">
        <f>AL48</f>
        <v>4</v>
      </c>
      <c r="AC60" s="449">
        <f>AM48</f>
        <v>0</v>
      </c>
      <c r="AD60" s="449">
        <f t="shared" si="213"/>
        <v>60</v>
      </c>
      <c r="AE60" s="450"/>
      <c r="AF60" s="122"/>
      <c r="GU60" s="172"/>
      <c r="HJ60" s="113"/>
    </row>
    <row r="61" spans="1:221" ht="15" customHeight="1">
      <c r="A61" s="963"/>
      <c r="B61" s="963"/>
      <c r="C61" s="2" t="s">
        <v>1779</v>
      </c>
      <c r="D61" s="2"/>
      <c r="E61" s="2"/>
      <c r="F61" s="2"/>
      <c r="G61" s="46"/>
      <c r="H61" s="383">
        <f>SUM(H59:H60)</f>
        <v>0</v>
      </c>
      <c r="I61" s="383">
        <f>SUM(I59:I60)</f>
        <v>54</v>
      </c>
      <c r="J61" s="383">
        <f>SUM(J59:J60)</f>
        <v>82</v>
      </c>
      <c r="K61" s="383">
        <f>SUM(K59:K60)</f>
        <v>14</v>
      </c>
      <c r="L61" s="383">
        <f>SUM(L59:L60)</f>
        <v>0</v>
      </c>
      <c r="M61" s="383">
        <f t="shared" si="211"/>
        <v>150</v>
      </c>
      <c r="N61" s="68"/>
      <c r="O61" s="113"/>
      <c r="Q61" s="680">
        <f t="shared" si="212"/>
        <v>0</v>
      </c>
      <c r="S61" s="207"/>
      <c r="T61" s="447" t="s">
        <v>1779</v>
      </c>
      <c r="U61" s="447"/>
      <c r="V61" s="447"/>
      <c r="W61" s="447"/>
      <c r="X61" s="448"/>
      <c r="Y61" s="449">
        <f>SUM(Y59:Y60)</f>
        <v>0</v>
      </c>
      <c r="Z61" s="449">
        <f>SUM(Z59:Z60)</f>
        <v>54</v>
      </c>
      <c r="AA61" s="449">
        <f>SUM(AA59:AA60)</f>
        <v>82</v>
      </c>
      <c r="AB61" s="449">
        <f>SUM(AB59:AB60)</f>
        <v>14</v>
      </c>
      <c r="AC61" s="449">
        <f>SUM(AC59:AC60)</f>
        <v>0</v>
      </c>
      <c r="AD61" s="449">
        <f t="shared" si="213"/>
        <v>150</v>
      </c>
      <c r="AE61" s="450"/>
      <c r="AF61" s="122"/>
      <c r="GU61" s="172"/>
      <c r="HJ61" s="113"/>
    </row>
    <row r="62" spans="1:221" ht="15" customHeight="1">
      <c r="A62" s="963"/>
      <c r="B62" s="963"/>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63"/>
      <c r="B63" s="963"/>
      <c r="C63" s="2" t="s">
        <v>832</v>
      </c>
      <c r="D63" s="2"/>
      <c r="E63" s="2"/>
      <c r="F63" s="2"/>
      <c r="G63" s="46"/>
      <c r="H63" s="383">
        <f>SUM(H61:H62)</f>
        <v>0</v>
      </c>
      <c r="I63" s="383">
        <f>SUM(I61:I62)</f>
        <v>54</v>
      </c>
      <c r="J63" s="383">
        <f>SUM(J61:J62)</f>
        <v>82</v>
      </c>
      <c r="K63" s="383">
        <f>SUM(K61:K62)</f>
        <v>14</v>
      </c>
      <c r="L63" s="383">
        <f>SUM(L61:L62)</f>
        <v>0</v>
      </c>
      <c r="M63" s="383">
        <f t="shared" si="211"/>
        <v>150</v>
      </c>
      <c r="O63" s="113"/>
      <c r="Q63" s="680">
        <f t="shared" si="212"/>
        <v>0</v>
      </c>
      <c r="S63" s="207"/>
      <c r="T63" s="447" t="s">
        <v>832</v>
      </c>
      <c r="U63" s="447"/>
      <c r="V63" s="447"/>
      <c r="W63" s="447"/>
      <c r="X63" s="448"/>
      <c r="Y63" s="449">
        <f>SUM(Y61:Y62)</f>
        <v>0</v>
      </c>
      <c r="Z63" s="449">
        <f>SUM(Z61:Z62)</f>
        <v>54</v>
      </c>
      <c r="AA63" s="449">
        <f>SUM(AA61:AA62)</f>
        <v>82</v>
      </c>
      <c r="AB63" s="449">
        <f>SUM(AB61:AB62)</f>
        <v>14</v>
      </c>
      <c r="AC63" s="449">
        <f>SUM(AC61:AC62)</f>
        <v>0</v>
      </c>
      <c r="AD63" s="449">
        <f t="shared" si="213"/>
        <v>150</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1482</v>
      </c>
      <c r="D69" s="2"/>
      <c r="E69" s="147"/>
      <c r="F69" s="2"/>
      <c r="G69" s="46" t="s">
        <v>1791</v>
      </c>
      <c r="H69" s="381">
        <f>BM48</f>
        <v>0</v>
      </c>
      <c r="I69" s="381">
        <f>BN48</f>
        <v>12</v>
      </c>
      <c r="J69" s="381">
        <f>BO48</f>
        <v>12</v>
      </c>
      <c r="K69" s="381">
        <f>BP48</f>
        <v>4</v>
      </c>
      <c r="L69" s="381">
        <f>BQ48</f>
        <v>0</v>
      </c>
      <c r="M69" s="381">
        <f>SUM(H69:L69)</f>
        <v>28</v>
      </c>
      <c r="N69" s="65"/>
      <c r="O69" s="113"/>
      <c r="Q69" s="680">
        <f>ABS(M69-AD69)</f>
        <v>0</v>
      </c>
      <c r="S69" s="207"/>
      <c r="T69" s="122" t="s">
        <v>1482</v>
      </c>
      <c r="U69" s="447"/>
      <c r="V69" s="451"/>
      <c r="W69" s="447"/>
      <c r="X69" s="448" t="s">
        <v>1791</v>
      </c>
      <c r="Y69" s="449">
        <f>BM48</f>
        <v>0</v>
      </c>
      <c r="Z69" s="449">
        <f>BN48</f>
        <v>12</v>
      </c>
      <c r="AA69" s="449">
        <f>BO48</f>
        <v>12</v>
      </c>
      <c r="AB69" s="449">
        <f>BP48</f>
        <v>4</v>
      </c>
      <c r="AC69" s="449">
        <f>BQ48</f>
        <v>0</v>
      </c>
      <c r="AD69" s="449">
        <f>SUM(Y69:AC69)</f>
        <v>28</v>
      </c>
      <c r="AE69" s="448"/>
      <c r="AF69" s="122"/>
      <c r="GU69" s="172"/>
      <c r="HJ69" s="113"/>
    </row>
    <row r="70" spans="1:218" ht="15" customHeight="1">
      <c r="A70" s="963"/>
      <c r="B70" s="963"/>
      <c r="C70" s="46" t="s">
        <v>3798</v>
      </c>
      <c r="D70" s="2"/>
      <c r="E70" s="147"/>
      <c r="F70" s="2"/>
      <c r="G70" s="46" t="s">
        <v>133</v>
      </c>
      <c r="H70" s="382">
        <f>BH48</f>
        <v>0</v>
      </c>
      <c r="I70" s="382">
        <f>BI48</f>
        <v>0</v>
      </c>
      <c r="J70" s="382">
        <f>BJ48</f>
        <v>11</v>
      </c>
      <c r="K70" s="382">
        <f>BK48</f>
        <v>2</v>
      </c>
      <c r="L70" s="382">
        <f>BL48</f>
        <v>0</v>
      </c>
      <c r="M70" s="384">
        <f>SUM(H70:L70)</f>
        <v>13</v>
      </c>
      <c r="N70" s="65"/>
      <c r="O70" s="113"/>
      <c r="Q70" s="680">
        <f>ABS(M70-AD70)</f>
        <v>0</v>
      </c>
      <c r="S70" s="207"/>
      <c r="T70" s="681" t="s">
        <v>3798</v>
      </c>
      <c r="U70" s="447"/>
      <c r="V70" s="451"/>
      <c r="W70" s="447"/>
      <c r="X70" s="448" t="s">
        <v>133</v>
      </c>
      <c r="Y70" s="449">
        <f>BH48</f>
        <v>0</v>
      </c>
      <c r="Z70" s="449">
        <f>BI48</f>
        <v>0</v>
      </c>
      <c r="AA70" s="449">
        <f>BJ48</f>
        <v>11</v>
      </c>
      <c r="AB70" s="449">
        <f>BK48</f>
        <v>2</v>
      </c>
      <c r="AC70" s="449">
        <f>BL48</f>
        <v>0</v>
      </c>
      <c r="AD70" s="449">
        <f>SUM(Y70:AC70)</f>
        <v>13</v>
      </c>
      <c r="AE70" s="448"/>
      <c r="AF70" s="122"/>
      <c r="GU70" s="172"/>
      <c r="HJ70" s="113"/>
    </row>
    <row r="71" spans="1:218" ht="15" customHeight="1">
      <c r="A71" s="963"/>
      <c r="B71" s="963"/>
      <c r="C71" s="5"/>
      <c r="D71" s="2"/>
      <c r="E71" s="147"/>
      <c r="F71" s="2"/>
      <c r="G71" s="46" t="s">
        <v>832</v>
      </c>
      <c r="H71" s="383">
        <f>SUM(H69:H70)</f>
        <v>0</v>
      </c>
      <c r="I71" s="383">
        <f>SUM(I69:I70)</f>
        <v>12</v>
      </c>
      <c r="J71" s="383">
        <f>SUM(J69:J70)</f>
        <v>23</v>
      </c>
      <c r="K71" s="383">
        <f>SUM(K69:K70)</f>
        <v>6</v>
      </c>
      <c r="L71" s="383">
        <f>SUM(L69:L70)</f>
        <v>0</v>
      </c>
      <c r="M71" s="383">
        <f>SUM(H71:L71)</f>
        <v>41</v>
      </c>
      <c r="N71" s="65"/>
      <c r="O71" s="113"/>
      <c r="Q71" s="680">
        <f>ABS(M71-AD71)</f>
        <v>0</v>
      </c>
      <c r="S71" s="207"/>
      <c r="T71" s="231"/>
      <c r="U71" s="447"/>
      <c r="V71" s="451"/>
      <c r="W71" s="447"/>
      <c r="X71" s="448" t="s">
        <v>832</v>
      </c>
      <c r="Y71" s="449">
        <f>SUM(Y69:Y70)</f>
        <v>0</v>
      </c>
      <c r="Z71" s="449">
        <f>SUM(Z69:Z70)</f>
        <v>12</v>
      </c>
      <c r="AA71" s="449">
        <f>SUM(AA69:AA70)</f>
        <v>23</v>
      </c>
      <c r="AB71" s="449">
        <f>SUM(AB69:AB70)</f>
        <v>6</v>
      </c>
      <c r="AC71" s="449">
        <f>SUM(AC69:AC70)</f>
        <v>0</v>
      </c>
      <c r="AD71" s="449">
        <f>SUM(Y71:AC71)</f>
        <v>41</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3435</v>
      </c>
      <c r="F73" s="2"/>
      <c r="G73" s="46" t="s">
        <v>2154</v>
      </c>
      <c r="H73" s="381">
        <f>DA48</f>
        <v>0</v>
      </c>
      <c r="I73" s="381">
        <f>DB48</f>
        <v>30</v>
      </c>
      <c r="J73" s="381">
        <f>DC48</f>
        <v>50</v>
      </c>
      <c r="K73" s="381">
        <f>DD48</f>
        <v>10</v>
      </c>
      <c r="L73" s="381">
        <f>DE48</f>
        <v>0</v>
      </c>
      <c r="M73" s="381">
        <f t="shared" ref="M73:M83" si="214">SUM(H73:L73)</f>
        <v>90</v>
      </c>
      <c r="N73" s="31"/>
      <c r="O73" s="113"/>
      <c r="Q73" s="680">
        <f t="shared" ref="Q73:Q81" si="215">ABS(M73-AD73)</f>
        <v>0</v>
      </c>
      <c r="S73" s="207"/>
      <c r="T73" s="447"/>
      <c r="U73" s="447"/>
      <c r="V73" s="451" t="s">
        <v>3435</v>
      </c>
      <c r="W73" s="447"/>
      <c r="X73" s="448" t="s">
        <v>2154</v>
      </c>
      <c r="Y73" s="449">
        <f>DA48</f>
        <v>0</v>
      </c>
      <c r="Z73" s="449">
        <f>DB48</f>
        <v>30</v>
      </c>
      <c r="AA73" s="449">
        <f>DC48</f>
        <v>50</v>
      </c>
      <c r="AB73" s="449">
        <f>DD48</f>
        <v>10</v>
      </c>
      <c r="AC73" s="449">
        <f>DE48</f>
        <v>0</v>
      </c>
      <c r="AD73" s="449">
        <f t="shared" ref="AD73:AD81" si="216">SUM(Y73:AC73)</f>
        <v>90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24</v>
      </c>
      <c r="J74" s="385">
        <f>DH48</f>
        <v>32</v>
      </c>
      <c r="K74" s="385">
        <f>DI48</f>
        <v>4</v>
      </c>
      <c r="L74" s="385">
        <f>DJ48</f>
        <v>0</v>
      </c>
      <c r="M74" s="385">
        <f t="shared" si="214"/>
        <v>60</v>
      </c>
      <c r="N74" s="68"/>
      <c r="O74" s="113"/>
      <c r="Q74" s="680">
        <f t="shared" si="215"/>
        <v>0</v>
      </c>
      <c r="S74" s="207"/>
      <c r="T74" s="447"/>
      <c r="U74" s="447"/>
      <c r="V74" s="451"/>
      <c r="W74" s="447"/>
      <c r="X74" s="448" t="s">
        <v>2153</v>
      </c>
      <c r="Y74" s="449">
        <f>DF48</f>
        <v>0</v>
      </c>
      <c r="Z74" s="449">
        <f>DG48</f>
        <v>24</v>
      </c>
      <c r="AA74" s="449">
        <f>DH48</f>
        <v>32</v>
      </c>
      <c r="AB74" s="449">
        <f>DI48</f>
        <v>4</v>
      </c>
      <c r="AC74" s="449">
        <f>DJ48</f>
        <v>0</v>
      </c>
      <c r="AD74" s="449">
        <f t="shared" si="216"/>
        <v>60</v>
      </c>
      <c r="AE74" s="450"/>
      <c r="AF74" s="122"/>
      <c r="GU74" s="172"/>
      <c r="HJ74" s="113"/>
    </row>
    <row r="75" spans="1:218" ht="15" customHeight="1">
      <c r="A75" s="963"/>
      <c r="B75" s="963"/>
      <c r="C75" s="5"/>
      <c r="D75" s="2"/>
      <c r="E75" s="147"/>
      <c r="F75" s="2"/>
      <c r="G75" s="46" t="s">
        <v>34</v>
      </c>
      <c r="H75" s="383">
        <f>SUM(H73:H74)+DK48</f>
        <v>0</v>
      </c>
      <c r="I75" s="383">
        <f>SUM(I73:I74)+DL48</f>
        <v>54</v>
      </c>
      <c r="J75" s="383">
        <f>SUM(J73:J74)+DM48</f>
        <v>82</v>
      </c>
      <c r="K75" s="383">
        <f>SUM(K73:K74)+DN48</f>
        <v>14</v>
      </c>
      <c r="L75" s="383">
        <f>SUM(L73:L74)+DO48</f>
        <v>0</v>
      </c>
      <c r="M75" s="383">
        <f t="shared" si="214"/>
        <v>150</v>
      </c>
      <c r="N75" s="65"/>
      <c r="O75" s="113"/>
      <c r="Q75" s="680">
        <f t="shared" si="215"/>
        <v>0</v>
      </c>
      <c r="S75" s="207"/>
      <c r="T75" s="231"/>
      <c r="U75" s="447"/>
      <c r="V75" s="451"/>
      <c r="W75" s="447"/>
      <c r="X75" s="681" t="s">
        <v>34</v>
      </c>
      <c r="Y75" s="449">
        <f>SUM(Y73:Y74)+DK48</f>
        <v>0</v>
      </c>
      <c r="Z75" s="449">
        <f>SUM(Z73:Z74)+DL48</f>
        <v>54</v>
      </c>
      <c r="AA75" s="449">
        <f>SUM(AA73:AA74)+DM48</f>
        <v>82</v>
      </c>
      <c r="AB75" s="449">
        <f>SUM(AB73:AB74)+DN48</f>
        <v>14</v>
      </c>
      <c r="AC75" s="449">
        <f>SUM(AC73:AC74)+DO48</f>
        <v>0</v>
      </c>
      <c r="AD75" s="449">
        <f t="shared" si="216"/>
        <v>150</v>
      </c>
      <c r="AE75" s="448"/>
      <c r="AF75" s="122"/>
      <c r="GU75" s="172"/>
      <c r="HJ75" s="113"/>
    </row>
    <row r="76" spans="1:218" ht="15" customHeight="1">
      <c r="A76" s="963"/>
      <c r="B76" s="963"/>
      <c r="C76" s="2"/>
      <c r="D76" s="2"/>
      <c r="E76" s="140" t="s">
        <v>3238</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3"/>
      <c r="I82" s="1323"/>
      <c r="J82" s="1323"/>
      <c r="K82" s="1323"/>
      <c r="L82" s="132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4"/>
      <c r="I83" s="1324"/>
      <c r="J83" s="1324"/>
      <c r="K83" s="1324"/>
      <c r="L83" s="1324"/>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54</v>
      </c>
      <c r="J85" s="381">
        <f>EV48</f>
        <v>82</v>
      </c>
      <c r="K85" s="381">
        <f>EW48</f>
        <v>14</v>
      </c>
      <c r="L85" s="381">
        <f>EX48</f>
        <v>0</v>
      </c>
      <c r="M85" s="381">
        <f>SUM(H85:L85)</f>
        <v>150</v>
      </c>
      <c r="N85" s="31"/>
      <c r="O85" s="113"/>
      <c r="Q85" s="680">
        <f>ABS(M85-AD85)</f>
        <v>0</v>
      </c>
      <c r="S85" s="207"/>
      <c r="T85" s="122"/>
      <c r="U85" s="122"/>
      <c r="V85" s="451" t="s">
        <v>46</v>
      </c>
      <c r="W85" s="122"/>
      <c r="X85" s="448"/>
      <c r="Y85" s="449">
        <f>ET48</f>
        <v>0</v>
      </c>
      <c r="Z85" s="449">
        <f>EU48</f>
        <v>54</v>
      </c>
      <c r="AA85" s="449">
        <f>EV48</f>
        <v>82</v>
      </c>
      <c r="AB85" s="449">
        <f>EW48</f>
        <v>14</v>
      </c>
      <c r="AC85" s="449">
        <f>EX48</f>
        <v>0</v>
      </c>
      <c r="AD85" s="449">
        <f>SUM(Y85:AC85)</f>
        <v>150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1791</v>
      </c>
      <c r="H92" s="223">
        <f>BW48</f>
        <v>0</v>
      </c>
      <c r="I92" s="223">
        <f>BX48</f>
        <v>15120</v>
      </c>
      <c r="J92" s="223">
        <f>BY48</f>
        <v>42081</v>
      </c>
      <c r="K92" s="223">
        <f>BZ48</f>
        <v>10112</v>
      </c>
      <c r="L92" s="223">
        <f>CA48</f>
        <v>0</v>
      </c>
      <c r="M92" s="223">
        <f t="shared" ref="M92:M98" si="217">SUM(H92:L92)</f>
        <v>67313</v>
      </c>
      <c r="O92" s="113"/>
      <c r="Q92" s="680">
        <f t="shared" ref="Q92:Q98" si="218">ABS(M92-AD92)</f>
        <v>0</v>
      </c>
      <c r="S92" s="207"/>
      <c r="T92" s="447" t="s">
        <v>3237</v>
      </c>
      <c r="U92" s="447"/>
      <c r="V92" s="447"/>
      <c r="W92" s="447"/>
      <c r="X92" s="448" t="s">
        <v>1791</v>
      </c>
      <c r="Y92" s="449">
        <f>BW48</f>
        <v>0</v>
      </c>
      <c r="Z92" s="449">
        <f>BX48</f>
        <v>15120</v>
      </c>
      <c r="AA92" s="449">
        <f>BY48</f>
        <v>42081</v>
      </c>
      <c r="AB92" s="449">
        <f>BZ48</f>
        <v>10112</v>
      </c>
      <c r="AC92" s="449">
        <f>CA48</f>
        <v>0</v>
      </c>
      <c r="AD92" s="449">
        <f t="shared" ref="AD92:AD98" si="219">SUM(Y92:AC92)</f>
        <v>67313</v>
      </c>
      <c r="AE92" s="207"/>
      <c r="AF92" s="122"/>
      <c r="GU92" s="172"/>
      <c r="HJ92" s="113"/>
    </row>
    <row r="93" spans="1:218" ht="15" customHeight="1">
      <c r="C93" s="5"/>
      <c r="D93" s="2"/>
      <c r="E93" s="2"/>
      <c r="F93" s="2"/>
      <c r="G93" s="46" t="s">
        <v>133</v>
      </c>
      <c r="H93" s="225">
        <f>CB48</f>
        <v>0</v>
      </c>
      <c r="I93" s="225">
        <f>CC48</f>
        <v>7560</v>
      </c>
      <c r="J93" s="225">
        <f>CD48</f>
        <v>11869</v>
      </c>
      <c r="K93" s="225">
        <f>CE48</f>
        <v>2528</v>
      </c>
      <c r="L93" s="225">
        <f>CF48</f>
        <v>0</v>
      </c>
      <c r="M93" s="225">
        <f t="shared" si="217"/>
        <v>21957</v>
      </c>
      <c r="N93" s="6"/>
      <c r="O93" s="113"/>
      <c r="Q93" s="680">
        <f t="shared" si="218"/>
        <v>0</v>
      </c>
      <c r="S93" s="207"/>
      <c r="T93" s="231"/>
      <c r="U93" s="447"/>
      <c r="V93" s="447"/>
      <c r="W93" s="447"/>
      <c r="X93" s="448" t="s">
        <v>133</v>
      </c>
      <c r="Y93" s="449">
        <f>CB48</f>
        <v>0</v>
      </c>
      <c r="Z93" s="449">
        <f>CC48</f>
        <v>7560</v>
      </c>
      <c r="AA93" s="449">
        <f>CD48</f>
        <v>11869</v>
      </c>
      <c r="AB93" s="449">
        <f>CE48</f>
        <v>2528</v>
      </c>
      <c r="AC93" s="449">
        <f>CF48</f>
        <v>0</v>
      </c>
      <c r="AD93" s="449">
        <f t="shared" si="219"/>
        <v>21957</v>
      </c>
      <c r="AE93" s="447"/>
      <c r="AF93" s="122"/>
      <c r="GU93" s="172"/>
      <c r="HJ93" s="113"/>
    </row>
    <row r="94" spans="1:218" ht="15" customHeight="1">
      <c r="C94" s="5"/>
      <c r="D94" s="2"/>
      <c r="E94" s="2"/>
      <c r="F94" s="2"/>
      <c r="G94" s="46" t="s">
        <v>832</v>
      </c>
      <c r="H94" s="222">
        <f>SUM(H92:H93)</f>
        <v>0</v>
      </c>
      <c r="I94" s="222">
        <f>SUM(I92:I93)</f>
        <v>22680</v>
      </c>
      <c r="J94" s="222">
        <f>SUM(J92:J93)</f>
        <v>53950</v>
      </c>
      <c r="K94" s="222">
        <f>SUM(K92:K93)</f>
        <v>12640</v>
      </c>
      <c r="L94" s="222">
        <f>SUM(L92:L93)</f>
        <v>0</v>
      </c>
      <c r="M94" s="222">
        <f t="shared" si="217"/>
        <v>89270</v>
      </c>
      <c r="N94" s="6"/>
      <c r="O94" s="113"/>
      <c r="Q94" s="680">
        <f t="shared" si="218"/>
        <v>0</v>
      </c>
      <c r="S94" s="207"/>
      <c r="T94" s="231"/>
      <c r="U94" s="447"/>
      <c r="V94" s="447"/>
      <c r="W94" s="447"/>
      <c r="X94" s="448" t="s">
        <v>832</v>
      </c>
      <c r="Y94" s="449">
        <f>SUM(Y92:Y93)</f>
        <v>0</v>
      </c>
      <c r="Z94" s="449">
        <f>SUM(Z92:Z93)</f>
        <v>22680</v>
      </c>
      <c r="AA94" s="449">
        <f>SUM(AA92:AA93)</f>
        <v>53950</v>
      </c>
      <c r="AB94" s="449">
        <f>SUM(AB92:AB93)</f>
        <v>12640</v>
      </c>
      <c r="AC94" s="449">
        <f>SUM(AC92:AC93)</f>
        <v>0</v>
      </c>
      <c r="AD94" s="449">
        <f t="shared" si="219"/>
        <v>89270</v>
      </c>
      <c r="AE94" s="447"/>
      <c r="AF94" s="122"/>
      <c r="GU94" s="172"/>
      <c r="HJ94" s="113"/>
    </row>
    <row r="95" spans="1:218" ht="15" customHeight="1">
      <c r="C95" s="2" t="s">
        <v>396</v>
      </c>
      <c r="D95" s="2"/>
      <c r="E95" s="2"/>
      <c r="F95" s="2"/>
      <c r="G95" s="2"/>
      <c r="H95" s="222">
        <f>CL48</f>
        <v>0</v>
      </c>
      <c r="I95" s="222">
        <f>CM48</f>
        <v>18144</v>
      </c>
      <c r="J95" s="222">
        <f>CN48</f>
        <v>34528</v>
      </c>
      <c r="K95" s="222">
        <f>CO48</f>
        <v>5056</v>
      </c>
      <c r="L95" s="222">
        <f>CP48</f>
        <v>0</v>
      </c>
      <c r="M95" s="222">
        <f t="shared" si="217"/>
        <v>57728</v>
      </c>
      <c r="O95" s="113"/>
      <c r="Q95" s="680">
        <f t="shared" si="218"/>
        <v>0</v>
      </c>
      <c r="S95" s="207"/>
      <c r="T95" s="122" t="s">
        <v>396</v>
      </c>
      <c r="U95" s="447"/>
      <c r="V95" s="447"/>
      <c r="W95" s="447"/>
      <c r="X95" s="447"/>
      <c r="Y95" s="449">
        <f>CL48</f>
        <v>0</v>
      </c>
      <c r="Z95" s="449">
        <f>CM48</f>
        <v>18144</v>
      </c>
      <c r="AA95" s="449">
        <f>CN48</f>
        <v>34528</v>
      </c>
      <c r="AB95" s="449">
        <f>CO48</f>
        <v>5056</v>
      </c>
      <c r="AC95" s="449">
        <f>CP48</f>
        <v>0</v>
      </c>
      <c r="AD95" s="449">
        <f t="shared" si="219"/>
        <v>57728</v>
      </c>
      <c r="AE95" s="207"/>
      <c r="AF95" s="122"/>
      <c r="GU95" s="172"/>
      <c r="HJ95" s="113"/>
    </row>
    <row r="96" spans="1:218" ht="15" customHeight="1">
      <c r="C96" s="6" t="s">
        <v>1779</v>
      </c>
      <c r="D96" s="2"/>
      <c r="E96" s="2"/>
      <c r="F96" s="2"/>
      <c r="G96" s="2"/>
      <c r="H96" s="222">
        <f>SUM(H94:H95)</f>
        <v>0</v>
      </c>
      <c r="I96" s="222">
        <f>SUM(I94:I95)</f>
        <v>40824</v>
      </c>
      <c r="J96" s="222">
        <f>SUM(J94:J95)</f>
        <v>88478</v>
      </c>
      <c r="K96" s="222">
        <f>SUM(K94:K95)</f>
        <v>17696</v>
      </c>
      <c r="L96" s="222">
        <f>SUM(L94:L95)</f>
        <v>0</v>
      </c>
      <c r="M96" s="222">
        <f t="shared" si="217"/>
        <v>146998</v>
      </c>
      <c r="O96" s="113"/>
      <c r="Q96" s="680">
        <f t="shared" si="218"/>
        <v>0</v>
      </c>
      <c r="S96" s="207"/>
      <c r="T96" s="447" t="s">
        <v>1779</v>
      </c>
      <c r="U96" s="447"/>
      <c r="V96" s="447"/>
      <c r="W96" s="447"/>
      <c r="X96" s="447"/>
      <c r="Y96" s="449">
        <f>SUM(Y94:Y95)</f>
        <v>0</v>
      </c>
      <c r="Z96" s="449">
        <f>SUM(Z94:Z95)</f>
        <v>40824</v>
      </c>
      <c r="AA96" s="449">
        <f>SUM(AA94:AA95)</f>
        <v>88478</v>
      </c>
      <c r="AB96" s="449">
        <f>SUM(AB94:AB95)</f>
        <v>17696</v>
      </c>
      <c r="AC96" s="449">
        <f>SUM(AC94:AC95)</f>
        <v>0</v>
      </c>
      <c r="AD96" s="449">
        <f t="shared" si="219"/>
        <v>146998</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40824</v>
      </c>
      <c r="J98" s="222">
        <f>SUM(J96:J97)</f>
        <v>88478</v>
      </c>
      <c r="K98" s="222">
        <f>SUM(K96:K97)</f>
        <v>17696</v>
      </c>
      <c r="L98" s="222">
        <f>SUM(L96:L97)</f>
        <v>0</v>
      </c>
      <c r="M98" s="222">
        <f t="shared" si="217"/>
        <v>146998</v>
      </c>
      <c r="O98" s="113"/>
      <c r="Q98" s="680">
        <f t="shared" si="218"/>
        <v>0</v>
      </c>
      <c r="S98" s="207"/>
      <c r="T98" s="447" t="s">
        <v>832</v>
      </c>
      <c r="U98" s="447"/>
      <c r="V98" s="447"/>
      <c r="W98" s="447"/>
      <c r="X98" s="447"/>
      <c r="Y98" s="449">
        <f>SUM(Y96:Y97)</f>
        <v>0</v>
      </c>
      <c r="Z98" s="449">
        <f>SUM(Z96:Z97)</f>
        <v>40824</v>
      </c>
      <c r="AA98" s="449">
        <f>SUM(AA96:AA97)</f>
        <v>88478</v>
      </c>
      <c r="AB98" s="449">
        <f>SUM(AB96:AB97)</f>
        <v>17696</v>
      </c>
      <c r="AC98" s="449">
        <f>SUM(AC96:AC97)</f>
        <v>0</v>
      </c>
      <c r="AD98" s="449">
        <f t="shared" si="219"/>
        <v>146998</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4">
        <f>0.02*L49</f>
        <v>20240.16</v>
      </c>
      <c r="H102" s="975"/>
      <c r="I102" s="145" t="s">
        <v>3752</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1633</v>
      </c>
      <c r="G107" s="1325">
        <v>286157.80417680001</v>
      </c>
      <c r="H107" s="1325">
        <v>291880.960260336</v>
      </c>
      <c r="I107" s="1325">
        <v>297718.57946554275</v>
      </c>
      <c r="J107" s="1325">
        <v>303672.95105485362</v>
      </c>
      <c r="K107" s="1325">
        <v>309746.41007595067</v>
      </c>
      <c r="L107" s="1325">
        <v>315941.33827746968</v>
      </c>
      <c r="M107" s="1325">
        <v>322260.16504301911</v>
      </c>
      <c r="N107" s="1325">
        <v>328705.36834387947</v>
      </c>
      <c r="O107" s="1325">
        <v>335279.47571075708</v>
      </c>
      <c r="P107" s="1325">
        <v>341985.0652249722</v>
      </c>
    </row>
    <row r="108" spans="1:220" ht="15" customHeight="1">
      <c r="B108" s="9" t="s">
        <v>1230</v>
      </c>
      <c r="C108" s="1326"/>
      <c r="D108" s="1327"/>
      <c r="E108" s="1327"/>
      <c r="F108" s="1328"/>
      <c r="G108" s="1329"/>
      <c r="H108" s="1329"/>
      <c r="I108" s="1329"/>
      <c r="J108" s="1329"/>
      <c r="K108" s="1330"/>
      <c r="L108" s="1329"/>
      <c r="M108" s="1329"/>
      <c r="N108" s="1329"/>
      <c r="O108" s="1329"/>
      <c r="P108" s="1329"/>
    </row>
    <row r="109" spans="1:220" ht="15" customHeight="1">
      <c r="C109" s="121" t="s">
        <v>1523</v>
      </c>
      <c r="G109" s="41">
        <f t="shared" ref="G109:P109" si="220">SUM(G107:G108)</f>
        <v>286157.80417680001</v>
      </c>
      <c r="H109" s="41">
        <f t="shared" si="220"/>
        <v>291880.960260336</v>
      </c>
      <c r="I109" s="41">
        <f t="shared" si="220"/>
        <v>297718.57946554275</v>
      </c>
      <c r="J109" s="41">
        <f t="shared" si="220"/>
        <v>303672.95105485362</v>
      </c>
      <c r="K109" s="41">
        <f t="shared" si="220"/>
        <v>309746.41007595067</v>
      </c>
      <c r="L109" s="41">
        <f t="shared" si="220"/>
        <v>315941.33827746968</v>
      </c>
      <c r="M109" s="41">
        <f t="shared" si="220"/>
        <v>322260.16504301911</v>
      </c>
      <c r="N109" s="41">
        <f t="shared" si="220"/>
        <v>328705.36834387947</v>
      </c>
      <c r="O109" s="41">
        <f t="shared" si="220"/>
        <v>335279.47571075708</v>
      </c>
      <c r="P109" s="41">
        <f t="shared" si="220"/>
        <v>341985.0652249722</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5"/>
      <c r="H113" s="1325"/>
      <c r="I113" s="1325"/>
      <c r="J113" s="1325"/>
      <c r="K113" s="1331"/>
      <c r="L113" s="1325"/>
      <c r="M113" s="1325"/>
      <c r="N113" s="1325"/>
      <c r="O113" s="1325"/>
      <c r="P113" s="1325"/>
    </row>
    <row r="114" spans="2:16" ht="15" customHeight="1">
      <c r="B114" s="9" t="s">
        <v>1230</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5">
        <v>348824.76652947167</v>
      </c>
      <c r="H118" s="1325">
        <v>355801.26186006109</v>
      </c>
      <c r="I118" s="1325">
        <v>362917.28709726234</v>
      </c>
      <c r="J118" s="1325">
        <v>370175.6328392076</v>
      </c>
      <c r="K118" s="1325">
        <v>377579.14549599175</v>
      </c>
      <c r="L118" s="1325">
        <v>385130.72840591159</v>
      </c>
      <c r="M118" s="1325">
        <v>392833.34297402983</v>
      </c>
      <c r="N118" s="1325">
        <v>400690.00983351044</v>
      </c>
      <c r="O118" s="1325">
        <v>408703.81003018067</v>
      </c>
      <c r="P118" s="1325">
        <v>416877.88623078429</v>
      </c>
    </row>
    <row r="119" spans="2:16" ht="15" customHeight="1">
      <c r="B119" s="9" t="s">
        <v>1230</v>
      </c>
      <c r="C119" s="1326"/>
      <c r="D119" s="1327"/>
      <c r="E119" s="1327"/>
      <c r="F119" s="1328"/>
      <c r="G119" s="1329"/>
      <c r="H119" s="1329"/>
      <c r="I119" s="1329"/>
      <c r="J119" s="1329"/>
      <c r="K119" s="1330"/>
      <c r="L119" s="1329"/>
      <c r="M119" s="1329"/>
      <c r="N119" s="1329"/>
      <c r="O119" s="1329"/>
      <c r="P119" s="1329"/>
    </row>
    <row r="120" spans="2:16" ht="15" customHeight="1">
      <c r="C120" s="121" t="s">
        <v>1523</v>
      </c>
      <c r="G120" s="41">
        <f t="shared" ref="G120:P120" si="222">SUM(G118:G119)</f>
        <v>348824.76652947167</v>
      </c>
      <c r="H120" s="41">
        <f t="shared" si="222"/>
        <v>355801.26186006109</v>
      </c>
      <c r="I120" s="41">
        <f t="shared" si="222"/>
        <v>362917.28709726234</v>
      </c>
      <c r="J120" s="41">
        <f t="shared" si="222"/>
        <v>370175.6328392076</v>
      </c>
      <c r="K120" s="41">
        <f t="shared" si="222"/>
        <v>377579.14549599175</v>
      </c>
      <c r="L120" s="41">
        <f t="shared" si="222"/>
        <v>385130.72840591159</v>
      </c>
      <c r="M120" s="41">
        <f t="shared" si="222"/>
        <v>392833.34297402983</v>
      </c>
      <c r="N120" s="41">
        <f t="shared" si="222"/>
        <v>400690.00983351044</v>
      </c>
      <c r="O120" s="41">
        <f t="shared" si="222"/>
        <v>408703.81003018067</v>
      </c>
      <c r="P120" s="41">
        <f t="shared" si="222"/>
        <v>416877.88623078429</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5"/>
      <c r="H124" s="1325"/>
      <c r="I124" s="1325"/>
      <c r="J124" s="1325"/>
      <c r="K124" s="1331"/>
      <c r="L124" s="1325"/>
      <c r="M124" s="1325"/>
      <c r="N124" s="1325"/>
      <c r="O124" s="1325"/>
      <c r="P124" s="1325"/>
    </row>
    <row r="125" spans="2:16" ht="15" customHeight="1">
      <c r="B125" s="9" t="s">
        <v>1230</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5">
        <v>425215.44395539997</v>
      </c>
      <c r="H129" s="1325">
        <v>433719.75283450796</v>
      </c>
      <c r="I129" s="1325">
        <v>442394.14789119811</v>
      </c>
      <c r="J129" s="1325">
        <v>451242.03084902209</v>
      </c>
      <c r="K129" s="1325">
        <v>460266.87146600254</v>
      </c>
      <c r="L129" s="1325">
        <v>469472.20889532258</v>
      </c>
      <c r="M129" s="1325">
        <v>478861.65307322901</v>
      </c>
      <c r="N129" s="1325">
        <v>488438.88613469357</v>
      </c>
      <c r="O129" s="1325">
        <v>498207.66385738744</v>
      </c>
      <c r="P129" s="1325">
        <v>508171.81713453517</v>
      </c>
    </row>
    <row r="130" spans="1:219" ht="15" customHeight="1">
      <c r="B130" s="9" t="s">
        <v>1230</v>
      </c>
      <c r="C130" s="1326"/>
      <c r="D130" s="1327"/>
      <c r="E130" s="1327"/>
      <c r="F130" s="1328"/>
      <c r="G130" s="1329"/>
      <c r="H130" s="1329"/>
      <c r="I130" s="1329"/>
      <c r="J130" s="1329"/>
      <c r="K130" s="1330"/>
      <c r="L130" s="1329"/>
      <c r="M130" s="1329"/>
      <c r="N130" s="1329"/>
      <c r="O130" s="1329"/>
      <c r="P130" s="1329"/>
    </row>
    <row r="131" spans="1:219" ht="15" customHeight="1">
      <c r="C131" s="121" t="s">
        <v>1523</v>
      </c>
      <c r="G131" s="41">
        <f t="shared" ref="G131:P131" si="224">SUM(G129:G130)</f>
        <v>425215.44395539997</v>
      </c>
      <c r="H131" s="41">
        <f t="shared" si="224"/>
        <v>433719.75283450796</v>
      </c>
      <c r="I131" s="41">
        <f t="shared" si="224"/>
        <v>442394.14789119811</v>
      </c>
      <c r="J131" s="41">
        <f t="shared" si="224"/>
        <v>451242.03084902209</v>
      </c>
      <c r="K131" s="41">
        <f t="shared" si="224"/>
        <v>460266.87146600254</v>
      </c>
      <c r="L131" s="41">
        <f t="shared" si="224"/>
        <v>469472.20889532258</v>
      </c>
      <c r="M131" s="41">
        <f t="shared" si="224"/>
        <v>478861.65307322901</v>
      </c>
      <c r="N131" s="41">
        <f t="shared" si="224"/>
        <v>488438.88613469357</v>
      </c>
      <c r="O131" s="41">
        <f t="shared" si="224"/>
        <v>498207.66385738744</v>
      </c>
      <c r="P131" s="41">
        <f t="shared" si="224"/>
        <v>508171.81713453517</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5"/>
      <c r="H135" s="1325"/>
      <c r="I135" s="1325"/>
      <c r="J135" s="1325"/>
      <c r="K135" s="1331"/>
      <c r="L135" s="1325"/>
      <c r="M135" s="1325"/>
      <c r="N135" s="1325"/>
      <c r="O135" s="1325"/>
      <c r="P135" s="1325"/>
    </row>
    <row r="136" spans="1:219" ht="15" customHeight="1">
      <c r="B136" s="9" t="s">
        <v>1230</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0" t="s">
        <v>1635</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32">
        <v>95875</v>
      </c>
      <c r="G142" s="1333"/>
      <c r="H142" s="2"/>
      <c r="I142" s="2" t="s">
        <v>2080</v>
      </c>
      <c r="J142" s="2"/>
      <c r="K142" s="1332">
        <v>25000</v>
      </c>
      <c r="L142" s="1333"/>
      <c r="M142" s="2"/>
      <c r="N142" s="2" t="s">
        <v>1524</v>
      </c>
      <c r="O142" s="2"/>
      <c r="P142" s="1334">
        <v>101330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2">
        <v>76917</v>
      </c>
      <c r="G143" s="1333"/>
      <c r="H143" s="2"/>
      <c r="I143" s="2" t="s">
        <v>2081</v>
      </c>
      <c r="J143" s="2"/>
      <c r="K143" s="1332">
        <v>3200</v>
      </c>
      <c r="L143" s="1333"/>
      <c r="M143" s="2"/>
      <c r="N143" s="2" t="s">
        <v>200</v>
      </c>
      <c r="O143" s="2"/>
      <c r="P143" s="1334">
        <v>32000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2">
        <v>35411</v>
      </c>
      <c r="G144" s="1333"/>
      <c r="H144" s="2"/>
      <c r="I144" s="2"/>
      <c r="J144" s="168" t="s">
        <v>249</v>
      </c>
      <c r="K144" s="970">
        <f>SUM(K142:L143)</f>
        <v>28200</v>
      </c>
      <c r="L144" s="971"/>
      <c r="M144" s="2"/>
      <c r="N144" s="1335" t="s">
        <v>60</v>
      </c>
      <c r="O144" s="1336"/>
      <c r="P144" s="1337"/>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8" t="s">
        <v>3960</v>
      </c>
      <c r="C145" s="1339"/>
      <c r="D145" s="1339"/>
      <c r="E145" s="1340"/>
      <c r="F145" s="1341">
        <v>17705</v>
      </c>
      <c r="G145" s="1342"/>
      <c r="H145" s="2"/>
      <c r="I145" s="2"/>
      <c r="J145" s="2"/>
      <c r="K145" s="2"/>
      <c r="L145" s="2"/>
      <c r="M145" s="2"/>
      <c r="N145" s="13" t="s">
        <v>249</v>
      </c>
      <c r="O145" s="2"/>
      <c r="P145" s="665">
        <f>SUM(P142:P144)</f>
        <v>133330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225908</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81000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2">
        <v>4800</v>
      </c>
      <c r="G149" s="1333"/>
      <c r="H149" s="2"/>
      <c r="I149" s="2" t="s">
        <v>2364</v>
      </c>
      <c r="J149" s="2"/>
      <c r="K149" s="1343">
        <v>10000</v>
      </c>
      <c r="L149" s="1344"/>
      <c r="M149" s="2"/>
      <c r="N149" s="610">
        <f>+P148/(M63*0.93)</f>
        <v>580.64516129032256</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2">
        <v>15400</v>
      </c>
      <c r="G150" s="1333"/>
      <c r="H150" s="2"/>
      <c r="I150" s="2" t="s">
        <v>3141</v>
      </c>
      <c r="J150" s="2"/>
      <c r="K150" s="1345">
        <v>10400</v>
      </c>
      <c r="L150" s="1346"/>
      <c r="M150" s="2"/>
      <c r="N150" s="610">
        <f>+P148/(M63*0.93)/12</f>
        <v>48.387096774193544</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2">
        <v>1200</v>
      </c>
      <c r="G151" s="1333"/>
      <c r="H151" s="2"/>
      <c r="I151" s="2" t="s">
        <v>2365</v>
      </c>
      <c r="J151" s="2"/>
      <c r="K151" s="1345">
        <v>26000</v>
      </c>
      <c r="L151" s="1346"/>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32">
        <v>9950</v>
      </c>
      <c r="G152" s="1333"/>
      <c r="H152" s="2"/>
      <c r="I152" s="1335" t="s">
        <v>60</v>
      </c>
      <c r="J152" s="1336"/>
      <c r="K152" s="1343"/>
      <c r="L152" s="1344"/>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2">
        <v>10500</v>
      </c>
      <c r="G153" s="1333"/>
      <c r="H153" s="2"/>
      <c r="I153" s="11"/>
      <c r="J153" s="13" t="s">
        <v>249</v>
      </c>
      <c r="K153" s="968">
        <f>SUM(K149:K152)</f>
        <v>46400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8" t="s">
        <v>3959</v>
      </c>
      <c r="C154" s="1339"/>
      <c r="D154" s="1339"/>
      <c r="E154" s="1340"/>
      <c r="F154" s="1341">
        <v>15000</v>
      </c>
      <c r="G154" s="134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56850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7"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7">
        <v>22000</v>
      </c>
      <c r="G158" s="1348"/>
      <c r="H158" s="2"/>
      <c r="I158" s="2" t="s">
        <v>2070</v>
      </c>
      <c r="J158" s="662">
        <f>K158/12/$M$63</f>
        <v>22.222222222222225</v>
      </c>
      <c r="K158" s="1345">
        <v>40000</v>
      </c>
      <c r="L158" s="1346"/>
      <c r="M158" s="2"/>
      <c r="N158" s="368">
        <f>+$P$158/$M$63</f>
        <v>5322.586666666667</v>
      </c>
      <c r="O158" s="30" t="s">
        <v>2110</v>
      </c>
      <c r="P158" s="663">
        <f>F146+F155+F166+K144+K153+K163+P145+P148</f>
        <v>798388</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7">
        <v>30000</v>
      </c>
      <c r="G159" s="1348"/>
      <c r="H159" s="2"/>
      <c r="I159" s="2" t="s">
        <v>2071</v>
      </c>
      <c r="J159" s="662">
        <f>K159/12/$M$63</f>
        <v>0</v>
      </c>
      <c r="K159" s="1345"/>
      <c r="L159" s="1346"/>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7">
        <v>23600</v>
      </c>
      <c r="G160" s="1348"/>
      <c r="H160" s="2"/>
      <c r="I160" s="2" t="s">
        <v>3553</v>
      </c>
      <c r="J160" s="662">
        <f>K160/12/$M$63</f>
        <v>36.111111111111114</v>
      </c>
      <c r="K160" s="1345">
        <v>65000</v>
      </c>
      <c r="L160" s="1346"/>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2">
        <v>2600</v>
      </c>
      <c r="G161" s="1333"/>
      <c r="H161" s="2"/>
      <c r="I161" s="2" t="s">
        <v>2073</v>
      </c>
      <c r="J161" s="2"/>
      <c r="K161" s="1345">
        <v>12000</v>
      </c>
      <c r="L161" s="1346"/>
      <c r="M161" s="2"/>
      <c r="N161" s="11" t="s">
        <v>1922</v>
      </c>
      <c r="O161" s="11"/>
      <c r="P161" s="664">
        <f>P162*M63</f>
        <v>59700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2">
        <v>5000</v>
      </c>
      <c r="G162" s="1333"/>
      <c r="H162" s="2"/>
      <c r="I162" s="1335" t="s">
        <v>3961</v>
      </c>
      <c r="J162" s="1336"/>
      <c r="K162" s="1343">
        <v>11500</v>
      </c>
      <c r="L162" s="1344"/>
      <c r="M162" s="2"/>
      <c r="N162" s="30" t="s">
        <v>679</v>
      </c>
      <c r="O162" s="2"/>
      <c r="P162" s="1349">
        <v>398</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2"/>
      <c r="G163" s="1333"/>
      <c r="H163" s="2"/>
      <c r="I163" s="2"/>
      <c r="J163" s="13" t="s">
        <v>249</v>
      </c>
      <c r="K163" s="968">
        <f>SUM(K158:K162)</f>
        <v>128500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2"/>
      <c r="G164" s="133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8" t="s">
        <v>4018</v>
      </c>
      <c r="C165" s="1339"/>
      <c r="D165" s="1339"/>
      <c r="E165" s="1340"/>
      <c r="F165" s="1341">
        <v>15000</v>
      </c>
      <c r="G165" s="1342"/>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98200</v>
      </c>
      <c r="G166" s="967"/>
      <c r="H166" s="2"/>
      <c r="I166" s="2"/>
      <c r="J166" s="14"/>
      <c r="K166" s="2"/>
      <c r="L166" s="2"/>
      <c r="M166" s="2"/>
      <c r="N166" s="2"/>
      <c r="O166" s="2"/>
      <c r="P166" s="663">
        <f>P158+P161</f>
        <v>858088</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2898</v>
      </c>
    </row>
    <row r="169" spans="1:219" ht="51.6" customHeight="1">
      <c r="A169" s="1291" t="s">
        <v>4021</v>
      </c>
      <c r="B169" s="1350"/>
      <c r="C169" s="1350"/>
      <c r="D169" s="1350"/>
      <c r="E169" s="1350"/>
      <c r="F169" s="1350"/>
      <c r="G169" s="1350"/>
      <c r="H169" s="1350"/>
      <c r="I169" s="1350"/>
      <c r="J169" s="1351"/>
      <c r="K169" s="1294"/>
      <c r="L169" s="1352"/>
      <c r="M169" s="1352"/>
      <c r="N169" s="1352"/>
      <c r="O169" s="1352"/>
      <c r="P169" s="1353"/>
    </row>
    <row r="170" spans="1:219" s="122" customFormat="1" ht="51.6" customHeight="1">
      <c r="A170" s="1295" t="s">
        <v>4039</v>
      </c>
      <c r="B170" s="1354"/>
      <c r="C170" s="1354"/>
      <c r="D170" s="1354"/>
      <c r="E170" s="1354"/>
      <c r="F170" s="1354"/>
      <c r="G170" s="1354"/>
      <c r="H170" s="1354"/>
      <c r="I170" s="1354"/>
      <c r="J170" s="1355"/>
      <c r="K170" s="1298"/>
      <c r="L170" s="1356"/>
      <c r="M170" s="1356"/>
      <c r="N170" s="1356"/>
      <c r="O170" s="1356"/>
      <c r="P170" s="135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9" t="s">
        <v>4066</v>
      </c>
      <c r="B171" s="1358"/>
      <c r="C171" s="1358"/>
      <c r="D171" s="1358"/>
      <c r="E171" s="1358"/>
      <c r="F171" s="1358"/>
      <c r="G171" s="1358"/>
      <c r="H171" s="1358"/>
      <c r="I171" s="1358"/>
      <c r="J171" s="1359"/>
      <c r="K171" s="1302"/>
      <c r="L171" s="1360"/>
      <c r="M171" s="1360"/>
      <c r="N171" s="1360"/>
      <c r="O171" s="1360"/>
      <c r="P171" s="1361"/>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2011-013 Ashley Auburn Pointe II , Atlanta, Fulton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3295</v>
      </c>
      <c r="B5" s="108">
        <v>0.02</v>
      </c>
      <c r="C5" s="19"/>
      <c r="D5" s="19" t="s">
        <v>1365</v>
      </c>
      <c r="F5" s="19"/>
      <c r="G5" s="1280">
        <v>15000</v>
      </c>
      <c r="H5" s="132" t="s">
        <v>2972</v>
      </c>
      <c r="K5" s="138">
        <f>IF(($B$14+$B$15+$B$16+$B$17)=0,"",-B30/($B$14+$B$15+$B$16+$B$17))</f>
        <v>1.2037087779530367E-2</v>
      </c>
    </row>
    <row r="6" spans="1:15">
      <c r="A6" s="19" t="s">
        <v>3296</v>
      </c>
      <c r="B6" s="108">
        <v>0.03</v>
      </c>
      <c r="C6" s="19"/>
      <c r="D6" s="19" t="s">
        <v>1366</v>
      </c>
      <c r="F6" s="19"/>
      <c r="G6" s="1280">
        <v>25640</v>
      </c>
      <c r="H6" s="132" t="s">
        <v>3587</v>
      </c>
      <c r="K6" s="138">
        <f>IF(($B$14+$B$15+$B$16+$B$17)=0,"",-B32/($B$14+$B$15+$B$16+$B$17))</f>
        <v>2.0575255942311941E-2</v>
      </c>
    </row>
    <row r="7" spans="1:15">
      <c r="A7" s="19" t="s">
        <v>3298</v>
      </c>
      <c r="B7" s="108">
        <v>0.03</v>
      </c>
      <c r="C7" s="19"/>
      <c r="D7" s="110" t="s">
        <v>357</v>
      </c>
      <c r="G7" s="112"/>
      <c r="H7" s="132" t="s">
        <v>3588</v>
      </c>
      <c r="K7" s="138">
        <f>IF(($B$14+$B$15+$B$16+$B$17)=0,"",-B20/($B$14+$B$15+$B$16+$B$17))</f>
        <v>6.5000274009463982E-2</v>
      </c>
    </row>
    <row r="8" spans="1:15" ht="13.15" customHeight="1">
      <c r="A8" s="19" t="s">
        <v>3297</v>
      </c>
      <c r="B8" s="1281">
        <v>7.0000000000000007E-2</v>
      </c>
      <c r="C8" s="19"/>
      <c r="D8" s="109" t="s">
        <v>3789</v>
      </c>
      <c r="G8" s="1282"/>
      <c r="H8" s="232" t="s">
        <v>2168</v>
      </c>
      <c r="K8" s="1283"/>
    </row>
    <row r="9" spans="1:15">
      <c r="A9" s="19" t="s">
        <v>2129</v>
      </c>
      <c r="B9" s="108">
        <v>0.02</v>
      </c>
      <c r="D9" s="109" t="s">
        <v>2743</v>
      </c>
      <c r="G9" s="1282" t="s">
        <v>3926</v>
      </c>
      <c r="H9" s="232" t="s">
        <v>3561</v>
      </c>
      <c r="K9" s="1284">
        <v>6.5000000000000002E-2</v>
      </c>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1012008</v>
      </c>
      <c r="C14" s="22">
        <f t="shared" ref="C14:K14" si="1">$B$14*(1+$B$5)^(C13-1)</f>
        <v>1032248.16</v>
      </c>
      <c r="D14" s="22">
        <f t="shared" si="1"/>
        <v>1052893.1232</v>
      </c>
      <c r="E14" s="22">
        <f t="shared" si="1"/>
        <v>1073950.985664</v>
      </c>
      <c r="F14" s="22">
        <f t="shared" si="1"/>
        <v>1095430.0053772801</v>
      </c>
      <c r="G14" s="22">
        <f t="shared" si="1"/>
        <v>1117338.6054848256</v>
      </c>
      <c r="H14" s="22">
        <f t="shared" si="1"/>
        <v>1139685.3775945222</v>
      </c>
      <c r="I14" s="22">
        <f t="shared" si="1"/>
        <v>1162479.0851464125</v>
      </c>
      <c r="J14" s="22">
        <f t="shared" si="1"/>
        <v>1185728.6668493408</v>
      </c>
      <c r="K14" s="23">
        <f t="shared" si="1"/>
        <v>1209443.2401863276</v>
      </c>
    </row>
    <row r="15" spans="1:15" ht="13.15" customHeight="1">
      <c r="A15" s="24" t="s">
        <v>1632</v>
      </c>
      <c r="B15" s="25">
        <f>MIN(B14*B9,'Part VI-Revenues &amp; Expenses'!G102)</f>
        <v>20240.16</v>
      </c>
      <c r="C15" s="25">
        <f t="shared" ref="C15:K15" si="2">$B$15*(1+$B$5)^(C13-1)</f>
        <v>20644.963200000002</v>
      </c>
      <c r="D15" s="25">
        <f t="shared" si="2"/>
        <v>21057.862463999998</v>
      </c>
      <c r="E15" s="25">
        <f t="shared" si="2"/>
        <v>21479.019713279999</v>
      </c>
      <c r="F15" s="25">
        <f t="shared" si="2"/>
        <v>21908.600107545601</v>
      </c>
      <c r="G15" s="25">
        <f t="shared" si="2"/>
        <v>22346.772109696511</v>
      </c>
      <c r="H15" s="25">
        <f t="shared" si="2"/>
        <v>22793.707551890442</v>
      </c>
      <c r="I15" s="25">
        <f t="shared" si="2"/>
        <v>23249.581702928248</v>
      </c>
      <c r="J15" s="25">
        <f t="shared" si="2"/>
        <v>23714.573336986814</v>
      </c>
      <c r="K15" s="26">
        <f t="shared" si="2"/>
        <v>24188.864803726552</v>
      </c>
    </row>
    <row r="16" spans="1:15" ht="13.15" customHeight="1">
      <c r="A16" s="24" t="s">
        <v>3643</v>
      </c>
      <c r="B16" s="25">
        <f t="shared" ref="B16:K16" si="3">-(B14+B15)*$B$8</f>
        <v>-72257.371200000009</v>
      </c>
      <c r="C16" s="25">
        <f t="shared" si="3"/>
        <v>-73702.518624000004</v>
      </c>
      <c r="D16" s="25">
        <f t="shared" si="3"/>
        <v>-75176.568996480011</v>
      </c>
      <c r="E16" s="25">
        <f t="shared" si="3"/>
        <v>-76680.100376409609</v>
      </c>
      <c r="F16" s="25">
        <f t="shared" si="3"/>
        <v>-78213.702383937794</v>
      </c>
      <c r="G16" s="25">
        <f t="shared" si="3"/>
        <v>-79777.976431616538</v>
      </c>
      <c r="H16" s="25">
        <f t="shared" si="3"/>
        <v>-81373.535960248904</v>
      </c>
      <c r="I16" s="25">
        <f t="shared" si="3"/>
        <v>-83001.006679453858</v>
      </c>
      <c r="J16" s="25">
        <f t="shared" si="3"/>
        <v>-84661.026813042947</v>
      </c>
      <c r="K16" s="26">
        <f t="shared" si="3"/>
        <v>-86354.247349303798</v>
      </c>
    </row>
    <row r="17" spans="1:11" ht="13.15" customHeight="1">
      <c r="A17" s="24" t="s">
        <v>61</v>
      </c>
      <c r="B17" s="25">
        <f>+'Part VI-Revenues &amp; Expenses'!G109</f>
        <v>286157.80417680001</v>
      </c>
      <c r="C17" s="25">
        <f>+'Part VI-Revenues &amp; Expenses'!H109</f>
        <v>291880.960260336</v>
      </c>
      <c r="D17" s="25">
        <f>+'Part VI-Revenues &amp; Expenses'!I109</f>
        <v>297718.57946554275</v>
      </c>
      <c r="E17" s="25">
        <f>+'Part VI-Revenues &amp; Expenses'!J109</f>
        <v>303672.95105485362</v>
      </c>
      <c r="F17" s="25">
        <f>+'Part VI-Revenues &amp; Expenses'!K109</f>
        <v>309746.41007595067</v>
      </c>
      <c r="G17" s="25">
        <f>+'Part VI-Revenues &amp; Expenses'!L109</f>
        <v>315941.33827746968</v>
      </c>
      <c r="H17" s="25">
        <f>+'Part VI-Revenues &amp; Expenses'!M109</f>
        <v>322260.16504301911</v>
      </c>
      <c r="I17" s="25">
        <f>+'Part VI-Revenues &amp; Expenses'!N109</f>
        <v>328705.36834387947</v>
      </c>
      <c r="J17" s="25">
        <f>+'Part VI-Revenues &amp; Expenses'!O109</f>
        <v>335279.47571075708</v>
      </c>
      <c r="K17" s="26">
        <f>+'Part VI-Revenues &amp; Expenses'!P109</f>
        <v>341985.0652249722</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-717388</v>
      </c>
      <c r="C19" s="25">
        <f t="shared" ref="C19:K19" si="4">$B$19*(1+$B$6)^(C13-1)</f>
        <v>-738909.64</v>
      </c>
      <c r="D19" s="25">
        <f t="shared" si="4"/>
        <v>-761076.92920000001</v>
      </c>
      <c r="E19" s="25">
        <f t="shared" si="4"/>
        <v>-783909.23707599996</v>
      </c>
      <c r="F19" s="25">
        <f t="shared" si="4"/>
        <v>-807426.51418827998</v>
      </c>
      <c r="G19" s="25">
        <f t="shared" si="4"/>
        <v>-831649.30961392832</v>
      </c>
      <c r="H19" s="25">
        <f t="shared" si="4"/>
        <v>-856598.78890234616</v>
      </c>
      <c r="I19" s="25">
        <f t="shared" si="4"/>
        <v>-882296.75256941665</v>
      </c>
      <c r="J19" s="25">
        <f t="shared" si="4"/>
        <v>-908765.65514649905</v>
      </c>
      <c r="K19" s="26">
        <f t="shared" si="4"/>
        <v>-936028.62480089406</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-81000</v>
      </c>
      <c r="C20" s="25">
        <f>IF(AND('Part VII-Pro Forma'!$G$8="Yes",'Part VII-Pro Forma'!$G$9="Yes"),"Choose One!",IF('Part VII-Pro Forma'!$G$8="Yes",ROUND((-$K$8*(1+'Part VII-Pro Forma'!$B$6)^('Part VII-Pro Forma'!C13-1)),),IF('Part VII-Pro Forma'!$G$9="Yes",ROUND((-(SUM(C14:C17)*'Part VII-Pro Forma'!$K$9)),),"Choose mgt fee")))</f>
        <v>-82620</v>
      </c>
      <c r="D20" s="25">
        <f>IF(AND('Part VII-Pro Forma'!$G$8="Yes",'Part VII-Pro Forma'!$G$9="Yes"),"Choose One!",IF('Part VII-Pro Forma'!$G$8="Yes",ROUND((-$K$8*(1+'Part VII-Pro Forma'!$B$6)^('Part VII-Pro Forma'!D13-1)),),IF('Part VII-Pro Forma'!$G$9="Yes",ROUND((-(SUM(D14:D17)*'Part VII-Pro Forma'!$K$9)),),"Choose mgt fee")))</f>
        <v>-84272</v>
      </c>
      <c r="E20" s="25">
        <f>IF(AND('Part VII-Pro Forma'!$G$8="Yes",'Part VII-Pro Forma'!$G$9="Yes"),"Choose One!",IF('Part VII-Pro Forma'!$G$8="Yes",ROUND((-$K$8*(1+'Part VII-Pro Forma'!$B$6)^('Part VII-Pro Forma'!E13-1)),),IF('Part VII-Pro Forma'!$G$9="Yes",ROUND((-(SUM(E14:E17)*'Part VII-Pro Forma'!$K$9)),),"Choose mgt fee")))</f>
        <v>-85957</v>
      </c>
      <c r="F20" s="25">
        <f>IF(AND('Part VII-Pro Forma'!$G$8="Yes",'Part VII-Pro Forma'!$G$9="Yes"),"Choose One!",IF('Part VII-Pro Forma'!$G$8="Yes",ROUND((-$K$8*(1+'Part VII-Pro Forma'!$B$6)^('Part VII-Pro Forma'!F13-1)),),IF('Part VII-Pro Forma'!$G$9="Yes",ROUND((-(SUM(F14:F17)*'Part VII-Pro Forma'!$K$9)),),"Choose mgt fee")))</f>
        <v>-87677</v>
      </c>
      <c r="G20" s="25">
        <f>IF(AND('Part VII-Pro Forma'!$G$8="Yes",'Part VII-Pro Forma'!$G$9="Yes"),"Choose One!",IF('Part VII-Pro Forma'!$G$8="Yes",ROUND((-$K$8*(1+'Part VII-Pro Forma'!$B$6)^('Part VII-Pro Forma'!G13-1)),),IF('Part VII-Pro Forma'!$G$9="Yes",ROUND((-(SUM(G14:G17)*'Part VII-Pro Forma'!$K$9)),),"Choose mgt fee")))</f>
        <v>-89430</v>
      </c>
      <c r="H20" s="25">
        <f>IF(AND('Part VII-Pro Forma'!$G$8="Yes",'Part VII-Pro Forma'!$G$9="Yes"),"Choose One!",IF('Part VII-Pro Forma'!$G$8="Yes",ROUND((-$K$8*(1+'Part VII-Pro Forma'!$B$6)^('Part VII-Pro Forma'!H13-1)),),IF('Part VII-Pro Forma'!$G$9="Yes",ROUND((-(SUM(H14:H17)*'Part VII-Pro Forma'!$K$9)),),"Choose mgt fee")))</f>
        <v>-91219</v>
      </c>
      <c r="I20" s="25">
        <f>IF(AND('Part VII-Pro Forma'!$G$8="Yes",'Part VII-Pro Forma'!$G$9="Yes"),"Choose One!",IF('Part VII-Pro Forma'!$G$8="Yes",ROUND((-$K$8*(1+'Part VII-Pro Forma'!$B$6)^('Part VII-Pro Forma'!I13-1)),),IF('Part VII-Pro Forma'!$G$9="Yes",ROUND((-(SUM(I14:I17)*'Part VII-Pro Forma'!$K$9)),),"Choose mgt fee")))</f>
        <v>-93043</v>
      </c>
      <c r="J20" s="25">
        <f>IF(AND('Part VII-Pro Forma'!$G$8="Yes",'Part VII-Pro Forma'!$G$9="Yes"),"Choose One!",IF('Part VII-Pro Forma'!$G$8="Yes",ROUND((-$K$8*(1+'Part VII-Pro Forma'!$B$6)^('Part VII-Pro Forma'!J13-1)),),IF('Part VII-Pro Forma'!$G$9="Yes",ROUND((-(SUM(J14:J17)*'Part VII-Pro Forma'!$K$9)),),"Choose mgt fee")))</f>
        <v>-94904</v>
      </c>
      <c r="K20" s="25">
        <f>IF(AND('Part VII-Pro Forma'!$G$8="Yes",'Part VII-Pro Forma'!$G$9="Yes"),"Choose One!",IF('Part VII-Pro Forma'!$G$8="Yes",ROUND((-$K$8*(1+'Part VII-Pro Forma'!$B$6)^('Part VII-Pro Forma'!K13-1)),),IF('Part VII-Pro Forma'!$G$9="Yes",ROUND((-(SUM(K14:K17)*'Part VII-Pro Forma'!$K$9)),),"Choose mgt fee")))</f>
        <v>-96802</v>
      </c>
    </row>
    <row r="21" spans="1:11" ht="13.15" customHeight="1">
      <c r="A21" s="24" t="s">
        <v>1862</v>
      </c>
      <c r="B21" s="25">
        <f>-('Part VI-Revenues &amp; Expenses'!P161)</f>
        <v>-59700</v>
      </c>
      <c r="C21" s="25">
        <f t="shared" ref="C21:K21" si="5">$B$21*(1+$B$7)^(C13-1)</f>
        <v>-61491</v>
      </c>
      <c r="D21" s="25">
        <f t="shared" si="5"/>
        <v>-63335.729999999996</v>
      </c>
      <c r="E21" s="25">
        <f t="shared" si="5"/>
        <v>-65235.801899999999</v>
      </c>
      <c r="F21" s="25">
        <f t="shared" si="5"/>
        <v>-67192.875956999997</v>
      </c>
      <c r="G21" s="25">
        <f t="shared" si="5"/>
        <v>-69208.662235709984</v>
      </c>
      <c r="H21" s="25">
        <f t="shared" si="5"/>
        <v>-71284.922102781289</v>
      </c>
      <c r="I21" s="25">
        <f t="shared" si="5"/>
        <v>-73423.469765864735</v>
      </c>
      <c r="J21" s="25">
        <f t="shared" si="5"/>
        <v>-75626.173858840673</v>
      </c>
      <c r="K21" s="26">
        <f t="shared" si="5"/>
        <v>-77894.959074605897</v>
      </c>
    </row>
    <row r="22" spans="1:11" ht="13.15" customHeight="1">
      <c r="A22" s="24" t="s">
        <v>1863</v>
      </c>
      <c r="B22" s="25">
        <f t="shared" ref="B22:K22" si="6">SUM(B14:B21)</f>
        <v>388060.59297679993</v>
      </c>
      <c r="C22" s="25">
        <f t="shared" si="6"/>
        <v>388050.92483633605</v>
      </c>
      <c r="D22" s="25">
        <f t="shared" si="6"/>
        <v>387808.33693306276</v>
      </c>
      <c r="E22" s="25">
        <f t="shared" si="6"/>
        <v>387320.81707972399</v>
      </c>
      <c r="F22" s="25">
        <f t="shared" si="6"/>
        <v>386574.92303155846</v>
      </c>
      <c r="G22" s="25">
        <f t="shared" si="6"/>
        <v>385560.76759073674</v>
      </c>
      <c r="H22" s="25">
        <f t="shared" si="6"/>
        <v>384263.00322405534</v>
      </c>
      <c r="I22" s="25">
        <f t="shared" si="6"/>
        <v>382669.80617848499</v>
      </c>
      <c r="J22" s="25">
        <f t="shared" si="6"/>
        <v>380765.86007870192</v>
      </c>
      <c r="K22" s="26">
        <f t="shared" si="6"/>
        <v>378537.33899022237</v>
      </c>
    </row>
    <row r="23" spans="1:11" ht="13.15" customHeight="1">
      <c r="A23" s="24" t="str">
        <f>IF('Part III A-Sources of Funds'!$E$32 = "Neither", "", "D/S USDA/HUD Mortgage")</f>
        <v>D/S USDA/HUD Mortgage</v>
      </c>
      <c r="B23" s="286">
        <f>IF('Part III A-Sources of Funds'!$M$32="", 0,-'Part III A-Sources of Funds'!$M$32)</f>
        <v>-244294.8564282002</v>
      </c>
      <c r="C23" s="286">
        <f>IF('Part III A-Sources of Funds'!$M$32="", 0,-'Part III A-Sources of Funds'!$M$32)</f>
        <v>-244294.8564282002</v>
      </c>
      <c r="D23" s="286">
        <f>IF('Part III A-Sources of Funds'!$M$32="", 0,-'Part III A-Sources of Funds'!$M$32)</f>
        <v>-244294.8564282002</v>
      </c>
      <c r="E23" s="286">
        <f>IF('Part III A-Sources of Funds'!$M$32="", 0,-'Part III A-Sources of Funds'!$M$32)</f>
        <v>-244294.8564282002</v>
      </c>
      <c r="F23" s="286">
        <f>IF('Part III A-Sources of Funds'!$M$32="", 0,-'Part III A-Sources of Funds'!$M$32)</f>
        <v>-244294.8564282002</v>
      </c>
      <c r="G23" s="286">
        <f>IF('Part III A-Sources of Funds'!$M$32="", 0,-'Part III A-Sources of Funds'!$M$32)</f>
        <v>-244294.8564282002</v>
      </c>
      <c r="H23" s="286">
        <f>IF('Part III A-Sources of Funds'!$M$32="", 0,-'Part III A-Sources of Funds'!$M$32)</f>
        <v>-244294.8564282002</v>
      </c>
      <c r="I23" s="286">
        <f>IF('Part III A-Sources of Funds'!$M$32="", 0,-'Part III A-Sources of Funds'!$M$32)</f>
        <v>-244294.8564282002</v>
      </c>
      <c r="J23" s="286">
        <f>IF('Part III A-Sources of Funds'!$M$32="", 0,-'Part III A-Sources of Funds'!$M$32)</f>
        <v>-244294.8564282002</v>
      </c>
      <c r="K23" s="286">
        <f>IF('Part III A-Sources of Funds'!$M$32="", 0,-'Part III A-Sources of Funds'!$M$32)</f>
        <v>-244294.8564282002</v>
      </c>
    </row>
    <row r="24" spans="1:11" ht="13.15" customHeight="1">
      <c r="A24" s="24" t="str">
        <f>IF('Part III A-Sources of Funds'!$E$32="USDA 538 Loan","USDA Guaranty Fee",IF('Part III A-Sources of Funds'!$E$32="HUD Insured Loan", "HUD MIP",""))</f>
        <v>HUD MIP</v>
      </c>
      <c r="B24" s="287">
        <f>IF('Part III A-Sources of Funds'!$E$32="USDA 538 Loan", -'Part III B-USDA 538 Loan'!$C17,IF('Part III A-Sources of Funds'!$E$32="HUD Insured Loan", -'Part III C-HUD Insured Loan'!$B28,0))</f>
        <v>-16650</v>
      </c>
      <c r="C24" s="287">
        <f>IF('Part III A-Sources of Funds'!$E$32="USDA 538 Loan", -'Part III B-USDA 538 Loan'!$C18,IF('Part III A-Sources of Funds'!$E$32="HUD Insured Loan", -'Part III C-HUD Insured Loan'!$B29,0))</f>
        <v>-16546.867652975667</v>
      </c>
      <c r="D24" s="287">
        <f>IF('Part III A-Sources of Funds'!$E$32="USDA 538 Loan", -'Part III B-USDA 538 Loan'!$C19,IF('Part III A-Sources of Funds'!$E$32="HUD Insured Loan", -'Part III C-HUD Insured Loan'!$B30,0))</f>
        <v>-16437.374328454425</v>
      </c>
      <c r="E24" s="287">
        <f>IF('Part III A-Sources of Funds'!$E$32="USDA 538 Loan", -'Part III B-USDA 538 Loan'!$C20,IF('Part III A-Sources of Funds'!$E$32="HUD Insured Loan", -'Part III C-HUD Insured Loan'!$B31,0))</f>
        <v>-16321.127695262941</v>
      </c>
      <c r="F24" s="287">
        <f>IF('Part III A-Sources of Funds'!$E$32="USDA 538 Loan", -'Part III B-USDA 538 Loan'!$C21,IF('Part III A-Sources of Funds'!$E$32="HUD Insured Loan", -'Part III C-HUD Insured Loan'!$B32,0))</f>
        <v>-16197.711224099592</v>
      </c>
      <c r="G24" s="287">
        <f>IF('Part III A-Sources of Funds'!$E$32="USDA 538 Loan", -'Part III B-USDA 538 Loan'!$C22,IF('Part III A-Sources of Funds'!$E$32="HUD Insured Loan", -'Part III C-HUD Insured Loan'!$B33,0))</f>
        <v>-16066.682695046851</v>
      </c>
      <c r="H24" s="287">
        <f>IF('Part III A-Sources of Funds'!$E$32="USDA 538 Loan", -'Part III B-USDA 538 Loan'!$C23,IF('Part III A-Sources of Funds'!$E$32="HUD Insured Loan", -'Part III C-HUD Insured Loan'!$B34,0))</f>
        <v>-15927.57261303031</v>
      </c>
      <c r="I24" s="287">
        <f>IF('Part III A-Sources of Funds'!$E$32="USDA 538 Loan", -'Part III B-USDA 538 Loan'!$C24,IF('Part III A-Sources of Funds'!$E$32="HUD Insured Loan", -'Part III C-HUD Insured Loan'!$B35,0))</f>
        <v>-15779.882525546695</v>
      </c>
      <c r="J24" s="287">
        <f>IF('Part III A-Sources of Funds'!$E$32="USDA 538 Loan", -'Part III B-USDA 538 Loan'!$C25,IF('Part III A-Sources of Funds'!$E$32="HUD Insured Loan", -'Part III C-HUD Insured Loan'!$B36,0))</f>
        <v>-15623.083236633016</v>
      </c>
      <c r="K24" s="287">
        <f>IF('Part III A-Sources of Funds'!$E$32="USDA 538 Loan", -'Part III B-USDA 538 Loan'!$C26,IF('Part III A-Sources of Funds'!$E$32="HUD Insured Loan", -'Part III C-HUD Insured Loan'!$B37,0))</f>
        <v>-15456.612910677231</v>
      </c>
    </row>
    <row r="25" spans="1:11" ht="13.15" customHeight="1">
      <c r="A25" s="24" t="str">
        <f>IF('Part III A-Sources of Funds'!$E$32 = "Neither", "D/S Mortgage A","D/S Mortgage B")</f>
        <v>D/S Mortgage B</v>
      </c>
      <c r="B25" s="1285">
        <v>-28601.040723435344</v>
      </c>
      <c r="C25" s="1285">
        <v>-28622.070169911447</v>
      </c>
      <c r="D25" s="1285">
        <v>-28592.123889692233</v>
      </c>
      <c r="E25" s="1285">
        <v>-28508.587415159094</v>
      </c>
      <c r="F25" s="1285">
        <v>-28368.529960333606</v>
      </c>
      <c r="G25" s="1285">
        <v>-28169.826405185584</v>
      </c>
      <c r="H25" s="1285">
        <v>-27909.129191135991</v>
      </c>
      <c r="I25" s="1285">
        <v>-27583.890125566475</v>
      </c>
      <c r="J25" s="1285">
        <v>-27190.782093120866</v>
      </c>
      <c r="K25" s="1285">
        <v>-26726.820671553018</v>
      </c>
    </row>
    <row r="26" spans="1:11" ht="13.15" customHeight="1">
      <c r="A26" s="24" t="str">
        <f>IF('Part III A-Sources of Funds'!$E$32 = "Neither", "D/S Mortgage B","D/S Mortgage C")</f>
        <v>D/S Mortgage C</v>
      </c>
      <c r="B26" s="1286">
        <v>0</v>
      </c>
      <c r="C26" s="1286">
        <v>0</v>
      </c>
      <c r="D26" s="1286">
        <v>0</v>
      </c>
      <c r="E26" s="1286">
        <v>0</v>
      </c>
      <c r="F26" s="1286">
        <v>0</v>
      </c>
      <c r="G26" s="1286">
        <v>0</v>
      </c>
      <c r="H26" s="1286">
        <v>0</v>
      </c>
      <c r="I26" s="1286">
        <v>0</v>
      </c>
      <c r="J26" s="1286">
        <v>0</v>
      </c>
      <c r="K26" s="1286">
        <v>0</v>
      </c>
    </row>
    <row r="27" spans="1:11" ht="13.15" customHeight="1">
      <c r="A27" s="24" t="s">
        <v>1362</v>
      </c>
      <c r="B27" s="1286">
        <v>0</v>
      </c>
      <c r="C27" s="1286">
        <v>0</v>
      </c>
      <c r="D27" s="1286">
        <v>0</v>
      </c>
      <c r="E27" s="1286">
        <v>0</v>
      </c>
      <c r="F27" s="1286">
        <v>0</v>
      </c>
      <c r="G27" s="1286">
        <v>0</v>
      </c>
      <c r="H27" s="1286">
        <v>0</v>
      </c>
      <c r="I27" s="1286">
        <v>0</v>
      </c>
      <c r="J27" s="1286">
        <v>0</v>
      </c>
      <c r="K27" s="1286">
        <v>0</v>
      </c>
    </row>
    <row r="28" spans="1:11" ht="13.15" customHeight="1">
      <c r="A28" s="24" t="s">
        <v>807</v>
      </c>
      <c r="B28" s="1286">
        <v>0</v>
      </c>
      <c r="C28" s="1286">
        <v>0</v>
      </c>
      <c r="D28" s="1286">
        <v>0</v>
      </c>
      <c r="E28" s="1286">
        <v>0</v>
      </c>
      <c r="F28" s="1286">
        <v>0</v>
      </c>
      <c r="G28" s="1286">
        <v>0</v>
      </c>
      <c r="H28" s="1286">
        <v>0</v>
      </c>
      <c r="I28" s="1286">
        <v>0</v>
      </c>
      <c r="J28" s="1286">
        <v>0</v>
      </c>
      <c r="K28" s="1286">
        <v>0</v>
      </c>
    </row>
    <row r="29" spans="1:11" ht="13.15" customHeight="1">
      <c r="A29" s="24" t="s">
        <v>1336</v>
      </c>
      <c r="B29" s="1287"/>
      <c r="C29" s="1287"/>
      <c r="D29" s="1287"/>
      <c r="E29" s="1287"/>
      <c r="F29" s="1287"/>
      <c r="G29" s="1287"/>
      <c r="H29" s="1287"/>
      <c r="I29" s="1287"/>
      <c r="J29" s="1287"/>
      <c r="K29" s="1287"/>
    </row>
    <row r="30" spans="1:11" ht="13.15" customHeight="1">
      <c r="A30" s="24" t="s">
        <v>1807</v>
      </c>
      <c r="B30" s="1286">
        <v>-15000</v>
      </c>
      <c r="C30" s="1286">
        <v>-15450</v>
      </c>
      <c r="D30" s="1286">
        <v>-15913.5</v>
      </c>
      <c r="E30" s="1286">
        <v>-16390.904999999999</v>
      </c>
      <c r="F30" s="1286">
        <v>-16882.632149999998</v>
      </c>
      <c r="G30" s="1286">
        <v>-17389.1111145</v>
      </c>
      <c r="H30" s="1286">
        <v>-17910.784447934999</v>
      </c>
      <c r="I30" s="1286">
        <v>-18448.10798137305</v>
      </c>
      <c r="J30" s="1286">
        <v>-19001.551220814243</v>
      </c>
      <c r="K30" s="1286">
        <v>-19571.597757438671</v>
      </c>
    </row>
    <row r="31" spans="1:11" ht="13.15" customHeight="1">
      <c r="A31" s="24" t="s">
        <v>1864</v>
      </c>
      <c r="B31" s="1286">
        <v>-55026</v>
      </c>
      <c r="C31" s="1286">
        <v>-55026</v>
      </c>
      <c r="D31" s="1286">
        <v>0</v>
      </c>
      <c r="E31" s="1286">
        <v>0</v>
      </c>
      <c r="F31" s="1286">
        <v>0</v>
      </c>
      <c r="G31" s="1286">
        <v>0</v>
      </c>
      <c r="H31" s="1286">
        <v>0</v>
      </c>
      <c r="I31" s="1286">
        <v>0</v>
      </c>
      <c r="J31" s="1286">
        <v>0</v>
      </c>
      <c r="K31" s="1286">
        <v>0</v>
      </c>
    </row>
    <row r="32" spans="1:11" ht="13.15" customHeight="1">
      <c r="A32" s="24" t="s">
        <v>1808</v>
      </c>
      <c r="B32" s="1288">
        <v>-25639.826242649568</v>
      </c>
      <c r="C32" s="1288">
        <v>-25300.017526725493</v>
      </c>
      <c r="D32" s="1288">
        <v>-74313.434058045925</v>
      </c>
      <c r="E32" s="1288">
        <v>-73624.806486993199</v>
      </c>
      <c r="F32" s="1288">
        <v>-72748.073942034185</v>
      </c>
      <c r="G32" s="1288">
        <v>-71676.261853025309</v>
      </c>
      <c r="H32" s="1288">
        <v>-70398.594489380077</v>
      </c>
      <c r="I32" s="1288">
        <v>-68906.762206020343</v>
      </c>
      <c r="J32" s="1288">
        <v>-67190.028389941857</v>
      </c>
      <c r="K32" s="1288">
        <v>-65238.706100119562</v>
      </c>
    </row>
    <row r="33" spans="1:11" ht="13.15" customHeight="1">
      <c r="A33" s="24" t="s">
        <v>1809</v>
      </c>
      <c r="B33" s="25">
        <f t="shared" ref="B33:K33" si="7">SUM(B22:B32)</f>
        <v>2848.8695825148134</v>
      </c>
      <c r="C33" s="25">
        <f t="shared" si="7"/>
        <v>2811.1130585232495</v>
      </c>
      <c r="D33" s="25">
        <f t="shared" si="7"/>
        <v>8257.0482286699698</v>
      </c>
      <c r="E33" s="25">
        <f t="shared" si="7"/>
        <v>8180.5340541085461</v>
      </c>
      <c r="F33" s="25">
        <f t="shared" si="7"/>
        <v>8083.1193268908828</v>
      </c>
      <c r="G33" s="25">
        <f t="shared" si="7"/>
        <v>7964.0290947787871</v>
      </c>
      <c r="H33" s="25">
        <f t="shared" si="7"/>
        <v>7822.0660543737613</v>
      </c>
      <c r="I33" s="25">
        <f t="shared" si="7"/>
        <v>7656.3069117782288</v>
      </c>
      <c r="J33" s="25">
        <f t="shared" si="7"/>
        <v>7465.558709991732</v>
      </c>
      <c r="K33" s="23">
        <f t="shared" si="7"/>
        <v>7248.745122233704</v>
      </c>
    </row>
    <row r="34" spans="1:11" ht="13.15" customHeight="1">
      <c r="A34" s="24" t="str">
        <f>IF('Part III A-Sources of Funds'!$E$32 = "Neither", "", "DCR First Mortgage")</f>
        <v>DCR First Mortgage</v>
      </c>
      <c r="B34" s="27">
        <f>IF(B23=0,"",-B22/B23)</f>
        <v>1.5884926872819911</v>
      </c>
      <c r="C34" s="27">
        <f t="shared" ref="C34:K34" si="8">IF(C23=0,"",-C22/C23)</f>
        <v>1.5884531115798857</v>
      </c>
      <c r="D34" s="27">
        <f t="shared" si="8"/>
        <v>1.5874600988459291</v>
      </c>
      <c r="E34" s="27">
        <f t="shared" si="8"/>
        <v>1.5854644782239204</v>
      </c>
      <c r="F34" s="27">
        <f t="shared" si="8"/>
        <v>1.5824112250401607</v>
      </c>
      <c r="G34" s="27">
        <f t="shared" si="8"/>
        <v>1.5782598669000445</v>
      </c>
      <c r="H34" s="27">
        <f t="shared" si="8"/>
        <v>1.572947579995376</v>
      </c>
      <c r="I34" s="27">
        <f t="shared" si="8"/>
        <v>1.5664259648092675</v>
      </c>
      <c r="J34" s="27">
        <f t="shared" si="8"/>
        <v>1.558632325075626</v>
      </c>
      <c r="K34" s="28">
        <f t="shared" si="8"/>
        <v>1.5495100655198482</v>
      </c>
    </row>
    <row r="35" spans="1:11" ht="13.15" customHeight="1">
      <c r="A35" s="24" t="str">
        <f>IF('Part III A-Sources of Funds'!$E$32 = "Neither", "", "DCR USDA/HUD Fee")</f>
        <v>DCR USDA/HUD Fee</v>
      </c>
      <c r="B35" s="27">
        <f>IF(OR(B24=0,AND(B24=0,B23=0)),"",-B22/(B23+B24))</f>
        <v>1.4871363945952161</v>
      </c>
      <c r="C35" s="27">
        <f t="shared" ref="C35:K35" si="9">IF(OR(C24=0,AND(C24=0,C23=0)),"",-C22/(C23+C24))</f>
        <v>1.4876873176761083</v>
      </c>
      <c r="D35" s="27">
        <f t="shared" si="9"/>
        <v>1.487381655147231</v>
      </c>
      <c r="E35" s="27">
        <f t="shared" si="9"/>
        <v>1.4861744508204693</v>
      </c>
      <c r="F35" s="27">
        <f t="shared" si="9"/>
        <v>1.4840151736979723</v>
      </c>
      <c r="G35" s="27">
        <f t="shared" si="9"/>
        <v>1.4808668319026346</v>
      </c>
      <c r="H35" s="27">
        <f t="shared" si="9"/>
        <v>1.4766713408980261</v>
      </c>
      <c r="I35" s="27">
        <f t="shared" si="9"/>
        <v>1.4713839864568354</v>
      </c>
      <c r="J35" s="27">
        <f t="shared" si="9"/>
        <v>1.4649464387479498</v>
      </c>
      <c r="K35" s="28">
        <f t="shared" si="9"/>
        <v>1.4573058622293076</v>
      </c>
    </row>
    <row r="36" spans="1:11" ht="13.15" customHeight="1">
      <c r="A36" s="24" t="str">
        <f>IF('Part III A-Sources of Funds'!$E$32 = "Neither", "DCR First Mortgage", "DCR Second Mortgage")</f>
        <v>DCR Second Mortgage</v>
      </c>
      <c r="B36" s="27">
        <f>IF(OR(B25=0,AND(B25=0,B24=0,B23=0)),"",-B22/(B23+B24+B25))</f>
        <v>1.3402386177607348</v>
      </c>
      <c r="C36" s="27">
        <f t="shared" ref="C36:K36" si="10">IF(OR(C25=0,AND(C25=0,C24=0,C23=0)),"",-C22/(C23+C24+C25))</f>
        <v>1.340585360045865</v>
      </c>
      <c r="D36" s="27">
        <f t="shared" si="10"/>
        <v>1.3403929904452632</v>
      </c>
      <c r="E36" s="27">
        <f t="shared" si="10"/>
        <v>1.3396329997776903</v>
      </c>
      <c r="F36" s="27">
        <f t="shared" si="10"/>
        <v>1.338272706939446</v>
      </c>
      <c r="G36" s="27">
        <f t="shared" si="10"/>
        <v>1.3362871897292654</v>
      </c>
      <c r="H36" s="27">
        <f t="shared" si="10"/>
        <v>1.3336373342144032</v>
      </c>
      <c r="I36" s="27">
        <f t="shared" si="10"/>
        <v>1.3302914200879929</v>
      </c>
      <c r="J36" s="27">
        <f t="shared" si="10"/>
        <v>1.3262079178482955</v>
      </c>
      <c r="K36" s="28">
        <f t="shared" si="10"/>
        <v>1.3213473836933338</v>
      </c>
    </row>
    <row r="37" spans="1:11" ht="13.15" customHeight="1">
      <c r="A37" s="24" t="str">
        <f>IF('Part III A-Sources of Funds'!$E$32 = "Neither", "DCR Second Mortgage", "DCR Third Mortgage")</f>
        <v>DCR Third Mortgage</v>
      </c>
      <c r="B37" s="27" t="str">
        <f>IF(OR(B26=0,AND(B23=0,B24=0,B25=0,B26=0)),"",-B22/(B23+B24+B25+B26))</f>
        <v/>
      </c>
      <c r="C37" s="27" t="str">
        <f t="shared" ref="C37:K37" si="11">IF(OR(C26=0,AND(C23=0,C24=0,C25=0,C26=0)),"",-C22/(C23+C24+C25+C26))</f>
        <v/>
      </c>
      <c r="D37" s="27" t="str">
        <f t="shared" si="11"/>
        <v/>
      </c>
      <c r="E37" s="27" t="str">
        <f t="shared" si="11"/>
        <v/>
      </c>
      <c r="F37" s="27" t="str">
        <f t="shared" si="11"/>
        <v/>
      </c>
      <c r="G37" s="27" t="str">
        <f t="shared" si="11"/>
        <v/>
      </c>
      <c r="H37" s="27" t="str">
        <f t="shared" si="11"/>
        <v/>
      </c>
      <c r="I37" s="27" t="str">
        <f t="shared" si="11"/>
        <v/>
      </c>
      <c r="J37" s="27" t="str">
        <f t="shared" si="11"/>
        <v/>
      </c>
      <c r="K37" s="28" t="str">
        <f t="shared" si="11"/>
        <v/>
      </c>
    </row>
    <row r="38" spans="1:11" ht="13.15" customHeight="1">
      <c r="A38" s="24" t="s">
        <v>1363</v>
      </c>
      <c r="B38" s="27" t="str">
        <f>IF(OR(B27=0,AND(B23=0,B24=0,B25=0,B26=0,B27=0)),"",-B22/(B23+B24+B25+B26+B27))</f>
        <v/>
      </c>
      <c r="C38" s="27" t="str">
        <f t="shared" ref="C38:K38" si="12">IF(OR(C27=0,AND(C23=0,C24=0,C25=0,C26=0,C27=0)),"",-C22/(C23+C24+C25+C26+C27))</f>
        <v/>
      </c>
      <c r="D38" s="27" t="str">
        <f t="shared" si="12"/>
        <v/>
      </c>
      <c r="E38" s="27" t="str">
        <f t="shared" si="12"/>
        <v/>
      </c>
      <c r="F38" s="27" t="str">
        <f t="shared" si="12"/>
        <v/>
      </c>
      <c r="G38" s="27" t="str">
        <f t="shared" si="12"/>
        <v/>
      </c>
      <c r="H38" s="27" t="str">
        <f t="shared" si="12"/>
        <v/>
      </c>
      <c r="I38" s="27" t="str">
        <f t="shared" si="12"/>
        <v/>
      </c>
      <c r="J38" s="27" t="str">
        <f t="shared" si="12"/>
        <v/>
      </c>
      <c r="K38" s="28" t="str">
        <f t="shared" si="12"/>
        <v/>
      </c>
    </row>
    <row r="39" spans="1:11" ht="13.15" customHeight="1">
      <c r="A39" s="24" t="s">
        <v>1363</v>
      </c>
      <c r="B39" s="27" t="str">
        <f>IF(OR(B28=0,AND(B23=0,B24=0,B25=0,B26=0,B27=0,B28=0)),"",-B22/(B23+B24+B25+B26+B27+B28))</f>
        <v/>
      </c>
      <c r="C39" s="27" t="str">
        <f t="shared" ref="C39:K39" si="13">IF(OR(C28=0,AND(C23=0,C24=0,C25=0,C26=0,C27=0,C28=0)),"",-C22/(C23+C24+C25+C26+C27+C28))</f>
        <v/>
      </c>
      <c r="D39" s="27" t="str">
        <f t="shared" si="13"/>
        <v/>
      </c>
      <c r="E39" s="27" t="str">
        <f t="shared" si="13"/>
        <v/>
      </c>
      <c r="F39" s="27" t="str">
        <f t="shared" si="13"/>
        <v/>
      </c>
      <c r="G39" s="27" t="str">
        <f t="shared" si="13"/>
        <v/>
      </c>
      <c r="H39" s="27" t="str">
        <f t="shared" si="13"/>
        <v/>
      </c>
      <c r="I39" s="27" t="str">
        <f t="shared" si="13"/>
        <v/>
      </c>
      <c r="J39" s="27" t="str">
        <f t="shared" si="13"/>
        <v/>
      </c>
      <c r="K39" s="28" t="str">
        <f t="shared" si="13"/>
        <v/>
      </c>
    </row>
    <row r="40" spans="1:11" ht="13.15" customHeight="1">
      <c r="A40" s="24" t="s">
        <v>1345</v>
      </c>
      <c r="B40" s="379">
        <f>IF(OR(B20="Choose mgt fee",B20="Choose One!"),"",(B14+B15+B16+B17+B18) / -(B19+B20+B21))</f>
        <v>1.4522386899441548</v>
      </c>
      <c r="C40" s="379">
        <f t="shared" ref="C40:K40" si="14">IF(OR(C20="Choose mgt fee",C20="Choose One!"),"",(C14+C15+C16+C17+C18) / -(C19+C20+C21))</f>
        <v>1.4394584987688805</v>
      </c>
      <c r="D40" s="379">
        <f t="shared" si="14"/>
        <v>1.4267798878375328</v>
      </c>
      <c r="E40" s="379">
        <f t="shared" si="14"/>
        <v>1.4142016602849745</v>
      </c>
      <c r="F40" s="379">
        <f t="shared" si="14"/>
        <v>1.401721264872662</v>
      </c>
      <c r="G40" s="379">
        <f t="shared" si="14"/>
        <v>1.3893420687222877</v>
      </c>
      <c r="H40" s="379">
        <f t="shared" si="14"/>
        <v>1.3770601324817024</v>
      </c>
      <c r="I40" s="379">
        <f t="shared" si="14"/>
        <v>1.3648772173059178</v>
      </c>
      <c r="J40" s="379">
        <f t="shared" si="14"/>
        <v>1.3527910048810337</v>
      </c>
      <c r="K40" s="380">
        <f t="shared" si="14"/>
        <v>1.3408018546484226</v>
      </c>
    </row>
    <row r="41" spans="1:11" ht="13.15" customHeight="1">
      <c r="A41" s="24" t="str">
        <f>IF('Part III A-Sources of Funds'!$E$32 = "Neither", "", "Mortgage A Balance")</f>
        <v>Mortgage A Balance</v>
      </c>
      <c r="B41" s="1289">
        <v>3677081.7006612597</v>
      </c>
      <c r="C41" s="1289">
        <v>3652749.8507676506</v>
      </c>
      <c r="D41" s="1289">
        <v>3626917.265613988</v>
      </c>
      <c r="E41" s="1289">
        <v>3599491.3831332442</v>
      </c>
      <c r="F41" s="1289">
        <v>3570373.9322326356</v>
      </c>
      <c r="G41" s="1289">
        <v>3539460.5806734054</v>
      </c>
      <c r="H41" s="1289">
        <v>3506640.5612326041</v>
      </c>
      <c r="I41" s="1289">
        <v>3471796.2748073437</v>
      </c>
      <c r="J41" s="1289">
        <v>3434802.8690393935</v>
      </c>
      <c r="K41" s="1289">
        <v>3395527.7909502606</v>
      </c>
    </row>
    <row r="42" spans="1:11" ht="13.15" customHeight="1">
      <c r="A42" s="24" t="str">
        <f>IF('Part III A-Sources of Funds'!$E$32 = "Neither", "Mortgage A Balance", "Mortgage B Balance")</f>
        <v>Mortgage B Balance</v>
      </c>
      <c r="B42" s="1286">
        <v>5526520.2912354646</v>
      </c>
      <c r="C42" s="1286">
        <v>5553285.8781797197</v>
      </c>
      <c r="D42" s="1286">
        <v>5580350.4350795187</v>
      </c>
      <c r="E42" s="1286">
        <v>5607770.8018749431</v>
      </c>
      <c r="F42" s="1286">
        <v>5635607.33377402</v>
      </c>
      <c r="G42" s="1286">
        <v>5663923.1271981057</v>
      </c>
      <c r="H42" s="1286">
        <v>5692785.2753769932</v>
      </c>
      <c r="I42" s="1286">
        <v>5722264.105460776</v>
      </c>
      <c r="J42" s="1286">
        <v>5752433.9935104186</v>
      </c>
      <c r="K42" s="1286">
        <v>5783373.0609048009</v>
      </c>
    </row>
    <row r="43" spans="1:11" ht="13.15" customHeight="1">
      <c r="A43" s="24" t="str">
        <f>IF('Part III A-Sources of Funds'!$E$32 = "Neither", "Mortgage B Balance", "Mortgage C Balance")</f>
        <v>Mortgage C Balance</v>
      </c>
      <c r="B43" s="1286" t="str">
        <f>IF('Part III A-Sources of Funds'!$H$34="","",-FV('Part III A-Sources of Funds'!$J$34/12,12,B26/12,'Part III A-Sources of Funds'!H34))</f>
        <v/>
      </c>
      <c r="C43" s="1286" t="str">
        <f>IF('Part III A-Sources of Funds'!$H$34="","",-FV('Part III A-Sources of Funds'!$J$34/12,12,C26/12,B43))</f>
        <v/>
      </c>
      <c r="D43" s="1286" t="str">
        <f>IF('Part III A-Sources of Funds'!$H$34="","",-FV('Part III A-Sources of Funds'!$J$34/12,12,D26/12,C43))</f>
        <v/>
      </c>
      <c r="E43" s="1286" t="str">
        <f>IF('Part III A-Sources of Funds'!$H$34="","",-FV('Part III A-Sources of Funds'!$J$34/12,12,E26/12,D43))</f>
        <v/>
      </c>
      <c r="F43" s="1286" t="str">
        <f>IF('Part III A-Sources of Funds'!$H$34="","",-FV('Part III A-Sources of Funds'!$J$34/12,12,F26/12,E43))</f>
        <v/>
      </c>
      <c r="G43" s="1286" t="str">
        <f>IF('Part III A-Sources of Funds'!$H$34="","",-FV('Part III A-Sources of Funds'!$J$34/12,12,G26/12,F43))</f>
        <v/>
      </c>
      <c r="H43" s="1286" t="str">
        <f>IF('Part III A-Sources of Funds'!$H$34="","",-FV('Part III A-Sources of Funds'!$J$34/12,12,H26/12,G43))</f>
        <v/>
      </c>
      <c r="I43" s="1286" t="str">
        <f>IF('Part III A-Sources of Funds'!$H$34="","",-FV('Part III A-Sources of Funds'!$J$34/12,12,I26/12,H43))</f>
        <v/>
      </c>
      <c r="J43" s="1286" t="str">
        <f>IF('Part III A-Sources of Funds'!$H$34="","",-FV('Part III A-Sources of Funds'!$J$34/12,12,J26/12,I43))</f>
        <v/>
      </c>
      <c r="K43" s="1286" t="str">
        <f>IF('Part III A-Sources of Funds'!$H$34="","",-FV('Part III A-Sources of Funds'!$J$34/12,12,K26/12,J43))</f>
        <v/>
      </c>
    </row>
    <row r="44" spans="1:11" ht="13.15" customHeight="1">
      <c r="A44" s="24" t="s">
        <v>1364</v>
      </c>
      <c r="B44" s="1286" t="str">
        <f>IF('Part III A-Sources of Funds'!$H$35="","",-FV('Part III A-Sources of Funds'!$J$35/12,12,B27/12,'Part III A-Sources of Funds'!H35))</f>
        <v/>
      </c>
      <c r="C44" s="1286" t="str">
        <f>IF('Part III A-Sources of Funds'!$H$35="","",-FV('Part III A-Sources of Funds'!$J$35/12,12,C27/12,B44))</f>
        <v/>
      </c>
      <c r="D44" s="1286" t="str">
        <f>IF('Part III A-Sources of Funds'!$H$35="","",-FV('Part III A-Sources of Funds'!$J$35/12,12,D27/12,C44))</f>
        <v/>
      </c>
      <c r="E44" s="1286" t="str">
        <f>IF('Part III A-Sources of Funds'!$H$35="","",-FV('Part III A-Sources of Funds'!$J$35/12,12,E27/12,D44))</f>
        <v/>
      </c>
      <c r="F44" s="1286" t="str">
        <f>IF('Part III A-Sources of Funds'!$H$35="","",-FV('Part III A-Sources of Funds'!$J$35/12,12,F27/12,E44))</f>
        <v/>
      </c>
      <c r="G44" s="1286" t="str">
        <f>IF('Part III A-Sources of Funds'!$H$35="","",-FV('Part III A-Sources of Funds'!$J$35/12,12,G27/12,F44))</f>
        <v/>
      </c>
      <c r="H44" s="1286" t="str">
        <f>IF('Part III A-Sources of Funds'!$H$35="","",-FV('Part III A-Sources of Funds'!$J$35/12,12,H27/12,G44))</f>
        <v/>
      </c>
      <c r="I44" s="1286" t="str">
        <f>IF('Part III A-Sources of Funds'!$H$35="","",-FV('Part III A-Sources of Funds'!$J$35/12,12,I27/12,H44))</f>
        <v/>
      </c>
      <c r="J44" s="1286" t="str">
        <f>IF('Part III A-Sources of Funds'!$H$35="","",-FV('Part III A-Sources of Funds'!$J$35/12,12,J27/12,I44))</f>
        <v/>
      </c>
      <c r="K44" s="1286" t="str">
        <f>IF('Part III A-Sources of Funds'!$H$35="","",-FV('Part III A-Sources of Funds'!$J$35/12,12,K27/12,J44))</f>
        <v/>
      </c>
    </row>
    <row r="45" spans="1:11" ht="13.15" customHeight="1">
      <c r="A45" s="24" t="s">
        <v>1364</v>
      </c>
      <c r="B45" s="1286" t="str">
        <f>IF('Part III A-Sources of Funds'!$H$36="","",-FV('Part III A-Sources of Funds'!$J$36/12,12,B28/12,'Part III A-Sources of Funds'!$H$36))</f>
        <v/>
      </c>
      <c r="C45" s="1286" t="str">
        <f>IF('Part III A-Sources of Funds'!$H$36="","",-FV('Part III A-Sources of Funds'!$J$36/12,12,C28/12,B45))</f>
        <v/>
      </c>
      <c r="D45" s="1286" t="str">
        <f>IF('Part III A-Sources of Funds'!$H$36="","",-FV('Part III A-Sources of Funds'!$J$36/12,12,D28/12,C45))</f>
        <v/>
      </c>
      <c r="E45" s="1286" t="str">
        <f>IF('Part III A-Sources of Funds'!$H$36="","",-FV('Part III A-Sources of Funds'!$J$36/12,12,E28/12,D45))</f>
        <v/>
      </c>
      <c r="F45" s="1286" t="str">
        <f>IF('Part III A-Sources of Funds'!$H$36="","",-FV('Part III A-Sources of Funds'!$J$36/12,12,F28/12,E45))</f>
        <v/>
      </c>
      <c r="G45" s="1286" t="str">
        <f>IF('Part III A-Sources of Funds'!$H$36="","",-FV('Part III A-Sources of Funds'!$J$36/12,12,G28/12,F45))</f>
        <v/>
      </c>
      <c r="H45" s="1286" t="str">
        <f>IF('Part III A-Sources of Funds'!$H$36="","",-FV('Part III A-Sources of Funds'!$J$36/12,12,H28/12,G45))</f>
        <v/>
      </c>
      <c r="I45" s="1286" t="str">
        <f>IF('Part III A-Sources of Funds'!$H$36="","",-FV('Part III A-Sources of Funds'!$J$36/12,12,I28/12,H45))</f>
        <v/>
      </c>
      <c r="J45" s="1286" t="str">
        <f>IF('Part III A-Sources of Funds'!$H$36="","",-FV('Part III A-Sources of Funds'!$J$36/12,12,J28/12,I45))</f>
        <v/>
      </c>
      <c r="K45" s="1286" t="str">
        <f>IF('Part III A-Sources of Funds'!$H$36="","",-FV('Part III A-Sources of Funds'!$J$36/12,12,K28/12,J45))</f>
        <v/>
      </c>
    </row>
    <row r="46" spans="1:11" ht="13.15" customHeight="1">
      <c r="A46" s="29" t="s">
        <v>1899</v>
      </c>
      <c r="B46" s="1288">
        <v>0</v>
      </c>
      <c r="C46" s="1288">
        <v>0</v>
      </c>
      <c r="D46" s="1288">
        <v>0</v>
      </c>
      <c r="E46" s="1288">
        <v>0</v>
      </c>
      <c r="F46" s="1288">
        <v>0</v>
      </c>
      <c r="G46" s="1288">
        <v>0</v>
      </c>
      <c r="H46" s="1288">
        <v>0</v>
      </c>
      <c r="I46" s="1288">
        <v>0</v>
      </c>
      <c r="J46" s="1288">
        <v>0</v>
      </c>
      <c r="K46" s="1288">
        <v>0</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5">B48+1</f>
        <v>12</v>
      </c>
      <c r="D48" s="18">
        <f t="shared" si="15"/>
        <v>13</v>
      </c>
      <c r="E48" s="18">
        <f t="shared" si="15"/>
        <v>14</v>
      </c>
      <c r="F48" s="18">
        <f t="shared" si="15"/>
        <v>15</v>
      </c>
      <c r="G48" s="18">
        <f t="shared" si="15"/>
        <v>16</v>
      </c>
      <c r="H48" s="18">
        <f t="shared" si="15"/>
        <v>17</v>
      </c>
      <c r="I48" s="18">
        <f t="shared" si="15"/>
        <v>18</v>
      </c>
      <c r="J48" s="18">
        <f t="shared" si="15"/>
        <v>19</v>
      </c>
      <c r="K48" s="18">
        <f t="shared" si="15"/>
        <v>20</v>
      </c>
    </row>
    <row r="49" spans="1:11" ht="13.15" customHeight="1">
      <c r="A49" s="21" t="s">
        <v>3642</v>
      </c>
      <c r="B49" s="22">
        <f t="shared" ref="B49:K49" si="16">$B$14*(1+$B$5)^(B48-1)</f>
        <v>1233632.1049900542</v>
      </c>
      <c r="C49" s="22">
        <f t="shared" si="16"/>
        <v>1258304.7470898549</v>
      </c>
      <c r="D49" s="22">
        <f t="shared" si="16"/>
        <v>1283470.8420316523</v>
      </c>
      <c r="E49" s="22">
        <f t="shared" si="16"/>
        <v>1309140.2588722853</v>
      </c>
      <c r="F49" s="22">
        <f t="shared" si="16"/>
        <v>1335323.064049731</v>
      </c>
      <c r="G49" s="22">
        <f t="shared" si="16"/>
        <v>1362029.5253307254</v>
      </c>
      <c r="H49" s="22">
        <f t="shared" si="16"/>
        <v>1389270.11583734</v>
      </c>
      <c r="I49" s="22">
        <f t="shared" si="16"/>
        <v>1417055.518154087</v>
      </c>
      <c r="J49" s="22">
        <f t="shared" si="16"/>
        <v>1445396.6285171686</v>
      </c>
      <c r="K49" s="23">
        <f t="shared" si="16"/>
        <v>1474304.5610875119</v>
      </c>
    </row>
    <row r="50" spans="1:11" ht="13.15" customHeight="1">
      <c r="A50" s="24" t="s">
        <v>1632</v>
      </c>
      <c r="B50" s="25">
        <f t="shared" ref="B50:K50" si="17">$B$15*(1+$B$5)^(B48-1)</f>
        <v>24672.642099801084</v>
      </c>
      <c r="C50" s="25">
        <f t="shared" si="17"/>
        <v>25166.094941797099</v>
      </c>
      <c r="D50" s="25">
        <f t="shared" si="17"/>
        <v>25669.416840633046</v>
      </c>
      <c r="E50" s="25">
        <f t="shared" si="17"/>
        <v>26182.805177445705</v>
      </c>
      <c r="F50" s="25">
        <f t="shared" si="17"/>
        <v>26706.461280994623</v>
      </c>
      <c r="G50" s="25">
        <f t="shared" si="17"/>
        <v>27240.590506614506</v>
      </c>
      <c r="H50" s="25">
        <f t="shared" si="17"/>
        <v>27785.4023167468</v>
      </c>
      <c r="I50" s="25">
        <f t="shared" si="17"/>
        <v>28341.110363081742</v>
      </c>
      <c r="J50" s="25">
        <f t="shared" si="17"/>
        <v>28907.932570343371</v>
      </c>
      <c r="K50" s="26">
        <f t="shared" si="17"/>
        <v>29486.091221750237</v>
      </c>
    </row>
    <row r="51" spans="1:11" ht="13.15" customHeight="1">
      <c r="A51" s="24" t="s">
        <v>3643</v>
      </c>
      <c r="B51" s="25">
        <f t="shared" ref="B51:K51" si="18">-(B49+B50)*$B$8</f>
        <v>-88081.332296289867</v>
      </c>
      <c r="C51" s="25">
        <f t="shared" si="18"/>
        <v>-89842.958942215657</v>
      </c>
      <c r="D51" s="25">
        <f t="shared" si="18"/>
        <v>-91639.818121059987</v>
      </c>
      <c r="E51" s="25">
        <f t="shared" si="18"/>
        <v>-93472.614483481186</v>
      </c>
      <c r="F51" s="25">
        <f t="shared" si="18"/>
        <v>-95342.0667731508</v>
      </c>
      <c r="G51" s="25">
        <f t="shared" si="18"/>
        <v>-97248.908108613788</v>
      </c>
      <c r="H51" s="25">
        <f t="shared" si="18"/>
        <v>-99193.886270786083</v>
      </c>
      <c r="I51" s="25">
        <f t="shared" si="18"/>
        <v>-101177.76399620183</v>
      </c>
      <c r="J51" s="25">
        <f t="shared" si="18"/>
        <v>-103201.31927612584</v>
      </c>
      <c r="K51" s="26">
        <f t="shared" si="18"/>
        <v>-105265.34566164836</v>
      </c>
    </row>
    <row r="52" spans="1:11" ht="13.15" customHeight="1">
      <c r="A52" s="24" t="s">
        <v>61</v>
      </c>
      <c r="B52" s="25">
        <f>+'Part VI-Revenues &amp; Expenses'!G120</f>
        <v>348824.76652947167</v>
      </c>
      <c r="C52" s="25">
        <f>+'Part VI-Revenues &amp; Expenses'!H120</f>
        <v>355801.26186006109</v>
      </c>
      <c r="D52" s="25">
        <f>+'Part VI-Revenues &amp; Expenses'!I120</f>
        <v>362917.28709726234</v>
      </c>
      <c r="E52" s="25">
        <f>+'Part VI-Revenues &amp; Expenses'!J120</f>
        <v>370175.6328392076</v>
      </c>
      <c r="F52" s="25">
        <f>+'Part VI-Revenues &amp; Expenses'!K120</f>
        <v>377579.14549599175</v>
      </c>
      <c r="G52" s="25">
        <f>+'Part VI-Revenues &amp; Expenses'!L120</f>
        <v>385130.72840591159</v>
      </c>
      <c r="H52" s="25">
        <f>+'Part VI-Revenues &amp; Expenses'!M120</f>
        <v>392833.34297402983</v>
      </c>
      <c r="I52" s="25">
        <f>+'Part VI-Revenues &amp; Expenses'!N120</f>
        <v>400690.00983351044</v>
      </c>
      <c r="J52" s="25">
        <f>+'Part VI-Revenues &amp; Expenses'!O120</f>
        <v>408703.81003018067</v>
      </c>
      <c r="K52" s="26">
        <f>+'Part VI-Revenues &amp; Expenses'!P120</f>
        <v>416877.88623078429</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19">$B$19*(1+$B$6)^(B48-1)</f>
        <v>-964109.4835449208</v>
      </c>
      <c r="C54" s="25">
        <f t="shared" si="19"/>
        <v>-993032.76805126853</v>
      </c>
      <c r="D54" s="25">
        <f t="shared" si="19"/>
        <v>-1022823.7510928063</v>
      </c>
      <c r="E54" s="25">
        <f t="shared" si="19"/>
        <v>-1053508.4636255905</v>
      </c>
      <c r="F54" s="25">
        <f t="shared" si="19"/>
        <v>-1085113.7175343584</v>
      </c>
      <c r="G54" s="25">
        <f t="shared" si="19"/>
        <v>-1117667.1290603892</v>
      </c>
      <c r="H54" s="25">
        <f t="shared" si="19"/>
        <v>-1151197.1429322006</v>
      </c>
      <c r="I54" s="25">
        <f t="shared" si="19"/>
        <v>-1185733.0572201668</v>
      </c>
      <c r="J54" s="25">
        <f t="shared" si="19"/>
        <v>-1221305.0489367717</v>
      </c>
      <c r="K54" s="26">
        <f t="shared" si="19"/>
        <v>-1257944.2004048747</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-98738</v>
      </c>
      <c r="C55" s="25">
        <f>IF(AND('Part VII-Pro Forma'!$G$8="Yes",'Part VII-Pro Forma'!$G$9="Yes"),"Choose One!",IF('Part VII-Pro Forma'!$G$8="Yes",ROUND((-$K$8*(1+'Part VII-Pro Forma'!$B$6)^('Part VII-Pro Forma'!C48-1)),),IF('Part VII-Pro Forma'!$G$9="Yes",ROUND((-(SUM(C49:C52)*'Part VII-Pro Forma'!$K$9)),),"Choose mgt fee")))</f>
        <v>-100713</v>
      </c>
      <c r="D55" s="25">
        <f>IF(AND('Part VII-Pro Forma'!$G$8="Yes",'Part VII-Pro Forma'!$G$9="Yes"),"Choose One!",IF('Part VII-Pro Forma'!$G$8="Yes",ROUND((-$K$8*(1+'Part VII-Pro Forma'!$B$6)^('Part VII-Pro Forma'!D48-1)),),IF('Part VII-Pro Forma'!$G$9="Yes",ROUND((-(SUM(D49:D52)*'Part VII-Pro Forma'!$K$9)),),"Choose mgt fee")))</f>
        <v>-102727</v>
      </c>
      <c r="E55" s="25">
        <f>IF(AND('Part VII-Pro Forma'!$G$8="Yes",'Part VII-Pro Forma'!$G$9="Yes"),"Choose One!",IF('Part VII-Pro Forma'!$G$8="Yes",ROUND((-$K$8*(1+'Part VII-Pro Forma'!$B$6)^('Part VII-Pro Forma'!E48-1)),),IF('Part VII-Pro Forma'!$G$9="Yes",ROUND((-(SUM(E49:E52)*'Part VII-Pro Forma'!$K$9)),),"Choose mgt fee")))</f>
        <v>-104782</v>
      </c>
      <c r="F55" s="25">
        <f>IF(AND('Part VII-Pro Forma'!$G$8="Yes",'Part VII-Pro Forma'!$G$9="Yes"),"Choose One!",IF('Part VII-Pro Forma'!$G$8="Yes",ROUND((-$K$8*(1+'Part VII-Pro Forma'!$B$6)^('Part VII-Pro Forma'!F48-1)),),IF('Part VII-Pro Forma'!$G$9="Yes",ROUND((-(SUM(F49:F52)*'Part VII-Pro Forma'!$K$9)),),"Choose mgt fee")))</f>
        <v>-106877</v>
      </c>
      <c r="G55" s="25">
        <f>IF(AND('Part VII-Pro Forma'!$G$8="Yes",'Part VII-Pro Forma'!$G$9="Yes"),"Choose One!",IF('Part VII-Pro Forma'!$G$8="Yes",ROUND((-$K$8*(1+'Part VII-Pro Forma'!$B$6)^('Part VII-Pro Forma'!G48-1)),),IF('Part VII-Pro Forma'!$G$9="Yes",ROUND((-(SUM(G49:G52)*'Part VII-Pro Forma'!$K$9)),),"Choose mgt fee")))</f>
        <v>-109015</v>
      </c>
      <c r="H55" s="25">
        <f>IF(AND('Part VII-Pro Forma'!$G$8="Yes",'Part VII-Pro Forma'!$G$9="Yes"),"Choose One!",IF('Part VII-Pro Forma'!$G$8="Yes",ROUND((-$K$8*(1+'Part VII-Pro Forma'!$B$6)^('Part VII-Pro Forma'!H48-1)),),IF('Part VII-Pro Forma'!$G$9="Yes",ROUND((-(SUM(H49:H52)*'Part VII-Pro Forma'!$K$9)),),"Choose mgt fee")))</f>
        <v>-111195</v>
      </c>
      <c r="I55" s="25">
        <f>IF(AND('Part VII-Pro Forma'!$G$8="Yes",'Part VII-Pro Forma'!$G$9="Yes"),"Choose One!",IF('Part VII-Pro Forma'!$G$8="Yes",ROUND((-$K$8*(1+'Part VII-Pro Forma'!$B$6)^('Part VII-Pro Forma'!I48-1)),),IF('Part VII-Pro Forma'!$G$9="Yes",ROUND((-(SUM(I49:I52)*'Part VII-Pro Forma'!$K$9)),),"Choose mgt fee")))</f>
        <v>-113419</v>
      </c>
      <c r="J55" s="25">
        <f>IF(AND('Part VII-Pro Forma'!$G$8="Yes",'Part VII-Pro Forma'!$G$9="Yes"),"Choose One!",IF('Part VII-Pro Forma'!$G$8="Yes",ROUND((-$K$8*(1+'Part VII-Pro Forma'!$B$6)^('Part VII-Pro Forma'!J48-1)),),IF('Part VII-Pro Forma'!$G$9="Yes",ROUND((-(SUM(J49:J52)*'Part VII-Pro Forma'!$K$9)),),"Choose mgt fee")))</f>
        <v>-115687</v>
      </c>
      <c r="K55" s="25">
        <f>IF(AND('Part VII-Pro Forma'!$G$8="Yes",'Part VII-Pro Forma'!$G$9="Yes"),"Choose One!",IF('Part VII-Pro Forma'!$G$8="Yes",ROUND((-$K$8*(1+'Part VII-Pro Forma'!$B$6)^('Part VII-Pro Forma'!K48-1)),),IF('Part VII-Pro Forma'!$G$9="Yes",ROUND((-(SUM(K49:K52)*'Part VII-Pro Forma'!$K$9)),),"Choose mgt fee")))</f>
        <v>-118001</v>
      </c>
    </row>
    <row r="56" spans="1:11" ht="13.15" customHeight="1">
      <c r="A56" s="24" t="s">
        <v>1862</v>
      </c>
      <c r="B56" s="25">
        <f t="shared" ref="B56:K56" si="20">$B$21*(1+$B$7)^(B48-1)</f>
        <v>-80231.807846844065</v>
      </c>
      <c r="C56" s="25">
        <f t="shared" si="20"/>
        <v>-82638.762082249392</v>
      </c>
      <c r="D56" s="25">
        <f t="shared" si="20"/>
        <v>-85117.92494471687</v>
      </c>
      <c r="E56" s="25">
        <f t="shared" si="20"/>
        <v>-87671.462693058362</v>
      </c>
      <c r="F56" s="25">
        <f t="shared" si="20"/>
        <v>-90301.60657385012</v>
      </c>
      <c r="G56" s="25">
        <f t="shared" si="20"/>
        <v>-93010.65477106563</v>
      </c>
      <c r="H56" s="25">
        <f t="shared" si="20"/>
        <v>-95800.974414197583</v>
      </c>
      <c r="I56" s="25">
        <f t="shared" si="20"/>
        <v>-98675.003646623518</v>
      </c>
      <c r="J56" s="25">
        <f t="shared" si="20"/>
        <v>-101635.25375602223</v>
      </c>
      <c r="K56" s="26">
        <f t="shared" si="20"/>
        <v>-104684.31136870288</v>
      </c>
    </row>
    <row r="57" spans="1:11" ht="13.15" customHeight="1">
      <c r="A57" s="24" t="s">
        <v>1863</v>
      </c>
      <c r="B57" s="25">
        <f t="shared" ref="B57:K57" si="21">SUM(B49:B56)</f>
        <v>375968.8899312719</v>
      </c>
      <c r="C57" s="25">
        <f t="shared" si="21"/>
        <v>373044.61481597973</v>
      </c>
      <c r="D57" s="25">
        <f t="shared" si="21"/>
        <v>369749.05181096471</v>
      </c>
      <c r="E57" s="25">
        <f t="shared" si="21"/>
        <v>366064.15608680836</v>
      </c>
      <c r="F57" s="25">
        <f t="shared" si="21"/>
        <v>361974.27994535794</v>
      </c>
      <c r="G57" s="25">
        <f t="shared" si="21"/>
        <v>357459.15230318293</v>
      </c>
      <c r="H57" s="25">
        <f t="shared" si="21"/>
        <v>352501.85751093214</v>
      </c>
      <c r="I57" s="25">
        <f t="shared" si="21"/>
        <v>347081.81348768721</v>
      </c>
      <c r="J57" s="25">
        <f t="shared" si="21"/>
        <v>341179.74914877291</v>
      </c>
      <c r="K57" s="26">
        <f t="shared" si="21"/>
        <v>334773.68110482045</v>
      </c>
    </row>
    <row r="58" spans="1:11" ht="13.15" customHeight="1">
      <c r="A58" s="24" t="str">
        <f t="shared" ref="A58:A63" si="22">$A23</f>
        <v>D/S USDA/HUD Mortgage</v>
      </c>
      <c r="B58" s="286">
        <f>IF('Part III A-Sources of Funds'!$M$32="", 0,-'Part III A-Sources of Funds'!$M$32)</f>
        <v>-244294.8564282002</v>
      </c>
      <c r="C58" s="286">
        <f>IF('Part III A-Sources of Funds'!$M$32="", 0,-'Part III A-Sources of Funds'!$M$32)</f>
        <v>-244294.8564282002</v>
      </c>
      <c r="D58" s="286">
        <f>IF('Part III A-Sources of Funds'!$M$32="", 0,-'Part III A-Sources of Funds'!$M$32)</f>
        <v>-244294.8564282002</v>
      </c>
      <c r="E58" s="286">
        <f>IF('Part III A-Sources of Funds'!$M$32="", 0,-'Part III A-Sources of Funds'!$M$32)</f>
        <v>-244294.8564282002</v>
      </c>
      <c r="F58" s="286">
        <f>IF('Part III A-Sources of Funds'!$M$32="", 0,-'Part III A-Sources of Funds'!$M$32)</f>
        <v>-244294.8564282002</v>
      </c>
      <c r="G58" s="286">
        <f>IF('Part III A-Sources of Funds'!$M$32="", 0,-'Part III A-Sources of Funds'!$M$32)</f>
        <v>-244294.8564282002</v>
      </c>
      <c r="H58" s="286">
        <f>IF('Part III A-Sources of Funds'!$M$32="", 0,-'Part III A-Sources of Funds'!$M$32)</f>
        <v>-244294.8564282002</v>
      </c>
      <c r="I58" s="286">
        <f>IF('Part III A-Sources of Funds'!$M$32="", 0,-'Part III A-Sources of Funds'!$M$32)</f>
        <v>-244294.8564282002</v>
      </c>
      <c r="J58" s="286">
        <f>IF('Part III A-Sources of Funds'!$M$32="", 0,-'Part III A-Sources of Funds'!$M$32)</f>
        <v>-244294.8564282002</v>
      </c>
      <c r="K58" s="286">
        <f>IF('Part III A-Sources of Funds'!$M$32="", 0,-'Part III A-Sources of Funds'!$M$32)</f>
        <v>-244294.8564282002</v>
      </c>
    </row>
    <row r="59" spans="1:11" ht="13.15" customHeight="1">
      <c r="A59" s="24" t="str">
        <f t="shared" si="22"/>
        <v>HUD MIP</v>
      </c>
      <c r="B59" s="287">
        <f>IF('Part III A-Sources of Funds'!$E$32="USDA 538 Loan", -'Part III B-USDA 538 Loan'!$C27,IF('Part III A-Sources of Funds'!$E$32="HUD Insured Loan", -'Part III C-HUD Insured Loan'!$B38,0))</f>
        <v>-15279.875059276126</v>
      </c>
      <c r="C59" s="287">
        <f>IF('Part III A-Sources of Funds'!$E$32="USDA 538 Loan", -'Part III B-USDA 538 Loan'!$C28,IF('Part III A-Sources of Funds'!$E$32="HUD Insured Loan", -'Part III C-HUD Insured Loan'!$B39,0))</f>
        <v>-15092.236403926965</v>
      </c>
      <c r="D59" s="287">
        <f>IF('Part III A-Sources of Funds'!$E$32="USDA 538 Loan", -'Part III B-USDA 538 Loan'!$C29,IF('Part III A-Sources of Funds'!$E$32="HUD Insured Loan", -'Part III C-HUD Insured Loan'!$B40,0))</f>
        <v>-14893.024606894676</v>
      </c>
      <c r="E59" s="287">
        <f>IF('Part III A-Sources of Funds'!$E$32="USDA 538 Loan", -'Part III B-USDA 538 Loan'!$C30,IF('Part III A-Sources of Funds'!$E$32="HUD Insured Loan", -'Part III C-HUD Insured Loan'!$B41,0))</f>
        <v>-14681.525862123841</v>
      </c>
      <c r="F59" s="287">
        <f>IF('Part III A-Sources of Funds'!$E$32="USDA 538 Loan", -'Part III B-USDA 538 Loan'!$C31,IF('Part III A-Sources of Funds'!$E$32="HUD Insured Loan", -'Part III C-HUD Insured Loan'!$B42,0))</f>
        <v>-14456.982337563448</v>
      </c>
      <c r="G59" s="287">
        <f>IF('Part III A-Sources of Funds'!$E$32="USDA 538 Loan", -'Part III B-USDA 538 Loan'!$C32,IF('Part III A-Sources of Funds'!$E$32="HUD Insured Loan", -'Part III C-HUD Insured Loan'!$B43,0))</f>
        <v>-14218.589459739829</v>
      </c>
      <c r="H59" s="287">
        <f>IF('Part III A-Sources of Funds'!$E$32="USDA 538 Loan", -'Part III B-USDA 538 Loan'!$C33,IF('Part III A-Sources of Funds'!$E$32="HUD Insured Loan", -'Part III C-HUD Insured Loan'!$B44,0))</f>
        <v>-13965.493030847971</v>
      </c>
      <c r="I59" s="287">
        <f>IF('Part III A-Sources of Funds'!$E$32="USDA 538 Loan", -'Part III B-USDA 538 Loan'!$C34,IF('Part III A-Sources of Funds'!$E$32="HUD Insured Loan", -'Part III C-HUD Insured Loan'!$B45,0))</f>
        <v>-13696.78616803134</v>
      </c>
      <c r="J59" s="287">
        <f>IF('Part III A-Sources of Funds'!$E$32="USDA 538 Loan", -'Part III B-USDA 538 Loan'!$C35,IF('Part III A-Sources of Funds'!$E$32="HUD Insured Loan", -'Part III C-HUD Insured Loan'!$B46,0))</f>
        <v>-13411.506053883209</v>
      </c>
      <c r="K59" s="287">
        <f>IF('Part III A-Sources of Funds'!$E$32="USDA 538 Loan", -'Part III B-USDA 538 Loan'!$C36,IF('Part III A-Sources of Funds'!$E$32="HUD Insured Loan", -'Part III C-HUD Insured Loan'!$B47,0))</f>
        <v>-13108.630486525963</v>
      </c>
    </row>
    <row r="60" spans="1:11" ht="13.15" customHeight="1">
      <c r="A60" s="24" t="str">
        <f t="shared" si="22"/>
        <v>D/S Mortgage B</v>
      </c>
      <c r="B60" s="1285">
        <v>-26188.685649854411</v>
      </c>
      <c r="C60" s="1285">
        <v>-25572.942446367233</v>
      </c>
      <c r="D60" s="1285">
        <v>-24876.26342457112</v>
      </c>
      <c r="E60" s="1285">
        <v>-24094.749104209375</v>
      </c>
      <c r="F60" s="1285">
        <v>-23225.049265409121</v>
      </c>
      <c r="G60" s="1285">
        <v>-22262.783943430059</v>
      </c>
      <c r="H60" s="1285">
        <v>-21204.339311674299</v>
      </c>
      <c r="I60" s="1285">
        <v>-20045.288450577933</v>
      </c>
      <c r="J60" s="1285">
        <v>-18781.512000005547</v>
      </c>
      <c r="K60" s="1285">
        <v>-17408.293692771622</v>
      </c>
    </row>
    <row r="61" spans="1:11" ht="13.15" customHeight="1">
      <c r="A61" s="24" t="str">
        <f t="shared" si="22"/>
        <v>D/S Mortgage C</v>
      </c>
      <c r="B61" s="1286">
        <v>0</v>
      </c>
      <c r="C61" s="1286">
        <v>0</v>
      </c>
      <c r="D61" s="1286">
        <v>0</v>
      </c>
      <c r="E61" s="1286">
        <v>0</v>
      </c>
      <c r="F61" s="1286">
        <v>0</v>
      </c>
      <c r="G61" s="1286">
        <v>0</v>
      </c>
      <c r="H61" s="1286">
        <v>0</v>
      </c>
      <c r="I61" s="1286">
        <v>0</v>
      </c>
      <c r="J61" s="1286">
        <v>0</v>
      </c>
      <c r="K61" s="1286">
        <v>0</v>
      </c>
    </row>
    <row r="62" spans="1:11" ht="13.15" customHeight="1">
      <c r="A62" s="24" t="str">
        <f t="shared" si="22"/>
        <v>D/S Other Source</v>
      </c>
      <c r="B62" s="1286">
        <v>0</v>
      </c>
      <c r="C62" s="1286">
        <v>0</v>
      </c>
      <c r="D62" s="1286">
        <v>0</v>
      </c>
      <c r="E62" s="1286">
        <v>0</v>
      </c>
      <c r="F62" s="1286">
        <v>0</v>
      </c>
      <c r="G62" s="1286">
        <v>0</v>
      </c>
      <c r="H62" s="1286">
        <v>0</v>
      </c>
      <c r="I62" s="1286">
        <v>0</v>
      </c>
      <c r="J62" s="1286">
        <v>0</v>
      </c>
      <c r="K62" s="1286">
        <v>0</v>
      </c>
    </row>
    <row r="63" spans="1:11" ht="13.15" customHeight="1">
      <c r="A63" s="24" t="str">
        <f t="shared" si="22"/>
        <v>D/S Grant from fdn / charity</v>
      </c>
      <c r="B63" s="1286">
        <v>0</v>
      </c>
      <c r="C63" s="1286">
        <v>0</v>
      </c>
      <c r="D63" s="1286">
        <v>0</v>
      </c>
      <c r="E63" s="1286">
        <v>0</v>
      </c>
      <c r="F63" s="1286">
        <v>0</v>
      </c>
      <c r="G63" s="1286">
        <v>0</v>
      </c>
      <c r="H63" s="1286">
        <v>0</v>
      </c>
      <c r="I63" s="1286">
        <v>0</v>
      </c>
      <c r="J63" s="1286">
        <v>0</v>
      </c>
      <c r="K63" s="1286">
        <v>0</v>
      </c>
    </row>
    <row r="64" spans="1:11" ht="13.15" customHeight="1">
      <c r="A64" s="24" t="s">
        <v>1336</v>
      </c>
      <c r="B64" s="1287"/>
      <c r="C64" s="1287"/>
      <c r="D64" s="1287"/>
      <c r="E64" s="1287"/>
      <c r="F64" s="1287"/>
      <c r="G64" s="1287"/>
      <c r="H64" s="1287"/>
      <c r="I64" s="1287"/>
      <c r="J64" s="1287"/>
      <c r="K64" s="1287"/>
    </row>
    <row r="65" spans="1:11" ht="13.15" customHeight="1">
      <c r="A65" s="24" t="s">
        <v>1807</v>
      </c>
      <c r="B65" s="1286">
        <v>-20158.745690161832</v>
      </c>
      <c r="C65" s="1286">
        <v>-20763.508060866687</v>
      </c>
      <c r="D65" s="1286">
        <v>-21386.413302692687</v>
      </c>
      <c r="E65" s="1286">
        <v>-22028.005701773469</v>
      </c>
      <c r="F65" s="1286">
        <v>-22688.845872826674</v>
      </c>
      <c r="G65" s="1286">
        <v>-23369.511249011473</v>
      </c>
      <c r="H65" s="1286">
        <v>-24070.596586481817</v>
      </c>
      <c r="I65" s="1286">
        <v>-24792.714484076274</v>
      </c>
      <c r="J65" s="1286">
        <v>-25536.495918598564</v>
      </c>
      <c r="K65" s="1286">
        <v>-26302.590796156521</v>
      </c>
    </row>
    <row r="66" spans="1:11" ht="13.15" customHeight="1">
      <c r="A66" s="24" t="s">
        <v>1864</v>
      </c>
      <c r="B66" s="1286">
        <v>0</v>
      </c>
      <c r="C66" s="1286">
        <v>0</v>
      </c>
      <c r="D66" s="1286">
        <v>0</v>
      </c>
      <c r="E66" s="1286">
        <v>0</v>
      </c>
      <c r="F66" s="1286">
        <v>0</v>
      </c>
      <c r="G66" s="1286">
        <v>0</v>
      </c>
      <c r="H66" s="1286">
        <v>0</v>
      </c>
      <c r="I66" s="1286">
        <v>0</v>
      </c>
      <c r="J66" s="1286">
        <v>0</v>
      </c>
      <c r="K66" s="1286">
        <v>0</v>
      </c>
    </row>
    <row r="67" spans="1:11" ht="13.15" customHeight="1">
      <c r="A67" s="24" t="s">
        <v>1808</v>
      </c>
      <c r="B67" s="1288">
        <v>-63042.054393403028</v>
      </c>
      <c r="C67" s="1288">
        <v>-60588.964328958406</v>
      </c>
      <c r="D67" s="1288">
        <v>-57868.644643747044</v>
      </c>
      <c r="E67" s="1288">
        <v>-54868.517091452952</v>
      </c>
      <c r="F67" s="1288">
        <v>-51577.691437224268</v>
      </c>
      <c r="G67" s="1288">
        <v>-47982.070100522855</v>
      </c>
      <c r="H67" s="1288">
        <v>-44069.914938356698</v>
      </c>
      <c r="I67" s="1288">
        <v>-39826.951161122932</v>
      </c>
      <c r="J67" s="1288">
        <v>-35239.840873278481</v>
      </c>
      <c r="K67" s="1288">
        <v>-30293.378731051154</v>
      </c>
    </row>
    <row r="68" spans="1:11" ht="13.15" customHeight="1">
      <c r="A68" s="24" t="s">
        <v>1809</v>
      </c>
      <c r="B68" s="25">
        <f t="shared" ref="B68:K68" si="23">SUM(B57:B67)</f>
        <v>7004.6727103763114</v>
      </c>
      <c r="C68" s="25">
        <f t="shared" si="23"/>
        <v>6732.1071476602374</v>
      </c>
      <c r="D68" s="25">
        <f t="shared" si="23"/>
        <v>6429.8494048589782</v>
      </c>
      <c r="E68" s="25">
        <f t="shared" si="23"/>
        <v>6096.5018990485187</v>
      </c>
      <c r="F68" s="25">
        <f t="shared" si="23"/>
        <v>5730.854604134227</v>
      </c>
      <c r="G68" s="25">
        <f t="shared" si="23"/>
        <v>5331.3411222785144</v>
      </c>
      <c r="H68" s="25">
        <f t="shared" si="23"/>
        <v>4896.6572153711604</v>
      </c>
      <c r="I68" s="25">
        <f t="shared" si="23"/>
        <v>4425.2167956785197</v>
      </c>
      <c r="J68" s="25">
        <f t="shared" si="23"/>
        <v>3915.5378748069124</v>
      </c>
      <c r="K68" s="23">
        <f t="shared" si="23"/>
        <v>3365.9309701149905</v>
      </c>
    </row>
    <row r="69" spans="1:11" ht="13.15" customHeight="1">
      <c r="A69" s="24" t="str">
        <f t="shared" ref="A69:A74" si="24">$A34</f>
        <v>DCR First Mortgage</v>
      </c>
      <c r="B69" s="27">
        <f>IF(B58=0,"",-B57/B58)</f>
        <v>1.5389963400304809</v>
      </c>
      <c r="C69" s="27">
        <f t="shared" ref="C69:K69" si="25">IF(C58=0,"",-C57/C58)</f>
        <v>1.5270260711592996</v>
      </c>
      <c r="D69" s="27">
        <f t="shared" si="25"/>
        <v>1.5135359672201543</v>
      </c>
      <c r="E69" s="27">
        <f t="shared" si="25"/>
        <v>1.4984521632545993</v>
      </c>
      <c r="F69" s="27">
        <f t="shared" si="25"/>
        <v>1.4817106067550156</v>
      </c>
      <c r="G69" s="27">
        <f t="shared" si="25"/>
        <v>1.4632283197834843</v>
      </c>
      <c r="H69" s="27">
        <f t="shared" si="25"/>
        <v>1.4429360595831238</v>
      </c>
      <c r="I69" s="27">
        <f t="shared" si="25"/>
        <v>1.4207495751745258</v>
      </c>
      <c r="J69" s="27">
        <f t="shared" si="25"/>
        <v>1.3965899820287366</v>
      </c>
      <c r="K69" s="28">
        <f t="shared" si="25"/>
        <v>1.3703672930306354</v>
      </c>
    </row>
    <row r="70" spans="1:11" ht="13.15" customHeight="1">
      <c r="A70" s="24" t="str">
        <f t="shared" si="24"/>
        <v>DCR USDA/HUD Fee</v>
      </c>
      <c r="B70" s="27">
        <f>IF(OR(B59=0,AND(B59=0,B58=0)),"",-B57/(B58+B59))</f>
        <v>1.4484032701365279</v>
      </c>
      <c r="C70" s="27">
        <f t="shared" ref="C70:K70" si="26">IF(OR(C59=0,AND(C59=0,C58=0)),"",-C57/(C58+C59))</f>
        <v>1.4381772459950835</v>
      </c>
      <c r="D70" s="27">
        <f t="shared" si="26"/>
        <v>1.4265676710436144</v>
      </c>
      <c r="E70" s="27">
        <f t="shared" si="26"/>
        <v>1.4135040147268494</v>
      </c>
      <c r="F70" s="27">
        <f t="shared" si="26"/>
        <v>1.3989244740132529</v>
      </c>
      <c r="G70" s="27">
        <f t="shared" si="26"/>
        <v>1.3827487815010353</v>
      </c>
      <c r="H70" s="27">
        <f t="shared" si="26"/>
        <v>1.3649089310429654</v>
      </c>
      <c r="I70" s="27">
        <f t="shared" si="26"/>
        <v>1.345321925915584</v>
      </c>
      <c r="J70" s="27">
        <f t="shared" si="26"/>
        <v>1.323908908816688</v>
      </c>
      <c r="K70" s="28">
        <f t="shared" si="26"/>
        <v>1.30057943315945</v>
      </c>
    </row>
    <row r="71" spans="1:11" ht="13.15" customHeight="1">
      <c r="A71" s="24" t="str">
        <f t="shared" si="24"/>
        <v>DCR Second Mortgage</v>
      </c>
      <c r="B71" s="27">
        <f>IF(OR(B60=0,AND(B60=0,B59=0,B58=0)),"",-B57/(B58+B59+B60))</f>
        <v>1.3156648730533296</v>
      </c>
      <c r="C71" s="27">
        <f t="shared" ref="C71:K71" si="27">IF(OR(C60=0,AND(C60=0,C59=0,C58=0)),"",-C57/(C58+C59+C60))</f>
        <v>1.309112046015152</v>
      </c>
      <c r="D71" s="27">
        <f t="shared" si="27"/>
        <v>1.3016392917673039</v>
      </c>
      <c r="E71" s="27">
        <f t="shared" si="27"/>
        <v>1.2931878792564067</v>
      </c>
      <c r="F71" s="27">
        <f t="shared" si="27"/>
        <v>1.2837019461869561</v>
      </c>
      <c r="G71" s="27">
        <f t="shared" si="27"/>
        <v>1.2731104499760091</v>
      </c>
      <c r="H71" s="27">
        <f t="shared" si="27"/>
        <v>1.2613466805465736</v>
      </c>
      <c r="I71" s="27">
        <f t="shared" si="27"/>
        <v>1.2483298969706063</v>
      </c>
      <c r="J71" s="27">
        <f t="shared" si="27"/>
        <v>1.2339772577291621</v>
      </c>
      <c r="K71" s="28">
        <f t="shared" si="27"/>
        <v>1.2181926130123357</v>
      </c>
    </row>
    <row r="72" spans="1:11" ht="13.15" customHeight="1">
      <c r="A72" s="24" t="str">
        <f t="shared" si="24"/>
        <v>DCR Third Mortgage</v>
      </c>
      <c r="B72" s="27" t="str">
        <f>IF(OR(B61=0,AND(B58=0,B59=0,B60=0,B61=0)),"",-B57/(B58+B59+B60+B61))</f>
        <v/>
      </c>
      <c r="C72" s="27" t="str">
        <f t="shared" ref="C72:K72" si="28">IF(OR(C61=0,AND(C58=0,C59=0,C60=0,C61=0)),"",-C57/(C58+C59+C60+C61))</f>
        <v/>
      </c>
      <c r="D72" s="27" t="str">
        <f t="shared" si="28"/>
        <v/>
      </c>
      <c r="E72" s="27" t="str">
        <f t="shared" si="28"/>
        <v/>
      </c>
      <c r="F72" s="27" t="str">
        <f t="shared" si="28"/>
        <v/>
      </c>
      <c r="G72" s="27" t="str">
        <f t="shared" si="28"/>
        <v/>
      </c>
      <c r="H72" s="27" t="str">
        <f t="shared" si="28"/>
        <v/>
      </c>
      <c r="I72" s="27" t="str">
        <f t="shared" si="28"/>
        <v/>
      </c>
      <c r="J72" s="27" t="str">
        <f t="shared" si="28"/>
        <v/>
      </c>
      <c r="K72" s="28" t="str">
        <f t="shared" si="28"/>
        <v/>
      </c>
    </row>
    <row r="73" spans="1:11" ht="13.15" customHeight="1">
      <c r="A73" s="24" t="str">
        <f t="shared" si="24"/>
        <v>DCR Other Source</v>
      </c>
      <c r="B73" s="27" t="str">
        <f>IF(OR(B62=0,AND(B58=0,B59=0,B60=0,B61=0,B62=0)),"",-B57/(B58+B59+B60+B61+B62))</f>
        <v/>
      </c>
      <c r="C73" s="27" t="str">
        <f t="shared" ref="C73:K73" si="29">IF(OR(C62=0,AND(C58=0,C59=0,C60=0,C61=0,C62=0)),"",-C57/(C58+C59+C60+C61+C62))</f>
        <v/>
      </c>
      <c r="D73" s="27" t="str">
        <f t="shared" si="29"/>
        <v/>
      </c>
      <c r="E73" s="27" t="str">
        <f t="shared" si="29"/>
        <v/>
      </c>
      <c r="F73" s="27" t="str">
        <f t="shared" si="29"/>
        <v/>
      </c>
      <c r="G73" s="27" t="str">
        <f t="shared" si="29"/>
        <v/>
      </c>
      <c r="H73" s="27" t="str">
        <f t="shared" si="29"/>
        <v/>
      </c>
      <c r="I73" s="27" t="str">
        <f t="shared" si="29"/>
        <v/>
      </c>
      <c r="J73" s="27" t="str">
        <f t="shared" si="29"/>
        <v/>
      </c>
      <c r="K73" s="28" t="str">
        <f t="shared" si="29"/>
        <v/>
      </c>
    </row>
    <row r="74" spans="1:11" ht="13.15" customHeight="1">
      <c r="A74" s="24" t="str">
        <f t="shared" si="24"/>
        <v>DCR Other Source</v>
      </c>
      <c r="B74" s="27" t="str">
        <f>IF(OR(B63=0,AND(B58=0,B59=0,B60=0,B61=0,B62=0,B63=0)),"",-B57/(B58+B59+B60+B61+B62+B63))</f>
        <v/>
      </c>
      <c r="C74" s="27" t="str">
        <f t="shared" ref="C74:K74" si="30">IF(OR(C63=0,AND(C58=0,C59=0,C60=0,C61=0,C62=0,C63=0)),"",-C57/(C58+C59+C60+C61+C62+C63))</f>
        <v/>
      </c>
      <c r="D74" s="27" t="str">
        <f t="shared" si="30"/>
        <v/>
      </c>
      <c r="E74" s="27" t="str">
        <f t="shared" si="30"/>
        <v/>
      </c>
      <c r="F74" s="27" t="str">
        <f t="shared" si="30"/>
        <v/>
      </c>
      <c r="G74" s="27" t="str">
        <f t="shared" si="30"/>
        <v/>
      </c>
      <c r="H74" s="27" t="str">
        <f t="shared" si="30"/>
        <v/>
      </c>
      <c r="I74" s="27" t="str">
        <f t="shared" si="30"/>
        <v/>
      </c>
      <c r="J74" s="27" t="str">
        <f t="shared" si="30"/>
        <v/>
      </c>
      <c r="K74" s="28" t="str">
        <f t="shared" si="30"/>
        <v/>
      </c>
    </row>
    <row r="75" spans="1:11" ht="13.15" customHeight="1">
      <c r="A75" s="24" t="s">
        <v>1345</v>
      </c>
      <c r="B75" s="379">
        <f>IF(OR(B55="Choose mgt fee",B55="Choose One!"),"",(B49+B50+B51+B52+B53) / -(B54+B55+B56))</f>
        <v>1.3289088453990872</v>
      </c>
      <c r="C75" s="379">
        <f t="shared" ref="C75:K75" si="31">IF(OR(C55="Choose mgt fee",C55="Choose One!"),"",(C49+C50+C51+C52+C53) / -(C54+C55+C56))</f>
        <v>1.3171111190773988</v>
      </c>
      <c r="D75" s="379">
        <f t="shared" si="31"/>
        <v>1.3054089522008121</v>
      </c>
      <c r="E75" s="379">
        <f t="shared" si="31"/>
        <v>1.2938004351131265</v>
      </c>
      <c r="F75" s="379">
        <f t="shared" si="31"/>
        <v>1.2822868648122798</v>
      </c>
      <c r="G75" s="379">
        <f t="shared" si="31"/>
        <v>1.2708654291988886</v>
      </c>
      <c r="H75" s="379">
        <f t="shared" si="31"/>
        <v>1.2595373610784018</v>
      </c>
      <c r="I75" s="379">
        <f t="shared" si="31"/>
        <v>1.2483009688426423</v>
      </c>
      <c r="J75" s="379">
        <f t="shared" si="31"/>
        <v>1.2371564535930601</v>
      </c>
      <c r="K75" s="380">
        <f t="shared" si="31"/>
        <v>1.2261022615332113</v>
      </c>
    </row>
    <row r="76" spans="1:11" ht="13.15" customHeight="1">
      <c r="A76" s="24" t="str">
        <f>IF('Part III A-Sources of Funds'!$E$32 = "Neither", "", "First Mortgage Balance")</f>
        <v>First Mortgage Balance</v>
      </c>
      <c r="B76" s="1289">
        <v>3353830.3119837828</v>
      </c>
      <c r="C76" s="1289">
        <v>3309561.0237543867</v>
      </c>
      <c r="D76" s="1289">
        <v>3262561.3026942024</v>
      </c>
      <c r="E76" s="1289">
        <v>3212662.7416807842</v>
      </c>
      <c r="F76" s="1289">
        <v>3159686.5466088713</v>
      </c>
      <c r="G76" s="1289">
        <v>3103442.8957440159</v>
      </c>
      <c r="H76" s="1289">
        <v>3043730.2595625459</v>
      </c>
      <c r="I76" s="1289">
        <v>2980334.6786407419</v>
      </c>
      <c r="J76" s="1289">
        <v>2913028.9970058021</v>
      </c>
      <c r="K76" s="1289">
        <v>2841572.0482015708</v>
      </c>
    </row>
    <row r="77" spans="1:11" ht="13.15" customHeight="1">
      <c r="A77" s="24" t="str">
        <f>IF('Part III A-Sources of Funds'!$E$32 = "Neither", "First Mortgage Balance", "Second Mortgage Balance")</f>
        <v>Second Mortgage Balance</v>
      </c>
      <c r="B77" s="1286">
        <v>5815163.5492981132</v>
      </c>
      <c r="C77" s="1286">
        <v>5847891.976908288</v>
      </c>
      <c r="D77" s="1286">
        <v>5881649.0740425214</v>
      </c>
      <c r="E77" s="1286">
        <v>5916530.3998837424</v>
      </c>
      <c r="F77" s="1286">
        <v>5952635.8392164754</v>
      </c>
      <c r="G77" s="1286">
        <v>5990070.6803593282</v>
      </c>
      <c r="H77" s="1286">
        <v>6028944.8997893063</v>
      </c>
      <c r="I77" s="1286">
        <v>6069374.0260688802</v>
      </c>
      <c r="J77" s="1286">
        <v>6111478.8866490209</v>
      </c>
      <c r="K77" s="1286">
        <v>6155386.2607521135</v>
      </c>
    </row>
    <row r="78" spans="1:11" ht="13.15" customHeight="1">
      <c r="A78" s="24" t="str">
        <f>IF('Part III A-Sources of Funds'!$E$32 = "Neither", "Second Mortgage Balance", "Third Mortgage Balance")</f>
        <v>Third Mortgage Balance</v>
      </c>
      <c r="B78" s="1286" t="str">
        <f>IF('Part III A-Sources of Funds'!$H$34="","",-FV('Part III A-Sources of Funds'!$J$34/12,12,B61/12,K43))</f>
        <v/>
      </c>
      <c r="C78" s="1286" t="str">
        <f>IF('Part III A-Sources of Funds'!$H$34="","",-FV('Part III A-Sources of Funds'!$J$34/12,12,C61/12,B78))</f>
        <v/>
      </c>
      <c r="D78" s="1286" t="str">
        <f>IF('Part III A-Sources of Funds'!$H$34="","",-FV('Part III A-Sources of Funds'!$J$34/12,12,D61/12,C78))</f>
        <v/>
      </c>
      <c r="E78" s="1286" t="str">
        <f>IF('Part III A-Sources of Funds'!$H$34="","",-FV('Part III A-Sources of Funds'!$J$34/12,12,E61/12,D78))</f>
        <v/>
      </c>
      <c r="F78" s="1286" t="str">
        <f>IF('Part III A-Sources of Funds'!$H$34="","",-FV('Part III A-Sources of Funds'!$J$34/12,12,F61/12,E78))</f>
        <v/>
      </c>
      <c r="G78" s="1286" t="str">
        <f>IF('Part III A-Sources of Funds'!$H$34="","",-FV('Part III A-Sources of Funds'!$J$34/12,12,G61/12,F78))</f>
        <v/>
      </c>
      <c r="H78" s="1286" t="str">
        <f>IF('Part III A-Sources of Funds'!$H$34="","",-FV('Part III A-Sources of Funds'!$J$34/12,12,H61/12,G78))</f>
        <v/>
      </c>
      <c r="I78" s="1286" t="str">
        <f>IF('Part III A-Sources of Funds'!$H$34="","",-FV('Part III A-Sources of Funds'!$J$34/12,12,I61/12,H78))</f>
        <v/>
      </c>
      <c r="J78" s="1286" t="str">
        <f>IF('Part III A-Sources of Funds'!$H$34="","",-FV('Part III A-Sources of Funds'!$J$34/12,12,J61/12,I78))</f>
        <v/>
      </c>
      <c r="K78" s="1286" t="str">
        <f>IF('Part III A-Sources of Funds'!$H$34="","",-FV('Part III A-Sources of Funds'!$J$34/12,12,K61/12,J78))</f>
        <v/>
      </c>
    </row>
    <row r="79" spans="1:11" ht="13.15" customHeight="1">
      <c r="A79" s="24" t="s">
        <v>1364</v>
      </c>
      <c r="B79" s="1286" t="str">
        <f>IF('Part III A-Sources of Funds'!$H$35="","",-FV('Part III A-Sources of Funds'!$J$35/12,12,B62/12,K44))</f>
        <v/>
      </c>
      <c r="C79" s="1286" t="str">
        <f>IF('Part III A-Sources of Funds'!$H$35="","",-FV('Part III A-Sources of Funds'!$J$35/12,12,C62/12,B79))</f>
        <v/>
      </c>
      <c r="D79" s="1286" t="str">
        <f>IF('Part III A-Sources of Funds'!$H$35="","",-FV('Part III A-Sources of Funds'!$J$35/12,12,D62/12,C79))</f>
        <v/>
      </c>
      <c r="E79" s="1286" t="str">
        <f>IF('Part III A-Sources of Funds'!$H$35="","",-FV('Part III A-Sources of Funds'!$J$35/12,12,E62/12,D79))</f>
        <v/>
      </c>
      <c r="F79" s="1286" t="str">
        <f>IF('Part III A-Sources of Funds'!$H$35="","",-FV('Part III A-Sources of Funds'!$J$35/12,12,F62/12,E79))</f>
        <v/>
      </c>
      <c r="G79" s="1286" t="str">
        <f>IF('Part III A-Sources of Funds'!$H$35="","",-FV('Part III A-Sources of Funds'!$J$35/12,12,G62/12,F79))</f>
        <v/>
      </c>
      <c r="H79" s="1286" t="str">
        <f>IF('Part III A-Sources of Funds'!$H$35="","",-FV('Part III A-Sources of Funds'!$J$35/12,12,H62/12,G79))</f>
        <v/>
      </c>
      <c r="I79" s="1286" t="str">
        <f>IF('Part III A-Sources of Funds'!$H$35="","",-FV('Part III A-Sources of Funds'!$J$35/12,12,I62/12,H79))</f>
        <v/>
      </c>
      <c r="J79" s="1286" t="str">
        <f>IF('Part III A-Sources of Funds'!$H$35="","",-FV('Part III A-Sources of Funds'!$J$35/12,12,J62/12,I79))</f>
        <v/>
      </c>
      <c r="K79" s="1286" t="str">
        <f>IF('Part III A-Sources of Funds'!$H$35="","",-FV('Part III A-Sources of Funds'!$J$35/12,12,K62/12,J79))</f>
        <v/>
      </c>
    </row>
    <row r="80" spans="1:11" ht="13.15" customHeight="1">
      <c r="A80" s="24" t="s">
        <v>1364</v>
      </c>
      <c r="B80" s="1286" t="str">
        <f>IF('Part III A-Sources of Funds'!$H$36="","",-FV('Part III A-Sources of Funds'!$J$36/12,12,B63/12,K45))</f>
        <v/>
      </c>
      <c r="C80" s="1286" t="str">
        <f>IF('Part III A-Sources of Funds'!$H$36="","",-FV('Part III A-Sources of Funds'!$J$36/12,12,C63/12,B80))</f>
        <v/>
      </c>
      <c r="D80" s="1286" t="str">
        <f>IF('Part III A-Sources of Funds'!$H$36="","",-FV('Part III A-Sources of Funds'!$J$36/12,12,D63/12,C80))</f>
        <v/>
      </c>
      <c r="E80" s="1286" t="str">
        <f>IF('Part III A-Sources of Funds'!$H$36="","",-FV('Part III A-Sources of Funds'!$J$36/12,12,E63/12,D80))</f>
        <v/>
      </c>
      <c r="F80" s="1286" t="str">
        <f>IF('Part III A-Sources of Funds'!$H$36="","",-FV('Part III A-Sources of Funds'!$J$36/12,12,F63/12,E80))</f>
        <v/>
      </c>
      <c r="G80" s="1286" t="str">
        <f>IF('Part III A-Sources of Funds'!$H$36="","",-FV('Part III A-Sources of Funds'!$J$36/12,12,G63/12,F80))</f>
        <v/>
      </c>
      <c r="H80" s="1286" t="str">
        <f>IF('Part III A-Sources of Funds'!$H$36="","",-FV('Part III A-Sources of Funds'!$J$36/12,12,H63/12,G80))</f>
        <v/>
      </c>
      <c r="I80" s="1286" t="str">
        <f>IF('Part III A-Sources of Funds'!$H$36="","",-FV('Part III A-Sources of Funds'!$J$36/12,12,I63/12,H80))</f>
        <v/>
      </c>
      <c r="J80" s="1286" t="str">
        <f>IF('Part III A-Sources of Funds'!$H$36="","",-FV('Part III A-Sources of Funds'!$J$36/12,12,J63/12,I80))</f>
        <v/>
      </c>
      <c r="K80" s="1286" t="str">
        <f>IF('Part III A-Sources of Funds'!$H$36="","",-FV('Part III A-Sources of Funds'!$J$36/12,12,K63/12,J80))</f>
        <v/>
      </c>
    </row>
    <row r="81" spans="1:11" ht="13.15" customHeight="1">
      <c r="A81" s="29" t="s">
        <v>1899</v>
      </c>
      <c r="B81" s="1288">
        <v>0</v>
      </c>
      <c r="C81" s="1288">
        <v>0</v>
      </c>
      <c r="D81" s="1288">
        <v>0</v>
      </c>
      <c r="E81" s="1288">
        <v>0</v>
      </c>
      <c r="F81" s="1288">
        <v>0</v>
      </c>
      <c r="G81" s="1288">
        <v>0</v>
      </c>
      <c r="H81" s="1288">
        <v>0</v>
      </c>
      <c r="I81" s="1288">
        <v>0</v>
      </c>
      <c r="J81" s="1288">
        <v>0</v>
      </c>
      <c r="K81" s="1288">
        <v>0</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2">B83+1</f>
        <v>22</v>
      </c>
      <c r="D83" s="18">
        <f t="shared" si="32"/>
        <v>23</v>
      </c>
      <c r="E83" s="18">
        <f t="shared" si="32"/>
        <v>24</v>
      </c>
      <c r="F83" s="18">
        <f t="shared" si="32"/>
        <v>25</v>
      </c>
      <c r="G83" s="18">
        <f t="shared" si="32"/>
        <v>26</v>
      </c>
      <c r="H83" s="18">
        <f t="shared" si="32"/>
        <v>27</v>
      </c>
      <c r="I83" s="18">
        <f t="shared" si="32"/>
        <v>28</v>
      </c>
      <c r="J83" s="18">
        <f t="shared" si="32"/>
        <v>29</v>
      </c>
      <c r="K83" s="18">
        <f t="shared" si="32"/>
        <v>30</v>
      </c>
    </row>
    <row r="84" spans="1:11" ht="13.15" customHeight="1">
      <c r="A84" s="21" t="s">
        <v>3642</v>
      </c>
      <c r="B84" s="22">
        <f t="shared" ref="B84:K84" si="33">$B$14*(1+$B$5)^(B83-1)</f>
        <v>1503790.6523092624</v>
      </c>
      <c r="C84" s="22">
        <f t="shared" si="33"/>
        <v>1533866.4653554475</v>
      </c>
      <c r="D84" s="22">
        <f t="shared" si="33"/>
        <v>1564543.7946625564</v>
      </c>
      <c r="E84" s="22">
        <f t="shared" si="33"/>
        <v>1595834.6705558074</v>
      </c>
      <c r="F84" s="22">
        <f t="shared" si="33"/>
        <v>1627751.3639669234</v>
      </c>
      <c r="G84" s="22">
        <f t="shared" si="33"/>
        <v>1660306.391246262</v>
      </c>
      <c r="H84" s="22">
        <f t="shared" si="33"/>
        <v>1693512.5190711874</v>
      </c>
      <c r="I84" s="22">
        <f t="shared" si="33"/>
        <v>1727382.769452611</v>
      </c>
      <c r="J84" s="22">
        <f t="shared" si="33"/>
        <v>1761930.4248416636</v>
      </c>
      <c r="K84" s="23">
        <f t="shared" si="33"/>
        <v>1797169.0333384965</v>
      </c>
    </row>
    <row r="85" spans="1:11" ht="13.15" customHeight="1">
      <c r="A85" s="24" t="s">
        <v>1632</v>
      </c>
      <c r="B85" s="25">
        <f t="shared" ref="B85:K85" si="34">$B$15*(1+$B$5)^(B83-1)</f>
        <v>30075.813046185245</v>
      </c>
      <c r="C85" s="25">
        <f t="shared" si="34"/>
        <v>30677.32930710895</v>
      </c>
      <c r="D85" s="25">
        <f t="shared" si="34"/>
        <v>31290.87589325113</v>
      </c>
      <c r="E85" s="25">
        <f t="shared" si="34"/>
        <v>31916.693411116146</v>
      </c>
      <c r="F85" s="25">
        <f t="shared" si="34"/>
        <v>32555.027279338472</v>
      </c>
      <c r="G85" s="25">
        <f t="shared" si="34"/>
        <v>33206.127824925243</v>
      </c>
      <c r="H85" s="25">
        <f t="shared" si="34"/>
        <v>33870.25038142375</v>
      </c>
      <c r="I85" s="25">
        <f t="shared" si="34"/>
        <v>34547.655389052219</v>
      </c>
      <c r="J85" s="25">
        <f t="shared" si="34"/>
        <v>35238.608496833273</v>
      </c>
      <c r="K85" s="26">
        <f t="shared" si="34"/>
        <v>35943.380666769932</v>
      </c>
    </row>
    <row r="86" spans="1:11" ht="13.15" customHeight="1">
      <c r="A86" s="24" t="s">
        <v>3643</v>
      </c>
      <c r="B86" s="25">
        <f t="shared" ref="B86:K86" si="35">-(B84+B85)*$B$8</f>
        <v>-107370.65257488136</v>
      </c>
      <c r="C86" s="25">
        <f t="shared" si="35"/>
        <v>-109518.06562637896</v>
      </c>
      <c r="D86" s="25">
        <f t="shared" si="35"/>
        <v>-111708.42693890653</v>
      </c>
      <c r="E86" s="25">
        <f t="shared" si="35"/>
        <v>-113942.59547768466</v>
      </c>
      <c r="F86" s="25">
        <f t="shared" si="35"/>
        <v>-116221.44738723835</v>
      </c>
      <c r="G86" s="25">
        <f t="shared" si="35"/>
        <v>-118545.87633498313</v>
      </c>
      <c r="H86" s="25">
        <f t="shared" si="35"/>
        <v>-120916.7938616828</v>
      </c>
      <c r="I86" s="25">
        <f t="shared" si="35"/>
        <v>-123335.12973891642</v>
      </c>
      <c r="J86" s="25">
        <f t="shared" si="35"/>
        <v>-125801.83233369479</v>
      </c>
      <c r="K86" s="26">
        <f t="shared" si="35"/>
        <v>-128317.86898036867</v>
      </c>
    </row>
    <row r="87" spans="1:11" ht="13.15" customHeight="1">
      <c r="A87" s="24" t="s">
        <v>61</v>
      </c>
      <c r="B87" s="25">
        <f>'Part VI-Revenues &amp; Expenses'!G131</f>
        <v>425215.44395539997</v>
      </c>
      <c r="C87" s="25">
        <f>'Part VI-Revenues &amp; Expenses'!H131</f>
        <v>433719.75283450796</v>
      </c>
      <c r="D87" s="25">
        <f>'Part VI-Revenues &amp; Expenses'!I131</f>
        <v>442394.14789119811</v>
      </c>
      <c r="E87" s="25">
        <f>'Part VI-Revenues &amp; Expenses'!J131</f>
        <v>451242.03084902209</v>
      </c>
      <c r="F87" s="25">
        <f>'Part VI-Revenues &amp; Expenses'!K131</f>
        <v>460266.87146600254</v>
      </c>
      <c r="G87" s="25">
        <f>'Part VI-Revenues &amp; Expenses'!L131</f>
        <v>469472.20889532258</v>
      </c>
      <c r="H87" s="25">
        <f>'Part VI-Revenues &amp; Expenses'!M131</f>
        <v>478861.65307322901</v>
      </c>
      <c r="I87" s="25">
        <f>'Part VI-Revenues &amp; Expenses'!N131</f>
        <v>488438.88613469357</v>
      </c>
      <c r="J87" s="25">
        <f>'Part VI-Revenues &amp; Expenses'!O131</f>
        <v>498207.66385738744</v>
      </c>
      <c r="K87" s="26">
        <f>'Part VI-Revenues &amp; Expenses'!P131</f>
        <v>508171.81713453517</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36">$B$19*(1+$B$6)^(B83-1)</f>
        <v>-1295682.5264170209</v>
      </c>
      <c r="C89" s="25">
        <f t="shared" si="36"/>
        <v>-1334553.0022095316</v>
      </c>
      <c r="D89" s="25">
        <f t="shared" si="36"/>
        <v>-1374589.5922758176</v>
      </c>
      <c r="E89" s="25">
        <f t="shared" si="36"/>
        <v>-1415827.2800440921</v>
      </c>
      <c r="F89" s="25">
        <f t="shared" si="36"/>
        <v>-1458302.0984454148</v>
      </c>
      <c r="G89" s="25">
        <f t="shared" si="36"/>
        <v>-1502051.161398777</v>
      </c>
      <c r="H89" s="25">
        <f t="shared" si="36"/>
        <v>-1547112.6962407406</v>
      </c>
      <c r="I89" s="25">
        <f t="shared" si="36"/>
        <v>-1593526.0771279628</v>
      </c>
      <c r="J89" s="25">
        <f t="shared" si="36"/>
        <v>-1641331.8594418017</v>
      </c>
      <c r="K89" s="26">
        <f t="shared" si="36"/>
        <v>-1690571.8152250554</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-120361</v>
      </c>
      <c r="C90" s="25">
        <f>IF(AND('Part VII-Pro Forma'!$G$8="Yes",'Part VII-Pro Forma'!$G$9="Yes"),"Choose One!",IF('Part VII-Pro Forma'!$G$8="Yes",ROUND((-$K$8*(1+'Part VII-Pro Forma'!$B$6)^('Part VII-Pro Forma'!C83-1)),),IF('Part VII-Pro Forma'!$G$9="Yes",ROUND((-(SUM(C84:C87)*'Part VII-Pro Forma'!$K$9)),),"Choose mgt fee")))</f>
        <v>-122768</v>
      </c>
      <c r="D90" s="25">
        <f>IF(AND('Part VII-Pro Forma'!$G$8="Yes",'Part VII-Pro Forma'!$G$9="Yes"),"Choose One!",IF('Part VII-Pro Forma'!$G$8="Yes",ROUND((-$K$8*(1+'Part VII-Pro Forma'!$B$6)^('Part VII-Pro Forma'!D83-1)),),IF('Part VII-Pro Forma'!$G$9="Yes",ROUND((-(SUM(D84:D87)*'Part VII-Pro Forma'!$K$9)),),"Choose mgt fee")))</f>
        <v>-125224</v>
      </c>
      <c r="E90" s="25">
        <f>IF(AND('Part VII-Pro Forma'!$G$8="Yes",'Part VII-Pro Forma'!$G$9="Yes"),"Choose One!",IF('Part VII-Pro Forma'!$G$8="Yes",ROUND((-$K$8*(1+'Part VII-Pro Forma'!$B$6)^('Part VII-Pro Forma'!E83-1)),),IF('Part VII-Pro Forma'!$G$9="Yes",ROUND((-(SUM(E84:E87)*'Part VII-Pro Forma'!$K$9)),),"Choose mgt fee")))</f>
        <v>-127728</v>
      </c>
      <c r="F90" s="25">
        <f>IF(AND('Part VII-Pro Forma'!$G$8="Yes",'Part VII-Pro Forma'!$G$9="Yes"),"Choose One!",IF('Part VII-Pro Forma'!$G$8="Yes",ROUND((-$K$8*(1+'Part VII-Pro Forma'!$B$6)^('Part VII-Pro Forma'!F83-1)),),IF('Part VII-Pro Forma'!$G$9="Yes",ROUND((-(SUM(F84:F87)*'Part VII-Pro Forma'!$K$9)),),"Choose mgt fee")))</f>
        <v>-130283</v>
      </c>
      <c r="G90" s="25">
        <f>IF(AND('Part VII-Pro Forma'!$G$8="Yes",'Part VII-Pro Forma'!$G$9="Yes"),"Choose One!",IF('Part VII-Pro Forma'!$G$8="Yes",ROUND((-$K$8*(1+'Part VII-Pro Forma'!$B$6)^('Part VII-Pro Forma'!G83-1)),),IF('Part VII-Pro Forma'!$G$9="Yes",ROUND((-(SUM(G84:G87)*'Part VII-Pro Forma'!$K$9)),),"Choose mgt fee")))</f>
        <v>-132889</v>
      </c>
      <c r="H90" s="25">
        <f>IF(AND('Part VII-Pro Forma'!$G$8="Yes",'Part VII-Pro Forma'!$G$9="Yes"),"Choose One!",IF('Part VII-Pro Forma'!$G$8="Yes",ROUND((-$K$8*(1+'Part VII-Pro Forma'!$B$6)^('Part VII-Pro Forma'!H83-1)),),IF('Part VII-Pro Forma'!$G$9="Yes",ROUND((-(SUM(H84:H87)*'Part VII-Pro Forma'!$K$9)),),"Choose mgt fee")))</f>
        <v>-135546</v>
      </c>
      <c r="I90" s="25">
        <f>IF(AND('Part VII-Pro Forma'!$G$8="Yes",'Part VII-Pro Forma'!$G$9="Yes"),"Choose One!",IF('Part VII-Pro Forma'!$G$8="Yes",ROUND((-$K$8*(1+'Part VII-Pro Forma'!$B$6)^('Part VII-Pro Forma'!I83-1)),),IF('Part VII-Pro Forma'!$G$9="Yes",ROUND((-(SUM(I84:I87)*'Part VII-Pro Forma'!$K$9)),),"Choose mgt fee")))</f>
        <v>-138257</v>
      </c>
      <c r="J90" s="25">
        <f>IF(AND('Part VII-Pro Forma'!$G$8="Yes",'Part VII-Pro Forma'!$G$9="Yes"),"Choose One!",IF('Part VII-Pro Forma'!$G$8="Yes",ROUND((-$K$8*(1+'Part VII-Pro Forma'!$B$6)^('Part VII-Pro Forma'!J83-1)),),IF('Part VII-Pro Forma'!$G$9="Yes",ROUND((-(SUM(J84:J87)*'Part VII-Pro Forma'!$K$9)),),"Choose mgt fee")))</f>
        <v>-141022</v>
      </c>
      <c r="K90" s="25">
        <f>IF(AND('Part VII-Pro Forma'!$G$8="Yes",'Part VII-Pro Forma'!$G$9="Yes"),"Choose One!",IF('Part VII-Pro Forma'!$G$8="Yes",ROUND((-$K$8*(1+'Part VII-Pro Forma'!$B$6)^('Part VII-Pro Forma'!K83-1)),),IF('Part VII-Pro Forma'!$G$9="Yes",ROUND((-(SUM(K84:K87)*'Part VII-Pro Forma'!$K$9)),),"Choose mgt fee")))</f>
        <v>-143843</v>
      </c>
    </row>
    <row r="91" spans="1:11" ht="13.15" customHeight="1">
      <c r="A91" s="24" t="s">
        <v>1862</v>
      </c>
      <c r="B91" s="25">
        <f t="shared" ref="B91:K91" si="37">$B$21*(1+$B$7)^(B83-1)</f>
        <v>-107824.84070976397</v>
      </c>
      <c r="C91" s="25">
        <f t="shared" si="37"/>
        <v>-111059.58593105688</v>
      </c>
      <c r="D91" s="25">
        <f t="shared" si="37"/>
        <v>-114391.37350898859</v>
      </c>
      <c r="E91" s="25">
        <f t="shared" si="37"/>
        <v>-117823.11471425826</v>
      </c>
      <c r="F91" s="25">
        <f t="shared" si="37"/>
        <v>-121357.80815568598</v>
      </c>
      <c r="G91" s="25">
        <f t="shared" si="37"/>
        <v>-124998.54240035657</v>
      </c>
      <c r="H91" s="25">
        <f t="shared" si="37"/>
        <v>-128748.49867236728</v>
      </c>
      <c r="I91" s="25">
        <f t="shared" si="37"/>
        <v>-132610.95363253829</v>
      </c>
      <c r="J91" s="25">
        <f t="shared" si="37"/>
        <v>-136589.28224151445</v>
      </c>
      <c r="K91" s="26">
        <f t="shared" si="37"/>
        <v>-140686.96070875984</v>
      </c>
    </row>
    <row r="92" spans="1:11" ht="13.15" customHeight="1">
      <c r="A92" s="24" t="s">
        <v>1863</v>
      </c>
      <c r="B92" s="25">
        <f t="shared" ref="B92:K92" si="38">SUM(B84:B91)</f>
        <v>327842.88960918138</v>
      </c>
      <c r="C92" s="25">
        <f t="shared" si="38"/>
        <v>320364.89373009698</v>
      </c>
      <c r="D92" s="25">
        <f t="shared" si="38"/>
        <v>312315.42572329269</v>
      </c>
      <c r="E92" s="25">
        <f t="shared" si="38"/>
        <v>303672.4045799108</v>
      </c>
      <c r="F92" s="25">
        <f t="shared" si="38"/>
        <v>294408.90872392559</v>
      </c>
      <c r="G92" s="25">
        <f t="shared" si="38"/>
        <v>284500.14783239324</v>
      </c>
      <c r="H92" s="25">
        <f t="shared" si="38"/>
        <v>273920.43375104945</v>
      </c>
      <c r="I92" s="25">
        <f t="shared" si="38"/>
        <v>262640.15047693893</v>
      </c>
      <c r="J92" s="25">
        <f t="shared" si="38"/>
        <v>250631.72317887351</v>
      </c>
      <c r="K92" s="26">
        <f t="shared" si="38"/>
        <v>237864.58622561756</v>
      </c>
    </row>
    <row r="93" spans="1:11" ht="13.15" customHeight="1">
      <c r="A93" s="24" t="str">
        <f t="shared" ref="A93:A98" si="39">$A58</f>
        <v>D/S USDA/HUD Mortgage</v>
      </c>
      <c r="B93" s="286">
        <f>IF('Part III A-Sources of Funds'!$M$32="", 0,-'Part III A-Sources of Funds'!$M$32)</f>
        <v>-244294.8564282002</v>
      </c>
      <c r="C93" s="286">
        <f>IF('Part III A-Sources of Funds'!$M$32="", 0,-'Part III A-Sources of Funds'!$M$32)</f>
        <v>-244294.8564282002</v>
      </c>
      <c r="D93" s="286">
        <f>IF('Part III A-Sources of Funds'!$M$32="", 0,-'Part III A-Sources of Funds'!$M$32)</f>
        <v>-244294.8564282002</v>
      </c>
      <c r="E93" s="286">
        <f>IF('Part III A-Sources of Funds'!$M$32="", 0,-'Part III A-Sources of Funds'!$M$32)</f>
        <v>-244294.8564282002</v>
      </c>
      <c r="F93" s="286">
        <f>IF('Part III A-Sources of Funds'!$M$32="", 0,-'Part III A-Sources of Funds'!$M$32)</f>
        <v>-244294.8564282002</v>
      </c>
      <c r="G93" s="286">
        <f>IF('Part III A-Sources of Funds'!$M$32="", 0,-'Part III A-Sources of Funds'!$M$32)</f>
        <v>-244294.8564282002</v>
      </c>
      <c r="H93" s="286">
        <f>IF('Part III A-Sources of Funds'!$M$32="", 0,-'Part III A-Sources of Funds'!$M$32)</f>
        <v>-244294.8564282002</v>
      </c>
      <c r="I93" s="286">
        <f>IF('Part III A-Sources of Funds'!$M$32="", 0,-'Part III A-Sources of Funds'!$M$32)</f>
        <v>-244294.8564282002</v>
      </c>
      <c r="J93" s="286">
        <f>IF('Part III A-Sources of Funds'!$M$32="", 0,-'Part III A-Sources of Funds'!$M$32)</f>
        <v>-244294.8564282002</v>
      </c>
      <c r="K93" s="286">
        <f>IF('Part III A-Sources of Funds'!$M$32="", 0,-'Part III A-Sources of Funds'!$M$32)</f>
        <v>-244294.8564282002</v>
      </c>
    </row>
    <row r="94" spans="1:11" ht="13.15" customHeight="1">
      <c r="A94" s="24" t="str">
        <f t="shared" si="39"/>
        <v>HUD MIP</v>
      </c>
      <c r="B94" s="287">
        <f>IF('Part III A-Sources of Funds'!$E$32="USDA 538 Loan", -'Part III B-USDA 538 Loan'!$C37,IF('Part III A-Sources of Funds'!$E$32="HUD Insured Loan", -'Part III C-HUD Insured Loan'!$E28,0))</f>
        <v>-12787.0742169069</v>
      </c>
      <c r="C94" s="287">
        <f>IF('Part III A-Sources of Funds'!$E$32="USDA 538 Loan", -'Part III B-USDA 538 Loan'!$C38,IF('Part III A-Sources of Funds'!$E$32="HUD Insured Loan", -'Part III C-HUD Insured Loan'!$E29,0))</f>
        <v>-12445.685060186428</v>
      </c>
      <c r="D94" s="287">
        <f>IF('Part III A-Sources of Funds'!$E$32="USDA 538 Loan", -'Part III B-USDA 538 Loan'!$C39,IF('Part III A-Sources of Funds'!$E$32="HUD Insured Loan", -'Part III C-HUD Insured Loan'!$E30,0))</f>
        <v>-12083.239767285166</v>
      </c>
      <c r="E94" s="287">
        <f>IF('Part III A-Sources of Funds'!$E$32="USDA 538 Loan", -'Part III B-USDA 538 Loan'!$C40,IF('Part III A-Sources of Funds'!$E$32="HUD Insured Loan", -'Part III C-HUD Insured Loan'!$E31,0))</f>
        <v>-11698.439641797169</v>
      </c>
      <c r="F94" s="287">
        <f>IF('Part III A-Sources of Funds'!$E$32="USDA 538 Loan", -'Part III B-USDA 538 Loan'!$C41,IF('Part III A-Sources of Funds'!$E$32="HUD Insured Loan", -'Part III C-HUD Insured Loan'!$E32,0))</f>
        <v>-11289.905886563889</v>
      </c>
      <c r="G94" s="287">
        <f>IF('Part III A-Sources of Funds'!$E$32="USDA 538 Loan", -'Part III B-USDA 538 Loan'!$C42,IF('Part III A-Sources of Funds'!$E$32="HUD Insured Loan", -'Part III C-HUD Insured Loan'!$E33,0))</f>
        <v>-10856.174663235033</v>
      </c>
      <c r="H94" s="287">
        <f>IF('Part III A-Sources of Funds'!$E$32="USDA 538 Loan", -'Part III B-USDA 538 Loan'!$C43,IF('Part III A-Sources of Funds'!$E$32="HUD Insured Loan", -'Part III C-HUD Insured Loan'!$E34,0))</f>
        <v>-10395.691847113938</v>
      </c>
      <c r="I94" s="287">
        <f>IF('Part III A-Sources of Funds'!$E$32="USDA 538 Loan", -'Part III B-USDA 538 Loan'!$C44,IF('Part III A-Sources of Funds'!$E$32="HUD Insured Loan", -'Part III C-HUD Insured Loan'!$E35,0))</f>
        <v>-9906.8074584932892</v>
      </c>
      <c r="J94" s="287">
        <f>IF('Part III A-Sources of Funds'!$E$32="USDA 538 Loan", -'Part III B-USDA 538 Loan'!$C45,IF('Part III A-Sources of Funds'!$E$32="HUD Insured Loan", -'Part III C-HUD Insured Loan'!$E36,0))</f>
        <v>-9387.7697505278102</v>
      </c>
      <c r="K94" s="287">
        <f>IF('Part III A-Sources of Funds'!$E$32="USDA 538 Loan", -'Part III B-USDA 538 Loan'!$C46,IF('Part III A-Sources of Funds'!$E$32="HUD Insured Loan", -'Part III C-HUD Insured Loan'!$E37,0))</f>
        <v>-8836.718932459853</v>
      </c>
    </row>
    <row r="95" spans="1:11" ht="13.15" customHeight="1">
      <c r="A95" s="24" t="str">
        <f t="shared" si="39"/>
        <v>D/S Mortgage B</v>
      </c>
      <c r="B95" s="1285">
        <v>-15921.215766917119</v>
      </c>
      <c r="C95" s="1285">
        <v>-14315.479254385236</v>
      </c>
      <c r="D95" s="1285">
        <v>-12585.899143757053</v>
      </c>
      <c r="E95" s="1285">
        <v>-10727.799414730925</v>
      </c>
      <c r="F95" s="1285">
        <v>-8735.4329420617432</v>
      </c>
      <c r="G95" s="1285">
        <v>-6603.5512667159564</v>
      </c>
      <c r="H95" s="1285">
        <v>-4326.7242320408513</v>
      </c>
      <c r="I95" s="1285">
        <v>-1898.6594828056288</v>
      </c>
      <c r="J95" s="1285">
        <v>0</v>
      </c>
      <c r="K95" s="1285">
        <v>0</v>
      </c>
    </row>
    <row r="96" spans="1:11" ht="13.15" customHeight="1">
      <c r="A96" s="24" t="str">
        <f t="shared" si="39"/>
        <v>D/S Mortgage C</v>
      </c>
      <c r="B96" s="1286">
        <v>0</v>
      </c>
      <c r="C96" s="1286">
        <v>0</v>
      </c>
      <c r="D96" s="1286">
        <v>0</v>
      </c>
      <c r="E96" s="1286">
        <v>0</v>
      </c>
      <c r="F96" s="1286">
        <v>0</v>
      </c>
      <c r="G96" s="1286">
        <v>0</v>
      </c>
      <c r="H96" s="1286">
        <v>0</v>
      </c>
      <c r="I96" s="1286">
        <v>0</v>
      </c>
      <c r="J96" s="1286">
        <v>0</v>
      </c>
      <c r="K96" s="1286">
        <v>0</v>
      </c>
    </row>
    <row r="97" spans="1:11" ht="13.15" customHeight="1">
      <c r="A97" s="24" t="str">
        <f t="shared" si="39"/>
        <v>D/S Other Source</v>
      </c>
      <c r="B97" s="1286">
        <v>0</v>
      </c>
      <c r="C97" s="1286">
        <v>0</v>
      </c>
      <c r="D97" s="1286">
        <v>0</v>
      </c>
      <c r="E97" s="1286">
        <v>0</v>
      </c>
      <c r="F97" s="1286">
        <v>0</v>
      </c>
      <c r="G97" s="1286">
        <v>0</v>
      </c>
      <c r="H97" s="1286">
        <v>0</v>
      </c>
      <c r="I97" s="1286">
        <v>0</v>
      </c>
      <c r="J97" s="1286">
        <v>0</v>
      </c>
      <c r="K97" s="1286">
        <v>0</v>
      </c>
    </row>
    <row r="98" spans="1:11" ht="13.15" customHeight="1">
      <c r="A98" s="24" t="str">
        <f t="shared" si="39"/>
        <v>D/S Grant from fdn / charity</v>
      </c>
      <c r="B98" s="1286">
        <v>0</v>
      </c>
      <c r="C98" s="1286">
        <v>0</v>
      </c>
      <c r="D98" s="1286">
        <v>0</v>
      </c>
      <c r="E98" s="1286">
        <v>0</v>
      </c>
      <c r="F98" s="1286">
        <v>0</v>
      </c>
      <c r="G98" s="1286">
        <v>0</v>
      </c>
      <c r="H98" s="1286">
        <v>0</v>
      </c>
      <c r="I98" s="1286">
        <v>0</v>
      </c>
      <c r="J98" s="1286">
        <v>0</v>
      </c>
      <c r="K98" s="1286">
        <v>0</v>
      </c>
    </row>
    <row r="99" spans="1:11" ht="13.15" customHeight="1">
      <c r="A99" s="24" t="s">
        <v>1336</v>
      </c>
      <c r="B99" s="1287"/>
      <c r="C99" s="1287"/>
      <c r="D99" s="1287"/>
      <c r="E99" s="1287"/>
      <c r="F99" s="1287"/>
      <c r="G99" s="1287"/>
      <c r="H99" s="1287"/>
      <c r="I99" s="1287"/>
      <c r="J99" s="1287"/>
      <c r="K99" s="1287"/>
    </row>
    <row r="100" spans="1:11" ht="13.15" customHeight="1">
      <c r="A100" s="24" t="s">
        <v>1807</v>
      </c>
      <c r="B100" s="1286">
        <v>-27091.668520041218</v>
      </c>
      <c r="C100" s="1286">
        <v>-27904.418575642456</v>
      </c>
      <c r="D100" s="1286">
        <v>-28741.551132911729</v>
      </c>
      <c r="E100" s="1286">
        <v>-29603.797666899081</v>
      </c>
      <c r="F100" s="1286">
        <v>-30491.911596906055</v>
      </c>
      <c r="G100" s="1286">
        <v>-31406.668944813238</v>
      </c>
      <c r="H100" s="1286">
        <v>-32348.869013157637</v>
      </c>
      <c r="I100" s="1286">
        <v>-33319.335083552367</v>
      </c>
      <c r="J100" s="1286">
        <v>-34318.915136058939</v>
      </c>
      <c r="K100" s="1286">
        <v>-35348.482590140709</v>
      </c>
    </row>
    <row r="101" spans="1:11" ht="13.15" customHeight="1">
      <c r="A101" s="24" t="s">
        <v>1864</v>
      </c>
      <c r="B101" s="1286">
        <v>0</v>
      </c>
      <c r="C101" s="1286">
        <v>0</v>
      </c>
      <c r="D101" s="1286">
        <v>0</v>
      </c>
      <c r="E101" s="1286">
        <v>0</v>
      </c>
      <c r="F101" s="1286">
        <v>0</v>
      </c>
      <c r="G101" s="1286">
        <v>0</v>
      </c>
      <c r="H101" s="1286">
        <v>0</v>
      </c>
      <c r="I101" s="1286">
        <v>0</v>
      </c>
      <c r="J101" s="1286">
        <v>0</v>
      </c>
      <c r="K101" s="1286">
        <v>0</v>
      </c>
    </row>
    <row r="102" spans="1:11" ht="13.15" customHeight="1">
      <c r="A102" s="24" t="s">
        <v>1808</v>
      </c>
      <c r="B102" s="1288">
        <v>-24973.267209405971</v>
      </c>
      <c r="C102" s="1288">
        <v>-19264.008970516017</v>
      </c>
      <c r="D102" s="1288">
        <v>-13148.891326026311</v>
      </c>
      <c r="E102" s="1288">
        <v>-6612.7602854567003</v>
      </c>
      <c r="F102" s="1288">
        <v>0</v>
      </c>
      <c r="G102" s="1288">
        <v>0</v>
      </c>
      <c r="H102" s="1288">
        <v>0</v>
      </c>
      <c r="I102" s="1288">
        <v>0</v>
      </c>
      <c r="J102" s="1288">
        <v>0</v>
      </c>
      <c r="K102" s="1288">
        <v>0</v>
      </c>
    </row>
    <row r="103" spans="1:11" ht="13.15" customHeight="1">
      <c r="A103" s="24" t="s">
        <v>1809</v>
      </c>
      <c r="B103" s="25">
        <f t="shared" ref="B103:K103" si="40">SUM(B92:B102)</f>
        <v>2774.8074677099685</v>
      </c>
      <c r="C103" s="25">
        <f t="shared" si="40"/>
        <v>2140.4454411666411</v>
      </c>
      <c r="D103" s="25">
        <f t="shared" si="40"/>
        <v>1460.9879251122293</v>
      </c>
      <c r="E103" s="25">
        <f t="shared" si="40"/>
        <v>734.75114282671802</v>
      </c>
      <c r="F103" s="25">
        <f t="shared" si="40"/>
        <v>-403.19812980630013</v>
      </c>
      <c r="G103" s="25">
        <f t="shared" si="40"/>
        <v>-8661.1034705711936</v>
      </c>
      <c r="H103" s="25">
        <f t="shared" si="40"/>
        <v>-17445.707769463177</v>
      </c>
      <c r="I103" s="25">
        <f t="shared" si="40"/>
        <v>-26779.50797611256</v>
      </c>
      <c r="J103" s="25">
        <f t="shared" si="40"/>
        <v>-37369.818135913447</v>
      </c>
      <c r="K103" s="23">
        <f t="shared" si="40"/>
        <v>-50615.471725183204</v>
      </c>
    </row>
    <row r="104" spans="1:11" ht="13.15" customHeight="1">
      <c r="A104" s="24" t="str">
        <f t="shared" ref="A104:A109" si="41">$A69</f>
        <v>DCR First Mortgage</v>
      </c>
      <c r="B104" s="27">
        <f>IF(B93=0,"",-B92/B93)</f>
        <v>1.3419966936779795</v>
      </c>
      <c r="C104" s="27">
        <f t="shared" ref="C104:K104" si="42">IF(C93=0,"",-C92/C93)</f>
        <v>1.3113861602086339</v>
      </c>
      <c r="D104" s="27">
        <f t="shared" si="42"/>
        <v>1.2784363546969895</v>
      </c>
      <c r="E104" s="27">
        <f t="shared" si="42"/>
        <v>1.2430568904309371</v>
      </c>
      <c r="F104" s="27">
        <f t="shared" si="42"/>
        <v>1.2051375662526658</v>
      </c>
      <c r="G104" s="27">
        <f t="shared" si="42"/>
        <v>1.164576905105694</v>
      </c>
      <c r="H104" s="27">
        <f t="shared" si="42"/>
        <v>1.1212697547381902</v>
      </c>
      <c r="I104" s="27">
        <f t="shared" si="42"/>
        <v>1.0750948845872672</v>
      </c>
      <c r="J104" s="27">
        <f t="shared" si="42"/>
        <v>1.0259394194512472</v>
      </c>
      <c r="K104" s="28">
        <f t="shared" si="42"/>
        <v>0.97367824154548854</v>
      </c>
    </row>
    <row r="105" spans="1:11" ht="13.15" customHeight="1">
      <c r="A105" s="24" t="str">
        <f t="shared" si="41"/>
        <v>DCR USDA/HUD Fee</v>
      </c>
      <c r="B105" s="27">
        <f>IF(OR(B94=0,AND(B94=0,B93=0)),"",-B92/(B93+B94))</f>
        <v>1.2752467230447144</v>
      </c>
      <c r="C105" s="27">
        <f t="shared" ref="C105:K105" si="43">IF(OR(C94=0,AND(C94=0,C93=0)),"",-C92/(C93+C94))</f>
        <v>1.2478157593376749</v>
      </c>
      <c r="D105" s="27">
        <f t="shared" si="43"/>
        <v>1.2181829507196111</v>
      </c>
      <c r="E105" s="27">
        <f t="shared" si="43"/>
        <v>1.1862513950243303</v>
      </c>
      <c r="F105" s="27">
        <f t="shared" si="43"/>
        <v>1.1519032122945883</v>
      </c>
      <c r="G105" s="27">
        <f t="shared" si="43"/>
        <v>1.1150264477294647</v>
      </c>
      <c r="H105" s="27">
        <f t="shared" si="43"/>
        <v>1.0755029411415309</v>
      </c>
      <c r="I105" s="27">
        <f t="shared" si="43"/>
        <v>1.0331960320842226</v>
      </c>
      <c r="J105" s="27">
        <f t="shared" si="43"/>
        <v>0.9879735437707704</v>
      </c>
      <c r="K105" s="28">
        <f t="shared" si="43"/>
        <v>0.93968753557002838</v>
      </c>
    </row>
    <row r="106" spans="1:11" ht="13.15" customHeight="1">
      <c r="A106" s="24" t="str">
        <f t="shared" si="41"/>
        <v>DCR Second Mortgage</v>
      </c>
      <c r="B106" s="27">
        <f>IF(OR(B95=0,AND(B95=0,B94=0,B93=0)),"",-B92/(B93+B94+B95))</f>
        <v>1.200875865050989</v>
      </c>
      <c r="C106" s="27">
        <f t="shared" ref="C106:K106" si="44">IF(OR(C95=0,AND(C95=0,C94=0,C93=0)),"",-C92/(C93+C94+C95))</f>
        <v>1.1819139558391087</v>
      </c>
      <c r="D106" s="27">
        <f t="shared" si="44"/>
        <v>1.1611793070272152</v>
      </c>
      <c r="E106" s="27">
        <f t="shared" si="44"/>
        <v>1.1385391321523657</v>
      </c>
      <c r="F106" s="27">
        <f t="shared" si="44"/>
        <v>1.1138343342924069</v>
      </c>
      <c r="G106" s="27">
        <f t="shared" si="44"/>
        <v>1.0868965321230555</v>
      </c>
      <c r="H106" s="27">
        <f t="shared" si="44"/>
        <v>1.0575373259838154</v>
      </c>
      <c r="I106" s="27">
        <f t="shared" si="44"/>
        <v>1.0255361923069664</v>
      </c>
      <c r="J106" s="27" t="str">
        <f t="shared" si="44"/>
        <v/>
      </c>
      <c r="K106" s="28" t="str">
        <f t="shared" si="44"/>
        <v/>
      </c>
    </row>
    <row r="107" spans="1:11" ht="13.15" customHeight="1">
      <c r="A107" s="24" t="str">
        <f t="shared" si="41"/>
        <v>DCR Third Mortgage</v>
      </c>
      <c r="B107" s="27" t="str">
        <f>IF(OR(B96=0,AND(B93=0,B94=0,B95=0,B96=0)),"",-B92/(B93+B94+B95+B96))</f>
        <v/>
      </c>
      <c r="C107" s="27" t="str">
        <f t="shared" ref="C107:K107" si="45">IF(OR(C96=0,AND(C93=0,C94=0,C95=0,C96=0)),"",-C92/(C93+C94+C95+C96))</f>
        <v/>
      </c>
      <c r="D107" s="27" t="str">
        <f t="shared" si="45"/>
        <v/>
      </c>
      <c r="E107" s="27" t="str">
        <f t="shared" si="45"/>
        <v/>
      </c>
      <c r="F107" s="27" t="str">
        <f t="shared" si="45"/>
        <v/>
      </c>
      <c r="G107" s="27" t="str">
        <f t="shared" si="45"/>
        <v/>
      </c>
      <c r="H107" s="27" t="str">
        <f t="shared" si="45"/>
        <v/>
      </c>
      <c r="I107" s="27" t="str">
        <f t="shared" si="45"/>
        <v/>
      </c>
      <c r="J107" s="27" t="str">
        <f t="shared" si="45"/>
        <v/>
      </c>
      <c r="K107" s="28" t="str">
        <f t="shared" si="45"/>
        <v/>
      </c>
    </row>
    <row r="108" spans="1:11" ht="13.15" customHeight="1">
      <c r="A108" s="24" t="str">
        <f t="shared" si="41"/>
        <v>DCR Other Source</v>
      </c>
      <c r="B108" s="27" t="str">
        <f>IF(OR(B97=0,AND(B93=0,B94=0,B95=0,B96=0,B97=0)),"",-B92/(B93+B94+B95+B96+B97))</f>
        <v/>
      </c>
      <c r="C108" s="27" t="str">
        <f t="shared" ref="C108:K108" si="46">IF(OR(C97=0,AND(C93=0,C94=0,C95=0,C96=0,C97=0)),"",-C92/(C93+C94+C95+C96+C97))</f>
        <v/>
      </c>
      <c r="D108" s="27" t="str">
        <f t="shared" si="46"/>
        <v/>
      </c>
      <c r="E108" s="27" t="str">
        <f t="shared" si="46"/>
        <v/>
      </c>
      <c r="F108" s="27" t="str">
        <f t="shared" si="46"/>
        <v/>
      </c>
      <c r="G108" s="27" t="str">
        <f t="shared" si="46"/>
        <v/>
      </c>
      <c r="H108" s="27" t="str">
        <f t="shared" si="46"/>
        <v/>
      </c>
      <c r="I108" s="27" t="str">
        <f t="shared" si="46"/>
        <v/>
      </c>
      <c r="J108" s="27" t="str">
        <f t="shared" si="46"/>
        <v/>
      </c>
      <c r="K108" s="28" t="str">
        <f t="shared" si="46"/>
        <v/>
      </c>
    </row>
    <row r="109" spans="1:11" ht="13.15" customHeight="1">
      <c r="A109" s="24" t="str">
        <f t="shared" si="41"/>
        <v>DCR Other Source</v>
      </c>
      <c r="B109" s="27" t="str">
        <f>IF(OR(B98=0,AND(B93=0,B94=0,B95=0,B96=0,B97=0,B98=0)),"",-B92/(B93+B94+B95+B96+B97+B98))</f>
        <v/>
      </c>
      <c r="C109" s="27" t="str">
        <f t="shared" ref="C109:K109" si="47">IF(OR(C98=0,AND(C93=0,C94=0,C95=0,C96=0,C97=0,C98=0)),"",-C92/(C93+C94+C95+C96+C97+C98))</f>
        <v/>
      </c>
      <c r="D109" s="27" t="str">
        <f t="shared" si="47"/>
        <v/>
      </c>
      <c r="E109" s="27" t="str">
        <f t="shared" si="47"/>
        <v/>
      </c>
      <c r="F109" s="27" t="str">
        <f t="shared" si="47"/>
        <v/>
      </c>
      <c r="G109" s="27" t="str">
        <f t="shared" si="47"/>
        <v/>
      </c>
      <c r="H109" s="27" t="str">
        <f t="shared" si="47"/>
        <v/>
      </c>
      <c r="I109" s="27" t="str">
        <f t="shared" si="47"/>
        <v/>
      </c>
      <c r="J109" s="27" t="str">
        <f t="shared" si="47"/>
        <v/>
      </c>
      <c r="K109" s="28" t="str">
        <f t="shared" si="47"/>
        <v/>
      </c>
    </row>
    <row r="110" spans="1:11" ht="13.15" customHeight="1">
      <c r="A110" s="24" t="s">
        <v>1345</v>
      </c>
      <c r="B110" s="379">
        <f>IF(OR(B90="Choose mgt fee",B90="Choose One!"),"",(B84+B85+B86+B87+B88) / -(B89+B90+B91))</f>
        <v>1.2151385885300059</v>
      </c>
      <c r="C110" s="379">
        <f t="shared" ref="C110:K110" si="48">IF(OR(C90="Choose mgt fee",C90="Choose One!"),"",(C84+C85+C86+C87+C88) / -(C89+C90+C91))</f>
        <v>1.2042647659328078</v>
      </c>
      <c r="D110" s="379">
        <f t="shared" si="48"/>
        <v>1.1934794108203284</v>
      </c>
      <c r="E110" s="379">
        <f t="shared" si="48"/>
        <v>1.1827834077642982</v>
      </c>
      <c r="F110" s="379">
        <f t="shared" si="48"/>
        <v>1.1721747010308843</v>
      </c>
      <c r="G110" s="379">
        <f t="shared" si="48"/>
        <v>1.1616534412353396</v>
      </c>
      <c r="H110" s="379">
        <f t="shared" si="48"/>
        <v>1.1512196895983895</v>
      </c>
      <c r="I110" s="379">
        <f t="shared" si="48"/>
        <v>1.1408715894514025</v>
      </c>
      <c r="J110" s="379">
        <f t="shared" si="48"/>
        <v>1.1306092492969941</v>
      </c>
      <c r="K110" s="380">
        <f t="shared" si="48"/>
        <v>1.1204315590841676</v>
      </c>
    </row>
    <row r="111" spans="1:11" ht="13.15" customHeight="1">
      <c r="A111" s="24" t="str">
        <f>IF('Part III A-Sources of Funds'!$E$32 = "Neither", "", "First Mortgage Balance")</f>
        <v>First Mortgage Balance</v>
      </c>
      <c r="B111" s="1289">
        <v>2765707.7911525811</v>
      </c>
      <c r="C111" s="1289">
        <v>2685164.3927300838</v>
      </c>
      <c r="D111" s="1289">
        <v>2599653.2537327567</v>
      </c>
      <c r="E111" s="1289">
        <v>2508867.9747920334</v>
      </c>
      <c r="F111" s="1289">
        <v>2412483.2584967385</v>
      </c>
      <c r="G111" s="1289">
        <v>2310153.7438031691</v>
      </c>
      <c r="H111" s="1289">
        <v>2201512.7685541445</v>
      </c>
      <c r="I111" s="1289">
        <v>2086171.0556729352</v>
      </c>
      <c r="J111" s="1289">
        <v>1963715.3183245095</v>
      </c>
      <c r="K111" s="1289">
        <v>1833706.7790461795</v>
      </c>
    </row>
    <row r="112" spans="1:11" ht="13.15" customHeight="1">
      <c r="A112" s="24" t="str">
        <f>IF('Part III A-Sources of Funds'!$E$32 = "Neither", "First Mortgage Balance", "Second Mortgage Balance")</f>
        <v>Second Mortgage Balance</v>
      </c>
      <c r="B112" s="1286">
        <v>6201228.6392860366</v>
      </c>
      <c r="C112" s="1286">
        <v>6249144.665181688</v>
      </c>
      <c r="D112" s="1286">
        <v>6299279.5830136184</v>
      </c>
      <c r="E112" s="1286">
        <v>6351784.7939893976</v>
      </c>
      <c r="F112" s="1286">
        <v>6406818.9938267497</v>
      </c>
      <c r="G112" s="1286">
        <v>6464547.7450757865</v>
      </c>
      <c r="H112" s="1286">
        <v>6525143.7286356594</v>
      </c>
      <c r="I112" s="1286">
        <v>6588787.6814265307</v>
      </c>
      <c r="J112" s="1286">
        <v>6654978.384768079</v>
      </c>
      <c r="K112" s="1286">
        <v>6721834.0373264914</v>
      </c>
    </row>
    <row r="113" spans="1:11" ht="13.15" customHeight="1">
      <c r="A113" s="24" t="str">
        <f>IF('Part III A-Sources of Funds'!$E$32 = "Neither", "Second Mortgage Balance", "Third Mortgage Balance")</f>
        <v>Third Mortgage Balance</v>
      </c>
      <c r="B113" s="1286" t="str">
        <f>IF('Part III A-Sources of Funds'!$H$34="","",-FV('Part III A-Sources of Funds'!$J$34/12,12,B96/12,K78))</f>
        <v/>
      </c>
      <c r="C113" s="1286" t="str">
        <f>IF('Part III A-Sources of Funds'!$H$34="","",-FV('Part III A-Sources of Funds'!$J$34/12,12,C96/12,B113))</f>
        <v/>
      </c>
      <c r="D113" s="1286" t="str">
        <f>IF('Part III A-Sources of Funds'!$H$34="","",-FV('Part III A-Sources of Funds'!$J$34/12,12,D96/12,C113))</f>
        <v/>
      </c>
      <c r="E113" s="1286" t="str">
        <f>IF('Part III A-Sources of Funds'!$H$34="","",-FV('Part III A-Sources of Funds'!$J$34/12,12,E96/12,D113))</f>
        <v/>
      </c>
      <c r="F113" s="1286" t="str">
        <f>IF('Part III A-Sources of Funds'!$H$34="","",-FV('Part III A-Sources of Funds'!$J$34/12,12,F96/12,E113))</f>
        <v/>
      </c>
      <c r="G113" s="1286" t="str">
        <f>IF('Part III A-Sources of Funds'!$H$34="","",-FV('Part III A-Sources of Funds'!$J$34/12,12,G96/12,F113))</f>
        <v/>
      </c>
      <c r="H113" s="1286" t="str">
        <f>IF('Part III A-Sources of Funds'!$H$34="","",-FV('Part III A-Sources of Funds'!$J$34/12,12,H96/12,G113))</f>
        <v/>
      </c>
      <c r="I113" s="1286" t="str">
        <f>IF('Part III A-Sources of Funds'!$H$34="","",-FV('Part III A-Sources of Funds'!$J$34/12,12,I96/12,H113))</f>
        <v/>
      </c>
      <c r="J113" s="1286" t="str">
        <f>IF('Part III A-Sources of Funds'!$H$34="","",-FV('Part III A-Sources of Funds'!$J$34/12,12,J96/12,I113))</f>
        <v/>
      </c>
      <c r="K113" s="1286" t="str">
        <f>IF('Part III A-Sources of Funds'!$H$34="","",-FV('Part III A-Sources of Funds'!$J$34/12,12,K96/12,J113))</f>
        <v/>
      </c>
    </row>
    <row r="114" spans="1:11" ht="13.15" customHeight="1">
      <c r="A114" s="24" t="s">
        <v>1364</v>
      </c>
      <c r="B114" s="1286" t="str">
        <f>IF('Part III A-Sources of Funds'!$H$35="","",-FV('Part III A-Sources of Funds'!$J$35/12,12,B97/12,K79))</f>
        <v/>
      </c>
      <c r="C114" s="1286" t="str">
        <f>IF('Part III A-Sources of Funds'!$H$35="","",-FV('Part III A-Sources of Funds'!$J$35/12,12,C97/12,B114))</f>
        <v/>
      </c>
      <c r="D114" s="1286" t="str">
        <f>IF('Part III A-Sources of Funds'!$H$35="","",-FV('Part III A-Sources of Funds'!$J$35/12,12,D97/12,C114))</f>
        <v/>
      </c>
      <c r="E114" s="1286" t="str">
        <f>IF('Part III A-Sources of Funds'!$H$35="","",-FV('Part III A-Sources of Funds'!$J$35/12,12,E97/12,D114))</f>
        <v/>
      </c>
      <c r="F114" s="1286" t="str">
        <f>IF('Part III A-Sources of Funds'!$H$35="","",-FV('Part III A-Sources of Funds'!$J$35/12,12,F97/12,E114))</f>
        <v/>
      </c>
      <c r="G114" s="1286" t="str">
        <f>IF('Part III A-Sources of Funds'!$H$35="","",-FV('Part III A-Sources of Funds'!$J$35/12,12,G97/12,F114))</f>
        <v/>
      </c>
      <c r="H114" s="1286" t="str">
        <f>IF('Part III A-Sources of Funds'!$H$35="","",-FV('Part III A-Sources of Funds'!$J$35/12,12,H97/12,G114))</f>
        <v/>
      </c>
      <c r="I114" s="1286" t="str">
        <f>IF('Part III A-Sources of Funds'!$H$35="","",-FV('Part III A-Sources of Funds'!$J$35/12,12,I97/12,H114))</f>
        <v/>
      </c>
      <c r="J114" s="1286" t="str">
        <f>IF('Part III A-Sources of Funds'!$H$35="","",-FV('Part III A-Sources of Funds'!$J$35/12,12,J97/12,I114))</f>
        <v/>
      </c>
      <c r="K114" s="1286" t="str">
        <f>IF('Part III A-Sources of Funds'!$H$35="","",-FV('Part III A-Sources of Funds'!$J$35/12,12,K97/12,J114))</f>
        <v/>
      </c>
    </row>
    <row r="115" spans="1:11" ht="13.15" customHeight="1">
      <c r="A115" s="24" t="s">
        <v>1364</v>
      </c>
      <c r="B115" s="1286" t="str">
        <f>IF('Part III A-Sources of Funds'!$H$36="","",-FV('Part III A-Sources of Funds'!$J$36/12,12,B98/12,K80))</f>
        <v/>
      </c>
      <c r="C115" s="1286" t="str">
        <f>IF('Part III A-Sources of Funds'!$H$36="","",-FV('Part III A-Sources of Funds'!$J$36/12,12,C98/12,B115))</f>
        <v/>
      </c>
      <c r="D115" s="1286" t="str">
        <f>IF('Part III A-Sources of Funds'!$H$36="","",-FV('Part III A-Sources of Funds'!$J$36/12,12,D98/12,C115))</f>
        <v/>
      </c>
      <c r="E115" s="1286" t="str">
        <f>IF('Part III A-Sources of Funds'!$H$36="","",-FV('Part III A-Sources of Funds'!$J$36/12,12,E98/12,D115))</f>
        <v/>
      </c>
      <c r="F115" s="1286" t="str">
        <f>IF('Part III A-Sources of Funds'!$H$36="","",-FV('Part III A-Sources of Funds'!$J$36/12,12,F98/12,E115))</f>
        <v/>
      </c>
      <c r="G115" s="1286" t="str">
        <f>IF('Part III A-Sources of Funds'!$H$36="","",-FV('Part III A-Sources of Funds'!$J$36/12,12,G98/12,F115))</f>
        <v/>
      </c>
      <c r="H115" s="1286" t="str">
        <f>IF('Part III A-Sources of Funds'!$H$36="","",-FV('Part III A-Sources of Funds'!$J$36/12,12,H98/12,G115))</f>
        <v/>
      </c>
      <c r="I115" s="1286" t="str">
        <f>IF('Part III A-Sources of Funds'!$H$36="","",-FV('Part III A-Sources of Funds'!$J$36/12,12,I98/12,H115))</f>
        <v/>
      </c>
      <c r="J115" s="1286" t="str">
        <f>IF('Part III A-Sources of Funds'!$H$36="","",-FV('Part III A-Sources of Funds'!$J$36/12,12,J98/12,I115))</f>
        <v/>
      </c>
      <c r="K115" s="1286" t="str">
        <f>IF('Part III A-Sources of Funds'!$H$36="","",-FV('Part III A-Sources of Funds'!$J$36/12,12,K98/12,J115))</f>
        <v/>
      </c>
    </row>
    <row r="116" spans="1:11" ht="13.15" customHeight="1">
      <c r="A116" s="29" t="s">
        <v>1899</v>
      </c>
      <c r="B116" s="1288">
        <v>0</v>
      </c>
      <c r="C116" s="1288">
        <v>0</v>
      </c>
      <c r="D116" s="1288">
        <v>0</v>
      </c>
      <c r="E116" s="1288">
        <v>0</v>
      </c>
      <c r="F116" s="1288">
        <v>0</v>
      </c>
      <c r="G116" s="1288">
        <v>0</v>
      </c>
      <c r="H116" s="1288">
        <v>0</v>
      </c>
      <c r="I116" s="1288">
        <v>0</v>
      </c>
      <c r="J116" s="1288">
        <v>0</v>
      </c>
      <c r="K116" s="1288">
        <v>0</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1833112.4140052665</v>
      </c>
      <c r="C119" s="22">
        <f>$B$14*(1+$B$5)^(C118-1)</f>
        <v>1869774.6622853715</v>
      </c>
      <c r="D119" s="22">
        <f>$B$14*(1+$B$5)^(D118-1)</f>
        <v>1907170.1555310793</v>
      </c>
      <c r="E119" s="22">
        <f>$B$14*(1+$B$5)^(E118-1)</f>
        <v>1945313.558641701</v>
      </c>
      <c r="F119" s="23">
        <f>$B$14*(1+$B$5)^(F118-1)</f>
        <v>1984219.8298145349</v>
      </c>
      <c r="G119" s="31"/>
      <c r="H119" s="31"/>
      <c r="I119" s="31"/>
      <c r="J119" s="31"/>
      <c r="K119" s="31"/>
    </row>
    <row r="120" spans="1:11" ht="13.15" customHeight="1">
      <c r="A120" s="24" t="s">
        <v>1632</v>
      </c>
      <c r="B120" s="25">
        <f>$B$15*(1+$B$5)^(B118-1)</f>
        <v>36662.248280105334</v>
      </c>
      <c r="C120" s="25">
        <f>$B$15*(1+$B$5)^(C118-1)</f>
        <v>37395.493245707432</v>
      </c>
      <c r="D120" s="25">
        <f>$B$15*(1+$B$5)^(D118-1)</f>
        <v>38143.403110621584</v>
      </c>
      <c r="E120" s="25">
        <f>$B$15*(1+$B$5)^(E118-1)</f>
        <v>38906.271172834022</v>
      </c>
      <c r="F120" s="26">
        <f>$B$15*(1+$B$5)^(F118-1)</f>
        <v>39684.396596290695</v>
      </c>
      <c r="G120" s="31"/>
      <c r="H120" s="31"/>
      <c r="I120" s="31"/>
      <c r="J120" s="31"/>
      <c r="K120" s="31"/>
    </row>
    <row r="121" spans="1:11" ht="13.15" customHeight="1">
      <c r="A121" s="24" t="s">
        <v>3643</v>
      </c>
      <c r="B121" s="25">
        <f>-(B119+B120)*$B$8</f>
        <v>-130884.22635997605</v>
      </c>
      <c r="C121" s="25">
        <f>-(C119+C120)*$B$8</f>
        <v>-133501.91088717553</v>
      </c>
      <c r="D121" s="25">
        <f>-(D119+D120)*$B$8</f>
        <v>-136171.94910491907</v>
      </c>
      <c r="E121" s="25">
        <f>-(E119+E120)*$B$8</f>
        <v>-138895.38808701746</v>
      </c>
      <c r="F121" s="26">
        <f>-(F119+F120)*$B$8</f>
        <v>-141673.29584875779</v>
      </c>
      <c r="G121" s="31"/>
      <c r="H121" s="31"/>
      <c r="I121" s="31"/>
      <c r="J121" s="31"/>
      <c r="K121" s="31"/>
    </row>
    <row r="122" spans="1:11" ht="13.15" customHeight="1">
      <c r="A122" s="24" t="s">
        <v>61</v>
      </c>
      <c r="B122" s="1290"/>
      <c r="C122" s="1290"/>
      <c r="D122" s="1290"/>
      <c r="E122" s="1290"/>
      <c r="F122" s="1290"/>
      <c r="G122" s="31"/>
      <c r="H122" s="31"/>
      <c r="I122" s="31"/>
      <c r="J122" s="31"/>
      <c r="K122" s="31"/>
    </row>
    <row r="123" spans="1:11" ht="13.15" customHeight="1">
      <c r="A123" s="24" t="s">
        <v>62</v>
      </c>
      <c r="B123" s="1290"/>
      <c r="C123" s="1290"/>
      <c r="D123" s="1290"/>
      <c r="E123" s="1290"/>
      <c r="F123" s="1290"/>
      <c r="G123" s="31"/>
      <c r="H123" s="31"/>
      <c r="I123" s="31"/>
      <c r="J123" s="31"/>
      <c r="K123" s="31"/>
    </row>
    <row r="124" spans="1:11" ht="13.15" customHeight="1">
      <c r="A124" s="24" t="s">
        <v>948</v>
      </c>
      <c r="B124" s="25">
        <f>$B$19*(1+$B$6)^(B118-1)</f>
        <v>-1741288.9696818071</v>
      </c>
      <c r="C124" s="25">
        <f>$B$19*(1+$B$6)^(C118-1)</f>
        <v>-1793527.6387722616</v>
      </c>
      <c r="D124" s="25">
        <f>$B$19*(1+$B$6)^(D118-1)</f>
        <v>-1847333.4679354292</v>
      </c>
      <c r="E124" s="25">
        <f>$B$19*(1+$B$6)^(E118-1)</f>
        <v>-1902753.4719734921</v>
      </c>
      <c r="F124" s="26">
        <f>$B$19*(1+$B$6)^(F118-1)</f>
        <v>-1959836.0761326966</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-113028</v>
      </c>
      <c r="C125" s="25">
        <f>IF(AND('Part VII-Pro Forma'!$G$8="Yes",'Part VII-Pro Forma'!$G$9="Yes"),"Choose One!",IF('Part VII-Pro Forma'!$G$8="Yes",ROUND((-$K$8*(1+'Part VII-Pro Forma'!$B$6)^('Part VII-Pro Forma'!C118-1)),),IF('Part VII-Pro Forma'!$G$9="Yes",ROUND((-(SUM(C119:C122)*'Part VII-Pro Forma'!$K$9)),),"Choose mgt fee")))</f>
        <v>-115288</v>
      </c>
      <c r="D125" s="25">
        <f>IF(AND('Part VII-Pro Forma'!$G$8="Yes",'Part VII-Pro Forma'!$G$9="Yes"),"Choose One!",IF('Part VII-Pro Forma'!$G$8="Yes",ROUND((-$K$8*(1+'Part VII-Pro Forma'!$B$6)^('Part VII-Pro Forma'!D118-1)),),IF('Part VII-Pro Forma'!$G$9="Yes",ROUND((-(SUM(D119:D122)*'Part VII-Pro Forma'!$K$9)),),"Choose mgt fee")))</f>
        <v>-117594</v>
      </c>
      <c r="E125" s="25">
        <f>IF(AND('Part VII-Pro Forma'!$G$8="Yes",'Part VII-Pro Forma'!$G$9="Yes"),"Choose One!",IF('Part VII-Pro Forma'!$G$8="Yes",ROUND((-$K$8*(1+'Part VII-Pro Forma'!$B$6)^('Part VII-Pro Forma'!E118-1)),),IF('Part VII-Pro Forma'!$G$9="Yes",ROUND((-(SUM(E119:E122)*'Part VII-Pro Forma'!$K$9)),),"Choose mgt fee")))</f>
        <v>-119946</v>
      </c>
      <c r="F125" s="25">
        <f>IF(AND('Part VII-Pro Forma'!$G$8="Yes",'Part VII-Pro Forma'!$G$9="Yes"),"Choose One!",IF('Part VII-Pro Forma'!$G$8="Yes",ROUND((-$K$8*(1+'Part VII-Pro Forma'!$B$6)^('Part VII-Pro Forma'!F118-1)),),IF('Part VII-Pro Forma'!$G$9="Yes",ROUND((-(SUM(F119:F122)*'Part VII-Pro Forma'!$K$9)),),"Choose mgt fee")))</f>
        <v>-122345</v>
      </c>
      <c r="G125" s="31"/>
      <c r="H125" s="31"/>
      <c r="I125" s="31"/>
      <c r="J125" s="31"/>
      <c r="K125" s="31"/>
    </row>
    <row r="126" spans="1:11" ht="13.15" customHeight="1">
      <c r="A126" s="24" t="s">
        <v>1862</v>
      </c>
      <c r="B126" s="25">
        <f>$B$21*(1+$B$7)^(B118-1)</f>
        <v>-144907.56953002265</v>
      </c>
      <c r="C126" s="25">
        <f>$B$21*(1+$B$7)^(C118-1)</f>
        <v>-149254.79661592335</v>
      </c>
      <c r="D126" s="25">
        <f>$B$21*(1+$B$7)^(D118-1)</f>
        <v>-153732.44051440101</v>
      </c>
      <c r="E126" s="25">
        <f>$B$21*(1+$B$7)^(E118-1)</f>
        <v>-158344.41372983306</v>
      </c>
      <c r="F126" s="26">
        <f>$B$21*(1+$B$7)^(F118-1)</f>
        <v>-163094.74614172801</v>
      </c>
      <c r="G126" s="31"/>
      <c r="H126" s="31"/>
      <c r="I126" s="31"/>
      <c r="J126" s="31"/>
      <c r="K126" s="31"/>
    </row>
    <row r="127" spans="1:11" ht="13.15" customHeight="1">
      <c r="A127" s="24" t="s">
        <v>1863</v>
      </c>
      <c r="B127" s="25">
        <f>SUM(B119:B126)</f>
        <v>-260334.10328643382</v>
      </c>
      <c r="C127" s="25">
        <f>SUM(C119:C126)</f>
        <v>-284402.19074428157</v>
      </c>
      <c r="D127" s="25">
        <f>SUM(D119:D126)</f>
        <v>-309518.29891304852</v>
      </c>
      <c r="E127" s="25">
        <f>SUM(E119:E126)</f>
        <v>-335719.44397580752</v>
      </c>
      <c r="F127" s="26">
        <f>SUM(F119:F126)</f>
        <v>-363044.89171235682</v>
      </c>
      <c r="G127" s="31"/>
      <c r="H127" s="31"/>
      <c r="I127" s="31"/>
      <c r="J127" s="31"/>
      <c r="K127" s="31"/>
    </row>
    <row r="128" spans="1:11" ht="13.15" customHeight="1">
      <c r="A128" s="24" t="str">
        <f t="shared" ref="A128:A133" si="49">$A93</f>
        <v>D/S USDA/HUD Mortgage</v>
      </c>
      <c r="B128" s="286">
        <f>IF('Part III A-Sources of Funds'!$M$32="", 0,-'Part III A-Sources of Funds'!$M$32)</f>
        <v>-244294.8564282002</v>
      </c>
      <c r="C128" s="286">
        <f>IF('Part III A-Sources of Funds'!$M$32="", 0,-'Part III A-Sources of Funds'!$M$32)</f>
        <v>-244294.8564282002</v>
      </c>
      <c r="D128" s="286">
        <f>IF('Part III A-Sources of Funds'!$M$32="", 0,-'Part III A-Sources of Funds'!$M$32)</f>
        <v>-244294.8564282002</v>
      </c>
      <c r="E128" s="286">
        <f>IF('Part III A-Sources of Funds'!$M$32="", 0,-'Part III A-Sources of Funds'!$M$32)</f>
        <v>-244294.8564282002</v>
      </c>
      <c r="F128" s="286">
        <f>IF('Part III A-Sources of Funds'!$M$32="", 0,-'Part III A-Sources of Funds'!$M$32)</f>
        <v>-244294.8564282002</v>
      </c>
      <c r="G128" s="31"/>
      <c r="H128" s="31"/>
      <c r="I128" s="31"/>
      <c r="J128" s="31"/>
      <c r="K128" s="31"/>
    </row>
    <row r="129" spans="1:12" ht="13.15" customHeight="1">
      <c r="A129" s="24" t="str">
        <f t="shared" si="49"/>
        <v>HUD MIP</v>
      </c>
      <c r="B129" s="287">
        <f>IF('Part III A-Sources of Funds'!$E$32="USDA 538 Loan", -'Part III B-USDA 538 Loan'!$C47,IF('Part III A-Sources of Funds'!$E$32="HUD Insured Loan", -'Part III C-HUD Insured Loan'!$E38,0))</f>
        <v>-8251.6805057073216</v>
      </c>
      <c r="C129" s="287">
        <f>IF('Part III A-Sources of Funds'!$E$32="USDA 538 Loan", -'Part III B-USDA 538 Loan'!$C48,IF('Part III A-Sources of Funds'!$E$32="HUD Insured Loan", -'Part III C-HUD Insured Loan'!$E39,0))</f>
        <v>-7630.5581889360456</v>
      </c>
      <c r="D129" s="287">
        <f>IF('Part III A-Sources of Funds'!$E$32="USDA 538 Loan", -'Part III B-USDA 538 Loan'!$C49,IF('Part III A-Sources of Funds'!$E$32="HUD Insured Loan", -'Part III C-HUD Insured Loan'!$E40,0))</f>
        <v>-6971.1264067661068</v>
      </c>
      <c r="E129" s="287">
        <f>IF('Part III A-Sources of Funds'!$E$32="USDA 538 Loan", -'Part III B-USDA 538 Loan'!$C50,IF('Part III A-Sources of Funds'!$E$32="HUD Insured Loan", -'Part III C-HUD Insured Loan'!$E41,0))</f>
        <v>-6271.0223151980217</v>
      </c>
      <c r="F129" s="287">
        <f>IF('Part III A-Sources of Funds'!$E$32="USDA 538 Loan", -'Part III B-USDA 538 Loan'!$C51,IF('Part III A-Sources of Funds'!$E$32="HUD Insured Loan", -'Part III C-HUD Insured Loan'!$E42,0))</f>
        <v>-5527.7373351846336</v>
      </c>
      <c r="G129" s="31"/>
      <c r="H129" s="31"/>
      <c r="I129" s="31"/>
      <c r="J129" s="31"/>
      <c r="K129" s="31"/>
    </row>
    <row r="130" spans="1:12" ht="13.15" customHeight="1">
      <c r="A130" s="24" t="str">
        <f t="shared" si="49"/>
        <v>D/S Mortgage B</v>
      </c>
      <c r="B130" s="1285">
        <v>0</v>
      </c>
      <c r="C130" s="1285">
        <v>0</v>
      </c>
      <c r="D130" s="1285">
        <v>0</v>
      </c>
      <c r="E130" s="1285">
        <v>0</v>
      </c>
      <c r="F130" s="1285">
        <v>0</v>
      </c>
      <c r="G130" s="31"/>
      <c r="H130" s="31"/>
      <c r="I130" s="31"/>
      <c r="J130" s="31"/>
      <c r="K130" s="31"/>
    </row>
    <row r="131" spans="1:12" ht="13.15" customHeight="1">
      <c r="A131" s="24" t="str">
        <f t="shared" si="49"/>
        <v>D/S Mortgage C</v>
      </c>
      <c r="B131" s="1286">
        <v>0</v>
      </c>
      <c r="C131" s="1286">
        <v>0</v>
      </c>
      <c r="D131" s="1286">
        <v>0</v>
      </c>
      <c r="E131" s="1286">
        <v>0</v>
      </c>
      <c r="F131" s="1286">
        <v>0</v>
      </c>
      <c r="G131" s="31"/>
      <c r="H131" s="31"/>
      <c r="I131" s="31"/>
      <c r="J131" s="31"/>
      <c r="K131" s="31"/>
    </row>
    <row r="132" spans="1:12" ht="13.15" customHeight="1">
      <c r="A132" s="24" t="str">
        <f t="shared" si="49"/>
        <v>D/S Other Source</v>
      </c>
      <c r="B132" s="1286">
        <v>0</v>
      </c>
      <c r="C132" s="1286">
        <v>0</v>
      </c>
      <c r="D132" s="1286">
        <v>0</v>
      </c>
      <c r="E132" s="1286">
        <v>0</v>
      </c>
      <c r="F132" s="1286">
        <v>0</v>
      </c>
      <c r="G132" s="31"/>
      <c r="H132" s="31"/>
      <c r="I132" s="31"/>
      <c r="J132" s="31"/>
      <c r="K132" s="31"/>
    </row>
    <row r="133" spans="1:12" ht="13.15" customHeight="1">
      <c r="A133" s="24" t="str">
        <f t="shared" si="49"/>
        <v>D/S Grant from fdn / charity</v>
      </c>
      <c r="B133" s="1286">
        <v>0</v>
      </c>
      <c r="C133" s="1286">
        <v>0</v>
      </c>
      <c r="D133" s="1286">
        <v>0</v>
      </c>
      <c r="E133" s="1286">
        <v>0</v>
      </c>
      <c r="F133" s="1286">
        <v>0</v>
      </c>
      <c r="G133" s="31"/>
      <c r="H133" s="31"/>
      <c r="I133" s="31"/>
      <c r="J133" s="31"/>
      <c r="K133" s="31"/>
    </row>
    <row r="134" spans="1:12" ht="13.15" customHeight="1">
      <c r="A134" s="24" t="s">
        <v>1336</v>
      </c>
      <c r="B134" s="1287"/>
      <c r="C134" s="1287"/>
      <c r="D134" s="1287"/>
      <c r="E134" s="1287"/>
      <c r="F134" s="1287"/>
      <c r="G134" s="31"/>
      <c r="H134" s="31"/>
      <c r="I134" s="31"/>
      <c r="J134" s="31"/>
      <c r="K134" s="31"/>
    </row>
    <row r="135" spans="1:12" ht="13.15" customHeight="1">
      <c r="A135" s="24" t="s">
        <v>1807</v>
      </c>
      <c r="B135" s="1286">
        <v>-36408.937067844934</v>
      </c>
      <c r="C135" s="1286">
        <v>-37501.205179880286</v>
      </c>
      <c r="D135" s="1286">
        <v>-38626.241335276696</v>
      </c>
      <c r="E135" s="1286">
        <v>-39785.028575334996</v>
      </c>
      <c r="F135" s="1286">
        <v>-40978.579432595048</v>
      </c>
      <c r="G135" s="31"/>
      <c r="H135" s="31"/>
      <c r="I135" s="31"/>
      <c r="J135" s="31"/>
      <c r="K135" s="31"/>
    </row>
    <row r="136" spans="1:12" ht="13.15" customHeight="1">
      <c r="A136" s="24" t="s">
        <v>1864</v>
      </c>
      <c r="B136" s="1286">
        <v>0</v>
      </c>
      <c r="C136" s="1286">
        <v>0</v>
      </c>
      <c r="D136" s="1286">
        <v>0</v>
      </c>
      <c r="E136" s="1286">
        <v>0</v>
      </c>
      <c r="F136" s="1286">
        <v>0</v>
      </c>
      <c r="G136" s="31"/>
      <c r="H136" s="31"/>
      <c r="I136" s="31"/>
      <c r="J136" s="31"/>
      <c r="K136" s="31"/>
    </row>
    <row r="137" spans="1:12" ht="13.15" customHeight="1">
      <c r="A137" s="24" t="s">
        <v>1808</v>
      </c>
      <c r="B137" s="1288">
        <v>0</v>
      </c>
      <c r="C137" s="1288">
        <v>0</v>
      </c>
      <c r="D137" s="1288">
        <v>0</v>
      </c>
      <c r="E137" s="1288">
        <v>0</v>
      </c>
      <c r="F137" s="1288">
        <v>0</v>
      </c>
      <c r="G137" s="31"/>
      <c r="H137" s="31"/>
      <c r="I137" s="31"/>
      <c r="J137" s="31"/>
      <c r="K137" s="31"/>
    </row>
    <row r="138" spans="1:12" ht="13.15" customHeight="1">
      <c r="A138" s="24" t="s">
        <v>1809</v>
      </c>
      <c r="B138" s="25">
        <f>SUM(B127:B137)</f>
        <v>-549289.57728818629</v>
      </c>
      <c r="C138" s="25">
        <f>SUM(C127:C137)</f>
        <v>-573828.81054129812</v>
      </c>
      <c r="D138" s="25">
        <f>SUM(D127:D137)</f>
        <v>-599410.5230832916</v>
      </c>
      <c r="E138" s="25">
        <f>SUM(E127:E137)</f>
        <v>-626070.3512945408</v>
      </c>
      <c r="F138" s="26">
        <f>SUM(F127:F137)</f>
        <v>-653846.06490833662</v>
      </c>
      <c r="G138" s="31"/>
      <c r="H138" s="31"/>
      <c r="I138" s="31"/>
      <c r="J138" s="31"/>
      <c r="K138" s="31"/>
    </row>
    <row r="139" spans="1:12" ht="13.15" customHeight="1">
      <c r="A139" s="24" t="str">
        <f t="shared" ref="A139:A144" si="50">$A104</f>
        <v>DCR First Mortgage</v>
      </c>
      <c r="B139" s="27">
        <f>IF(B128=0,"",-B127/B128)</f>
        <v>-1.0656552785954692</v>
      </c>
      <c r="C139" s="27">
        <f>IF(C128=0,"",-C127/C128)</f>
        <v>-1.1641759261839766</v>
      </c>
      <c r="D139" s="27">
        <f>IF(D128=0,"",-D127/D128)</f>
        <v>-1.2669865564853506</v>
      </c>
      <c r="E139" s="27">
        <f>IF(E128=0,"",-E127/E128)</f>
        <v>-1.3742386920638159</v>
      </c>
      <c r="F139" s="28">
        <f>IF(F128=0,"",-F127/F128)</f>
        <v>-1.4860930640144607</v>
      </c>
      <c r="G139" s="31"/>
      <c r="H139" s="31"/>
      <c r="I139" s="31"/>
      <c r="J139" s="31"/>
      <c r="K139" s="31"/>
    </row>
    <row r="140" spans="1:12" ht="13.15" customHeight="1">
      <c r="A140" s="24" t="str">
        <f t="shared" si="50"/>
        <v>DCR USDA/HUD Fee</v>
      </c>
      <c r="B140" s="27">
        <f>IF(OR(B129=0,AND(B129=0,B128=0)),"",-B127/(B128+B129))</f>
        <v>-1.0308361636911469</v>
      </c>
      <c r="C140" s="27">
        <f>IF(OR(C129=0,AND(C129=0,C128=0)),"",-C127/(C128+C129))</f>
        <v>-1.1289142509758372</v>
      </c>
      <c r="D140" s="27">
        <f>IF(OR(D129=0,AND(D129=0,D128=0)),"",-D127/(D128+D129))</f>
        <v>-1.2318352664409127</v>
      </c>
      <c r="E140" s="27">
        <f>IF(OR(E129=0,AND(E129=0,E128=0)),"",-E127/(E128+E129))</f>
        <v>-1.3398450166457585</v>
      </c>
      <c r="F140" s="28">
        <f>IF(OR(F129=0,AND(F129=0,F128=0)),"",-F127/(F128+F129))</f>
        <v>-1.4532108014866283</v>
      </c>
      <c r="G140" s="27"/>
      <c r="H140" s="27"/>
      <c r="I140" s="27"/>
      <c r="J140" s="27"/>
      <c r="K140" s="27"/>
      <c r="L140" s="19"/>
    </row>
    <row r="141" spans="1:12" ht="13.15" customHeight="1">
      <c r="A141" s="24" t="str">
        <f t="shared" si="50"/>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0"/>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0"/>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0"/>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0.86978245905831697</v>
      </c>
      <c r="C145" s="379">
        <f>IF(OR(C125="Choose mgt fee",C125="Choose One!"),"",(C119+C120+C121+C122+C123) / -(C124+C125+C126))</f>
        <v>0.86181124520617358</v>
      </c>
      <c r="D145" s="379">
        <f>IF(OR(D125="Choose mgt fee",D125="Choose One!"),"",(D119+D120+D121+D122+D123) / -(D124+D125+D126))</f>
        <v>0.85390845520859693</v>
      </c>
      <c r="E145" s="379">
        <f>IF(OR(E125="Choose mgt fee",E125="Choose One!"),"",(E119+E120+E121+E122+E123) / -(E124+E125+E126))</f>
        <v>0.8460739620250477</v>
      </c>
      <c r="F145" s="380">
        <f>IF(OR(F125="Choose mgt fee",F125="Choose One!"),"",(F119+F120+F121+F122+F123) / -(F124+F125+F126))</f>
        <v>0.83830721904598837</v>
      </c>
      <c r="G145" s="31"/>
      <c r="H145" s="31"/>
      <c r="I145" s="31"/>
      <c r="J145" s="31"/>
      <c r="K145" s="31"/>
    </row>
    <row r="146" spans="1:14" ht="13.15" customHeight="1">
      <c r="A146" s="24" t="str">
        <f>IF('Part III A-Sources of Funds'!$E$32 = "Neither", "", "First Mortgage Balance")</f>
        <v>First Mortgage Balance</v>
      </c>
      <c r="B146" s="1289">
        <v>1695679.5975414624</v>
      </c>
      <c r="C146" s="1289">
        <v>1549139.2015037104</v>
      </c>
      <c r="D146" s="1289">
        <v>1393560.514488593</v>
      </c>
      <c r="E146" s="1289">
        <v>1228386.0744856317</v>
      </c>
      <c r="F146" s="1289">
        <v>1053024.0364473439</v>
      </c>
      <c r="G146" s="31"/>
      <c r="H146" s="31"/>
      <c r="I146" s="31"/>
      <c r="J146" s="31"/>
      <c r="K146" s="31"/>
    </row>
    <row r="147" spans="1:14" ht="13.15" customHeight="1">
      <c r="A147" s="24" t="str">
        <f>IF('Part III A-Sources of Funds'!$E$32 = "Neither", "First Mortgage Balance", "Second Mortgage Balance")</f>
        <v>Second Mortgage Balance</v>
      </c>
      <c r="B147" s="1286">
        <v>6789361.3191555925</v>
      </c>
      <c r="C147" s="1286">
        <v>6857566.9774167659</v>
      </c>
      <c r="D147" s="1286">
        <v>6926457.8270531157</v>
      </c>
      <c r="E147" s="1286">
        <v>6996040.7514703972</v>
      </c>
      <c r="F147" s="1286">
        <v>7066322.7032247903</v>
      </c>
      <c r="G147" s="31"/>
      <c r="H147" s="31"/>
      <c r="I147" s="31"/>
      <c r="J147" s="31"/>
      <c r="K147" s="31"/>
    </row>
    <row r="148" spans="1:14" ht="13.15" customHeight="1">
      <c r="A148" s="24" t="str">
        <f>IF('Part III A-Sources of Funds'!$E$32 = "Neither", "Second Mortgage Balance", "Third Mortgage Balance")</f>
        <v>Third Mortgage Balance</v>
      </c>
      <c r="B148" s="1286" t="str">
        <f>IF('Part III A-Sources of Funds'!$H$34="","",-FV('Part III A-Sources of Funds'!$J$34/12,12,B131/12,K113))</f>
        <v/>
      </c>
      <c r="C148" s="1286" t="str">
        <f>IF('Part III A-Sources of Funds'!$H$34="","",-FV('Part III A-Sources of Funds'!$J$34/12,12,C131/12,B148))</f>
        <v/>
      </c>
      <c r="D148" s="1286" t="str">
        <f>IF('Part III A-Sources of Funds'!$H$34="","",-FV('Part III A-Sources of Funds'!$J$34/12,12,D131/12,C148))</f>
        <v/>
      </c>
      <c r="E148" s="1286" t="str">
        <f>IF('Part III A-Sources of Funds'!$H$34="","",-FV('Part III A-Sources of Funds'!$J$34/12,12,E131/12,D148))</f>
        <v/>
      </c>
      <c r="F148" s="1286" t="str">
        <f>IF('Part III A-Sources of Funds'!$H$34="","",-FV('Part III A-Sources of Funds'!$J$34/12,12,F131/12,E148))</f>
        <v/>
      </c>
      <c r="G148" s="31"/>
      <c r="H148" s="31"/>
      <c r="I148" s="31"/>
      <c r="J148" s="31"/>
      <c r="K148" s="31"/>
    </row>
    <row r="149" spans="1:14" ht="13.15" customHeight="1">
      <c r="A149" s="24" t="s">
        <v>1364</v>
      </c>
      <c r="B149" s="1286" t="str">
        <f>IF('Part III A-Sources of Funds'!$H$35="","",-FV('Part III A-Sources of Funds'!$J$35/12,12,B132/12,K114))</f>
        <v/>
      </c>
      <c r="C149" s="1286" t="str">
        <f>IF('Part III A-Sources of Funds'!$H$35="","",-FV('Part III A-Sources of Funds'!$J$35/12,12,C132/12,B149))</f>
        <v/>
      </c>
      <c r="D149" s="1286" t="str">
        <f>IF('Part III A-Sources of Funds'!$H$35="","",-FV('Part III A-Sources of Funds'!$J$35/12,12,D132/12,C149))</f>
        <v/>
      </c>
      <c r="E149" s="1286" t="str">
        <f>IF('Part III A-Sources of Funds'!$H$35="","",-FV('Part III A-Sources of Funds'!$J$35/12,12,E132/12,D149))</f>
        <v/>
      </c>
      <c r="F149" s="1286" t="str">
        <f>IF('Part III A-Sources of Funds'!$H$35="","",-FV('Part III A-Sources of Funds'!$J$35/12,12,F132/12,E149))</f>
        <v/>
      </c>
      <c r="G149" s="31"/>
      <c r="H149" s="31"/>
      <c r="I149" s="31"/>
      <c r="J149" s="31"/>
      <c r="K149" s="31"/>
    </row>
    <row r="150" spans="1:14" ht="13.15" customHeight="1">
      <c r="A150" s="24" t="s">
        <v>1364</v>
      </c>
      <c r="B150" s="1286" t="str">
        <f>IF('Part III A-Sources of Funds'!$H$36="","",-FV('Part III A-Sources of Funds'!$J$36/12,12,B133/12,K115))</f>
        <v/>
      </c>
      <c r="C150" s="1286" t="str">
        <f>IF('Part III A-Sources of Funds'!$H$36="","",-FV('Part III A-Sources of Funds'!$J$36/12,12,C133/12,B150))</f>
        <v/>
      </c>
      <c r="D150" s="1286" t="str">
        <f>IF('Part III A-Sources of Funds'!$H$36="","",-FV('Part III A-Sources of Funds'!$J$36/12,12,D133/12,C150))</f>
        <v/>
      </c>
      <c r="E150" s="1286" t="str">
        <f>IF('Part III A-Sources of Funds'!$H$36="","",-FV('Part III A-Sources of Funds'!$J$36/12,12,E133/12,D150))</f>
        <v/>
      </c>
      <c r="F150" s="1286" t="str">
        <f>IF('Part III A-Sources of Funds'!$H$36="","",-FV('Part III A-Sources of Funds'!$J$36/12,12,F133/12,E150))</f>
        <v/>
      </c>
      <c r="G150" s="31"/>
      <c r="H150" s="31"/>
      <c r="I150" s="31"/>
      <c r="J150" s="31"/>
      <c r="K150" s="31"/>
    </row>
    <row r="151" spans="1:14" ht="13.15" customHeight="1">
      <c r="A151" s="29" t="s">
        <v>1899</v>
      </c>
      <c r="B151" s="1288">
        <v>0</v>
      </c>
      <c r="C151" s="1288">
        <v>0</v>
      </c>
      <c r="D151" s="1288">
        <v>0</v>
      </c>
      <c r="E151" s="1288">
        <v>0</v>
      </c>
      <c r="F151" s="1288">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1" t="s">
        <v>4116</v>
      </c>
      <c r="B155" s="1292"/>
      <c r="C155" s="1292"/>
      <c r="D155" s="1292"/>
      <c r="E155" s="1292"/>
      <c r="F155" s="1293"/>
      <c r="G155" s="1294"/>
      <c r="H155" s="1292"/>
      <c r="I155" s="1292"/>
      <c r="J155" s="1292"/>
      <c r="K155" s="1293"/>
    </row>
    <row r="156" spans="1:14" s="2" customFormat="1" ht="73.900000000000006" customHeight="1">
      <c r="A156" s="1295" t="s">
        <v>4041</v>
      </c>
      <c r="B156" s="1296"/>
      <c r="C156" s="1296"/>
      <c r="D156" s="1296"/>
      <c r="E156" s="1296"/>
      <c r="F156" s="1297"/>
      <c r="G156" s="1298"/>
      <c r="H156" s="1296"/>
      <c r="I156" s="1296"/>
      <c r="J156" s="1296"/>
      <c r="K156" s="1297"/>
      <c r="L156" s="9"/>
      <c r="M156" s="9"/>
      <c r="N156" s="9"/>
    </row>
    <row r="157" spans="1:14" s="2" customFormat="1" ht="73.900000000000006" customHeight="1">
      <c r="A157" s="1295" t="s">
        <v>4027</v>
      </c>
      <c r="B157" s="1296"/>
      <c r="C157" s="1296"/>
      <c r="D157" s="1296"/>
      <c r="E157" s="1296"/>
      <c r="F157" s="1297"/>
      <c r="G157" s="1298"/>
      <c r="H157" s="1296"/>
      <c r="I157" s="1296"/>
      <c r="J157" s="1296"/>
      <c r="K157" s="1297"/>
      <c r="L157" s="9"/>
      <c r="M157" s="9"/>
      <c r="N157" s="9"/>
    </row>
    <row r="158" spans="1:14" s="2" customFormat="1" ht="73.900000000000006" customHeight="1">
      <c r="A158" s="1299" t="s">
        <v>4067</v>
      </c>
      <c r="B158" s="1300"/>
      <c r="C158" s="1300"/>
      <c r="D158" s="1300"/>
      <c r="E158" s="1300"/>
      <c r="F158" s="1301"/>
      <c r="G158" s="1302"/>
      <c r="H158" s="1300"/>
      <c r="I158" s="1300"/>
      <c r="J158" s="1300"/>
      <c r="K158" s="130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Normal="100" zoomScaleSheetLayoutView="40" workbookViewId="0">
      <pane ySplit="1335" topLeftCell="A176" activePane="bottomLeft"/>
      <selection sqref="A1:XFD1048576"/>
      <selection pane="bottomLeft"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2011-013 Ashley Auburn Pointe II , Atlanta, Fulton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1530</v>
      </c>
      <c r="P3" s="1035"/>
      <c r="Q3" s="302" t="s">
        <v>2889</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027"/>
      <c r="Q6" s="1028"/>
    </row>
    <row r="7" spans="1:20" ht="12.6" customHeight="1">
      <c r="A7" s="174" t="s">
        <v>366</v>
      </c>
      <c r="C7" s="175"/>
      <c r="D7" s="175"/>
    </row>
    <row r="8" spans="1:20" ht="24.6" customHeight="1">
      <c r="A8" s="1029" t="s">
        <v>2118</v>
      </c>
      <c r="B8" s="1030"/>
      <c r="C8" s="1030"/>
      <c r="D8" s="1030"/>
      <c r="E8" s="1030"/>
      <c r="F8" s="1030"/>
      <c r="G8" s="1030"/>
      <c r="H8" s="1030"/>
      <c r="I8" s="1030"/>
      <c r="J8" s="1030"/>
      <c r="K8" s="1030"/>
      <c r="L8" s="1030"/>
      <c r="M8" s="1030"/>
      <c r="N8" s="1030"/>
      <c r="O8" s="1030"/>
      <c r="P8" s="1030"/>
      <c r="Q8" s="1031"/>
      <c r="R8" s="998" t="s">
        <v>3112</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2114</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2115</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2116</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2117</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2119</v>
      </c>
      <c r="B14" s="1000"/>
      <c r="C14" s="1000"/>
      <c r="D14" s="1000"/>
      <c r="E14" s="1000"/>
      <c r="F14" s="1000"/>
      <c r="G14" s="1000"/>
      <c r="H14" s="1000"/>
      <c r="I14" s="1000"/>
      <c r="J14" s="1000"/>
      <c r="K14" s="1000"/>
      <c r="L14" s="1000"/>
      <c r="M14" s="1000"/>
      <c r="N14" s="1000"/>
      <c r="O14" s="1000"/>
      <c r="P14" s="1000"/>
      <c r="Q14" s="1001"/>
    </row>
    <row r="15" spans="1:20" ht="24.6" customHeight="1">
      <c r="A15" s="999" t="s">
        <v>3099</v>
      </c>
      <c r="B15" s="1000"/>
      <c r="C15" s="1000"/>
      <c r="D15" s="1000"/>
      <c r="E15" s="1000"/>
      <c r="F15" s="1000"/>
      <c r="G15" s="1000"/>
      <c r="H15" s="1000"/>
      <c r="I15" s="1000"/>
      <c r="J15" s="1000"/>
      <c r="K15" s="1000"/>
      <c r="L15" s="1000"/>
      <c r="M15" s="1000"/>
      <c r="N15" s="1000"/>
      <c r="O15" s="1000"/>
      <c r="P15" s="1000"/>
      <c r="Q15" s="1001"/>
      <c r="R15" s="998" t="s">
        <v>3112</v>
      </c>
      <c r="S15" s="998"/>
    </row>
    <row r="16" spans="1:20" ht="24.6" customHeight="1">
      <c r="A16" s="999" t="s">
        <v>3100</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3101</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3102</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3103</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3104</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3105</v>
      </c>
      <c r="B21" s="1000"/>
      <c r="C21" s="1000"/>
      <c r="D21" s="1000"/>
      <c r="E21" s="1000"/>
      <c r="F21" s="1000"/>
      <c r="G21" s="1000"/>
      <c r="H21" s="1000"/>
      <c r="I21" s="1000"/>
      <c r="J21" s="1000"/>
      <c r="K21" s="1000"/>
      <c r="L21" s="1000"/>
      <c r="M21" s="1000"/>
      <c r="N21" s="1000"/>
      <c r="O21" s="1000"/>
      <c r="P21" s="1000"/>
      <c r="Q21" s="1001"/>
    </row>
    <row r="22" spans="1:19" ht="24.6" customHeight="1">
      <c r="A22" s="999" t="s">
        <v>3106</v>
      </c>
      <c r="B22" s="1000"/>
      <c r="C22" s="1000"/>
      <c r="D22" s="1000"/>
      <c r="E22" s="1000"/>
      <c r="F22" s="1000"/>
      <c r="G22" s="1000"/>
      <c r="H22" s="1000"/>
      <c r="I22" s="1000"/>
      <c r="J22" s="1000"/>
      <c r="K22" s="1000"/>
      <c r="L22" s="1000"/>
      <c r="M22" s="1000"/>
      <c r="N22" s="1000"/>
      <c r="O22" s="1000"/>
      <c r="P22" s="1000"/>
      <c r="Q22" s="1001"/>
      <c r="R22" s="998" t="s">
        <v>3112</v>
      </c>
      <c r="S22" s="998"/>
    </row>
    <row r="23" spans="1:19" ht="24.6" customHeight="1">
      <c r="A23" s="999" t="s">
        <v>3107</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3108</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3109</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3110</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3111</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2923</v>
      </c>
      <c r="P29" s="992"/>
      <c r="Q29" s="993"/>
    </row>
    <row r="30" spans="1:19" ht="3" customHeight="1"/>
    <row r="31" spans="1:19" ht="12" customHeight="1">
      <c r="B31" s="192" t="s">
        <v>3060</v>
      </c>
      <c r="C31" s="65" t="s">
        <v>1077</v>
      </c>
      <c r="E31" s="40"/>
      <c r="F31" s="40"/>
      <c r="G31" s="40"/>
      <c r="H31" s="40"/>
      <c r="I31" s="52"/>
      <c r="J31" s="42"/>
      <c r="K31" s="52"/>
      <c r="L31" s="42"/>
      <c r="M31" s="42"/>
      <c r="O31" s="83" t="s">
        <v>923</v>
      </c>
      <c r="P31" s="1166" t="s">
        <v>3926</v>
      </c>
      <c r="Q31" s="234"/>
    </row>
    <row r="32" spans="1:19" ht="12" customHeight="1">
      <c r="B32" s="57" t="s">
        <v>3063</v>
      </c>
      <c r="C32" s="65" t="s">
        <v>1078</v>
      </c>
      <c r="E32" s="40"/>
      <c r="F32" s="40"/>
      <c r="G32" s="40"/>
      <c r="H32" s="40"/>
      <c r="J32" s="1218" t="s">
        <v>3969</v>
      </c>
      <c r="K32" s="1219"/>
      <c r="L32" s="1219"/>
      <c r="M32" s="1219"/>
      <c r="N32" s="1220"/>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152" t="s">
        <v>4084</v>
      </c>
      <c r="B34" s="1153"/>
      <c r="C34" s="1153"/>
      <c r="D34" s="1153"/>
      <c r="E34" s="1153"/>
      <c r="F34" s="1153"/>
      <c r="G34" s="1153"/>
      <c r="H34" s="1153"/>
      <c r="I34" s="1153"/>
      <c r="J34" s="1153"/>
      <c r="K34" s="1153"/>
      <c r="L34" s="1153"/>
      <c r="M34" s="1153"/>
      <c r="N34" s="1153"/>
      <c r="O34" s="1153"/>
      <c r="P34" s="1153"/>
      <c r="Q34" s="1154"/>
      <c r="R34" s="998" t="s">
        <v>1932</v>
      </c>
      <c r="S34" s="998"/>
      <c r="T34" s="217"/>
      <c r="U34" s="185"/>
      <c r="V34" s="185"/>
      <c r="W34" s="185"/>
      <c r="X34" s="185"/>
      <c r="Y34" s="185"/>
      <c r="Z34" s="185"/>
      <c r="AA34" s="185"/>
      <c r="AB34" s="185"/>
      <c r="AC34" s="185"/>
      <c r="AD34" s="185"/>
      <c r="AE34" s="186"/>
    </row>
    <row r="35" spans="1:31" ht="12" customHeight="1">
      <c r="A35" s="1163" t="s">
        <v>4085</v>
      </c>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1932</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2084</v>
      </c>
      <c r="C45" s="5"/>
      <c r="D45" s="5"/>
      <c r="E45" s="740"/>
      <c r="F45" s="740"/>
      <c r="G45" s="740"/>
      <c r="H45" s="740"/>
      <c r="K45" s="740"/>
      <c r="L45" s="740"/>
      <c r="M45" s="740"/>
      <c r="O45" s="180" t="s">
        <v>2923</v>
      </c>
      <c r="P45" s="992"/>
      <c r="Q45" s="993"/>
    </row>
    <row r="46" spans="1:31" ht="3" customHeight="1"/>
    <row r="47" spans="1:31" ht="11.45" customHeight="1">
      <c r="A47" s="189"/>
      <c r="C47" s="190" t="s">
        <v>113</v>
      </c>
      <c r="D47" s="190"/>
      <c r="E47" s="190"/>
      <c r="F47" s="190"/>
      <c r="G47" s="190"/>
      <c r="H47" s="190"/>
      <c r="J47" s="1221" t="s">
        <v>3931</v>
      </c>
      <c r="K47" s="1222"/>
      <c r="L47" s="1223"/>
      <c r="M47" s="740"/>
      <c r="N47" s="740"/>
      <c r="P47" s="1166"/>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2923</v>
      </c>
      <c r="P51" s="992"/>
      <c r="Q51" s="993"/>
    </row>
    <row r="52" spans="1:31" ht="3" customHeight="1"/>
    <row r="53" spans="1:31" ht="12.6" customHeight="1">
      <c r="B53" s="192" t="s">
        <v>3060</v>
      </c>
      <c r="C53" s="1008" t="s">
        <v>399</v>
      </c>
      <c r="D53" s="1008"/>
      <c r="E53" s="1008"/>
      <c r="F53" s="1008"/>
      <c r="G53" s="1008"/>
      <c r="H53" s="1008"/>
      <c r="I53" s="1008"/>
      <c r="J53" s="1008"/>
      <c r="K53" s="1008"/>
      <c r="L53" s="1008"/>
      <c r="M53" s="1008"/>
      <c r="O53" s="193"/>
      <c r="P53" s="1166" t="s">
        <v>3970</v>
      </c>
      <c r="Q53" s="234"/>
    </row>
    <row r="54" spans="1:31" ht="12" customHeight="1">
      <c r="B54" s="57" t="s">
        <v>3063</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1166" t="s">
        <v>3926</v>
      </c>
      <c r="Q55" s="234"/>
    </row>
    <row r="56" spans="1:31" ht="10.9" customHeight="1">
      <c r="A56" s="194"/>
      <c r="B56" s="52"/>
      <c r="C56" s="83" t="s">
        <v>2765</v>
      </c>
      <c r="D56" s="40" t="s">
        <v>2845</v>
      </c>
      <c r="E56" s="739"/>
      <c r="F56" s="739"/>
      <c r="G56" s="739"/>
      <c r="H56" s="42"/>
      <c r="I56" s="52"/>
      <c r="J56" s="52"/>
      <c r="O56" s="83" t="s">
        <v>2765</v>
      </c>
      <c r="P56" s="1166"/>
      <c r="Q56" s="234"/>
    </row>
    <row r="57" spans="1:31" ht="10.9" customHeight="1">
      <c r="A57" s="194"/>
      <c r="B57" s="52"/>
      <c r="C57" s="83" t="s">
        <v>2766</v>
      </c>
      <c r="D57" s="40" t="s">
        <v>400</v>
      </c>
      <c r="E57" s="739"/>
      <c r="J57" s="83"/>
      <c r="K57" s="83" t="s">
        <v>2766</v>
      </c>
      <c r="L57" s="1224"/>
      <c r="M57" s="1225"/>
      <c r="N57" s="1225"/>
      <c r="O57" s="1225"/>
      <c r="P57" s="1226"/>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152" t="s">
        <v>4042</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3702</v>
      </c>
      <c r="C65" s="741"/>
      <c r="D65" s="740"/>
      <c r="E65" s="740"/>
      <c r="F65" s="740"/>
      <c r="G65" s="740"/>
      <c r="H65" s="740"/>
      <c r="I65" s="740"/>
      <c r="J65" s="740"/>
      <c r="K65" s="740"/>
      <c r="O65" s="180" t="s">
        <v>2923</v>
      </c>
      <c r="P65" s="992"/>
      <c r="Q65" s="993"/>
    </row>
    <row r="66" spans="1:31" ht="3" customHeight="1"/>
    <row r="67" spans="1:31" ht="12" customHeight="1">
      <c r="B67" s="57" t="s">
        <v>3060</v>
      </c>
      <c r="C67" s="195" t="s">
        <v>3729</v>
      </c>
      <c r="D67" s="182"/>
      <c r="E67" s="182"/>
      <c r="F67" s="182"/>
      <c r="G67" s="182"/>
      <c r="H67" s="182"/>
      <c r="I67" s="52"/>
      <c r="J67" s="52"/>
      <c r="K67" s="52"/>
      <c r="L67" s="62" t="s">
        <v>3060</v>
      </c>
      <c r="M67" s="1224" t="s">
        <v>3971</v>
      </c>
      <c r="N67" s="1225"/>
      <c r="O67" s="1225"/>
      <c r="P67" s="1227"/>
      <c r="Q67" s="234"/>
    </row>
    <row r="68" spans="1:31" ht="12" customHeight="1">
      <c r="B68" s="57" t="s">
        <v>3063</v>
      </c>
      <c r="C68" s="65" t="s">
        <v>3118</v>
      </c>
      <c r="D68" s="182"/>
      <c r="E68" s="182"/>
      <c r="F68" s="182"/>
      <c r="L68" s="62" t="s">
        <v>3063</v>
      </c>
      <c r="M68" s="1224" t="s">
        <v>4091</v>
      </c>
      <c r="N68" s="1225"/>
      <c r="O68" s="1225"/>
      <c r="P68" s="1227"/>
      <c r="Q68" s="234"/>
    </row>
    <row r="69" spans="1:31" ht="12" customHeight="1">
      <c r="B69" s="57" t="s">
        <v>1238</v>
      </c>
      <c r="C69" s="65" t="s">
        <v>3730</v>
      </c>
      <c r="D69" s="182"/>
      <c r="E69" s="182"/>
      <c r="F69" s="182"/>
      <c r="L69" s="62" t="s">
        <v>1238</v>
      </c>
      <c r="M69" s="1224" t="s">
        <v>4090</v>
      </c>
      <c r="N69" s="1225"/>
      <c r="O69" s="1225"/>
      <c r="P69" s="1227"/>
      <c r="Q69" s="351"/>
    </row>
    <row r="70" spans="1:31" ht="12" customHeight="1">
      <c r="B70" s="57" t="s">
        <v>3212</v>
      </c>
      <c r="C70" s="65" t="s">
        <v>3731</v>
      </c>
      <c r="D70" s="182"/>
      <c r="E70" s="182"/>
      <c r="F70" s="182"/>
      <c r="L70" s="62" t="s">
        <v>3212</v>
      </c>
      <c r="M70" s="1228">
        <v>1.77E-2</v>
      </c>
      <c r="N70" s="1225"/>
      <c r="O70" s="1225"/>
      <c r="P70" s="1227"/>
      <c r="Q70" s="234"/>
    </row>
    <row r="71" spans="1:31" ht="22.15" customHeight="1">
      <c r="B71" s="192" t="s">
        <v>2762</v>
      </c>
      <c r="C71" s="994" t="s">
        <v>3555</v>
      </c>
      <c r="D71" s="1039"/>
      <c r="E71" s="1039"/>
      <c r="F71" s="1039"/>
      <c r="G71" s="1039"/>
      <c r="H71" s="1039"/>
      <c r="I71" s="1039"/>
      <c r="J71" s="1039"/>
      <c r="K71" s="1039"/>
      <c r="L71" s="739"/>
      <c r="M71" s="739"/>
      <c r="O71" s="62" t="s">
        <v>2762</v>
      </c>
      <c r="P71" s="1166" t="s">
        <v>3926</v>
      </c>
      <c r="Q71" s="234"/>
    </row>
    <row r="72" spans="1:31" ht="12" customHeight="1">
      <c r="B72" s="57"/>
      <c r="C72" s="65"/>
      <c r="D72" s="709" t="s">
        <v>3592</v>
      </c>
      <c r="E72" s="40" t="s">
        <v>951</v>
      </c>
      <c r="F72" s="40"/>
      <c r="G72" s="65"/>
      <c r="H72" s="709" t="s">
        <v>3592</v>
      </c>
      <c r="I72" s="40" t="s">
        <v>951</v>
      </c>
      <c r="J72" s="40"/>
      <c r="K72" s="65"/>
      <c r="L72" s="709" t="s">
        <v>3592</v>
      </c>
      <c r="M72" s="40" t="s">
        <v>951</v>
      </c>
      <c r="N72" s="40"/>
      <c r="O72" s="65"/>
      <c r="P72" s="62"/>
      <c r="Q72" s="62"/>
    </row>
    <row r="73" spans="1:31" ht="12" customHeight="1">
      <c r="B73" s="57"/>
      <c r="C73" s="65">
        <v>1</v>
      </c>
      <c r="D73" s="1229" t="s">
        <v>4012</v>
      </c>
      <c r="E73" s="1230" t="s">
        <v>3987</v>
      </c>
      <c r="F73" s="1231"/>
      <c r="G73" s="65">
        <v>4</v>
      </c>
      <c r="H73" s="1229" t="s">
        <v>4118</v>
      </c>
      <c r="I73" s="1230" t="s">
        <v>4117</v>
      </c>
      <c r="J73" s="1231"/>
      <c r="K73" s="65">
        <v>7</v>
      </c>
      <c r="L73" s="1229"/>
      <c r="M73" s="1230"/>
      <c r="N73" s="1231"/>
      <c r="O73" s="65"/>
      <c r="P73" s="62"/>
      <c r="Q73" s="62"/>
    </row>
    <row r="74" spans="1:31" ht="12" customHeight="1">
      <c r="B74" s="57"/>
      <c r="C74" s="65">
        <v>2</v>
      </c>
      <c r="D74" s="1229" t="s">
        <v>4013</v>
      </c>
      <c r="E74" s="1230" t="s">
        <v>4014</v>
      </c>
      <c r="F74" s="1231"/>
      <c r="G74" s="65">
        <v>5</v>
      </c>
      <c r="H74" s="1229"/>
      <c r="I74" s="1230"/>
      <c r="J74" s="1231"/>
      <c r="K74" s="65">
        <v>8</v>
      </c>
      <c r="L74" s="1229"/>
      <c r="M74" s="1230"/>
      <c r="N74" s="1231"/>
      <c r="O74" s="65"/>
      <c r="P74" s="62"/>
      <c r="Q74" s="62"/>
    </row>
    <row r="75" spans="1:31" ht="12" customHeight="1">
      <c r="B75" s="57"/>
      <c r="C75" s="65">
        <v>3</v>
      </c>
      <c r="D75" s="1229" t="s">
        <v>4015</v>
      </c>
      <c r="E75" s="1230" t="s">
        <v>4016</v>
      </c>
      <c r="F75" s="1231"/>
      <c r="G75" s="65">
        <v>6</v>
      </c>
      <c r="H75" s="1229"/>
      <c r="I75" s="1230"/>
      <c r="J75" s="1231"/>
      <c r="K75" s="65">
        <v>9</v>
      </c>
      <c r="L75" s="1229"/>
      <c r="M75" s="1230"/>
      <c r="N75" s="1231"/>
      <c r="O75" s="65"/>
      <c r="P75" s="62"/>
      <c r="Q75" s="62"/>
    </row>
    <row r="76" spans="1:31" ht="12" customHeight="1">
      <c r="B76" s="57" t="s">
        <v>2763</v>
      </c>
      <c r="C76" s="65" t="s">
        <v>1</v>
      </c>
      <c r="D76" s="182"/>
      <c r="E76" s="182"/>
      <c r="F76" s="182"/>
      <c r="G76" s="182"/>
      <c r="H76" s="182"/>
      <c r="I76" s="52"/>
      <c r="J76" s="52"/>
      <c r="K76" s="182"/>
      <c r="L76" s="739"/>
      <c r="M76" s="739"/>
      <c r="O76" s="62" t="s">
        <v>2763</v>
      </c>
      <c r="P76" s="1166" t="s">
        <v>3926</v>
      </c>
      <c r="Q76" s="234"/>
    </row>
    <row r="77" spans="1:31" ht="11.25" customHeight="1">
      <c r="B77" s="191" t="s">
        <v>2921</v>
      </c>
      <c r="D77" s="191"/>
      <c r="E77" s="191"/>
      <c r="F77" s="191"/>
      <c r="G77" s="191"/>
      <c r="H77" s="50"/>
      <c r="I77" s="179"/>
      <c r="J77" s="179"/>
      <c r="K77" s="179"/>
      <c r="L77" s="737"/>
      <c r="M77" s="737"/>
      <c r="N77" s="737"/>
      <c r="O77" s="737"/>
      <c r="P77" s="737"/>
      <c r="Q77" s="63"/>
    </row>
    <row r="78" spans="1:31" ht="22.9" customHeight="1">
      <c r="A78" s="1152" t="s">
        <v>4043</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4044</v>
      </c>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2923</v>
      </c>
      <c r="P83" s="992"/>
      <c r="Q83" s="993"/>
    </row>
    <row r="84" spans="1:17" ht="3" customHeight="1"/>
    <row r="85" spans="1:17" ht="12" customHeight="1">
      <c r="B85" s="57" t="s">
        <v>3060</v>
      </c>
      <c r="C85" s="65" t="s">
        <v>729</v>
      </c>
      <c r="D85" s="65"/>
      <c r="E85" s="65"/>
      <c r="F85" s="65"/>
      <c r="G85" s="65"/>
      <c r="H85" s="65"/>
      <c r="I85" s="65"/>
      <c r="J85" s="65"/>
      <c r="K85" s="65"/>
      <c r="L85" s="65"/>
      <c r="M85" s="65"/>
      <c r="O85" s="62" t="s">
        <v>3060</v>
      </c>
      <c r="P85" s="1166" t="s">
        <v>3924</v>
      </c>
      <c r="Q85" s="234"/>
    </row>
    <row r="86" spans="1:17" ht="12" customHeight="1">
      <c r="B86" s="57" t="s">
        <v>3063</v>
      </c>
      <c r="C86" s="65" t="s">
        <v>2005</v>
      </c>
      <c r="D86" s="65"/>
      <c r="E86" s="65"/>
      <c r="F86" s="65"/>
      <c r="G86" s="65"/>
      <c r="H86" s="65"/>
      <c r="I86" s="65"/>
      <c r="J86" s="65"/>
      <c r="K86" s="65"/>
      <c r="L86" s="40"/>
      <c r="M86" s="40"/>
      <c r="O86" s="62" t="s">
        <v>3063</v>
      </c>
      <c r="P86" s="1166" t="s">
        <v>3924</v>
      </c>
      <c r="Q86" s="234"/>
    </row>
    <row r="87" spans="1:17" ht="12" customHeight="1">
      <c r="A87" s="181"/>
      <c r="B87" s="46"/>
      <c r="D87" s="49" t="s">
        <v>849</v>
      </c>
      <c r="E87" s="52"/>
      <c r="F87" s="52"/>
      <c r="G87" s="52"/>
      <c r="H87" s="52"/>
      <c r="I87" s="52"/>
      <c r="K87" s="49" t="s">
        <v>850</v>
      </c>
      <c r="M87" s="1232"/>
      <c r="N87" s="1233"/>
      <c r="O87" s="1233"/>
      <c r="P87" s="1234"/>
      <c r="Q87" s="234"/>
    </row>
    <row r="88" spans="1:17" ht="22.9" customHeight="1">
      <c r="A88" s="194"/>
      <c r="B88" s="179"/>
      <c r="C88" s="203" t="s">
        <v>2764</v>
      </c>
      <c r="D88" s="977"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c r="Q93" s="234"/>
    </row>
    <row r="94" spans="1:17" ht="12" customHeight="1">
      <c r="B94" s="57"/>
      <c r="C94" s="83" t="s">
        <v>2765</v>
      </c>
      <c r="D94" s="65" t="s">
        <v>2150</v>
      </c>
      <c r="E94" s="65"/>
      <c r="F94" s="65"/>
      <c r="G94" s="65"/>
      <c r="H94" s="65"/>
      <c r="I94" s="65"/>
      <c r="J94" s="65"/>
      <c r="K94" s="65"/>
      <c r="L94" s="40"/>
      <c r="M94" s="40"/>
      <c r="O94" s="83" t="s">
        <v>2765</v>
      </c>
      <c r="P94" s="1166"/>
      <c r="Q94" s="234"/>
    </row>
    <row r="95" spans="1:17" ht="12" customHeight="1">
      <c r="B95" s="57"/>
      <c r="C95" s="83" t="s">
        <v>2766</v>
      </c>
      <c r="D95" s="65" t="s">
        <v>2151</v>
      </c>
      <c r="E95" s="65"/>
      <c r="F95" s="65"/>
      <c r="G95" s="65"/>
      <c r="H95" s="65"/>
      <c r="I95" s="65"/>
      <c r="J95" s="65"/>
      <c r="K95" s="65"/>
      <c r="L95" s="40"/>
      <c r="M95" s="40"/>
      <c r="O95" s="83" t="s">
        <v>2766</v>
      </c>
      <c r="P95" s="1166"/>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152" t="s">
        <v>4045</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4046</v>
      </c>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2923</v>
      </c>
      <c r="P103" s="992"/>
      <c r="Q103" s="993"/>
    </row>
    <row r="104" spans="1:31" ht="6.6" customHeight="1"/>
    <row r="105" spans="1:31" ht="12" customHeight="1">
      <c r="B105" s="57" t="s">
        <v>3060</v>
      </c>
      <c r="C105" s="65" t="s">
        <v>202</v>
      </c>
      <c r="D105" s="182"/>
      <c r="E105" s="182"/>
      <c r="F105" s="182"/>
      <c r="G105" s="182"/>
      <c r="H105" s="182"/>
      <c r="I105" s="52"/>
      <c r="J105" s="52"/>
      <c r="K105" s="52"/>
      <c r="L105" s="62" t="s">
        <v>3060</v>
      </c>
      <c r="M105" s="1224" t="s">
        <v>3972</v>
      </c>
      <c r="N105" s="1225"/>
      <c r="O105" s="1225"/>
      <c r="P105" s="1226"/>
      <c r="Q105" s="234"/>
    </row>
    <row r="106" spans="1:31" ht="12" customHeight="1">
      <c r="B106" s="57" t="s">
        <v>3063</v>
      </c>
      <c r="C106" s="65" t="s">
        <v>2291</v>
      </c>
      <c r="D106" s="182"/>
      <c r="E106" s="182"/>
      <c r="F106" s="182"/>
      <c r="G106" s="182"/>
      <c r="H106" s="182"/>
      <c r="I106" s="52"/>
      <c r="J106" s="52"/>
      <c r="K106" s="182"/>
      <c r="L106" s="182"/>
      <c r="M106" s="739"/>
      <c r="O106" s="62" t="s">
        <v>3063</v>
      </c>
      <c r="P106" s="1166" t="s">
        <v>3924</v>
      </c>
      <c r="Q106" s="351"/>
    </row>
    <row r="107" spans="1:31" ht="12" customHeight="1">
      <c r="B107" s="57" t="s">
        <v>1238</v>
      </c>
      <c r="C107" s="65" t="s">
        <v>205</v>
      </c>
      <c r="D107" s="182"/>
      <c r="E107" s="182"/>
      <c r="F107" s="182"/>
      <c r="G107" s="182"/>
      <c r="H107" s="182"/>
      <c r="I107" s="52"/>
      <c r="J107" s="52"/>
      <c r="K107" s="182"/>
      <c r="L107" s="739"/>
      <c r="M107" s="739"/>
      <c r="O107" s="62" t="s">
        <v>1238</v>
      </c>
      <c r="P107" s="1166" t="s">
        <v>3926</v>
      </c>
      <c r="Q107" s="234"/>
    </row>
    <row r="108" spans="1:31" ht="12" customHeight="1">
      <c r="B108" s="189"/>
      <c r="C108" s="65" t="s">
        <v>2842</v>
      </c>
      <c r="D108" s="52"/>
      <c r="E108" s="52"/>
      <c r="F108" s="52"/>
      <c r="G108" s="52"/>
      <c r="H108" s="65"/>
      <c r="I108" s="52"/>
      <c r="J108" s="52"/>
      <c r="K108" s="182"/>
      <c r="L108" s="739"/>
      <c r="M108" s="739"/>
      <c r="P108" s="1235">
        <v>69.22</v>
      </c>
      <c r="Q108" s="351"/>
    </row>
    <row r="109" spans="1:31" ht="12" customHeight="1">
      <c r="B109" s="189"/>
      <c r="C109" s="65" t="s">
        <v>2089</v>
      </c>
      <c r="D109" s="52"/>
      <c r="E109" s="52"/>
      <c r="F109" s="52"/>
      <c r="G109" s="52"/>
      <c r="H109" s="65"/>
      <c r="I109" s="52"/>
      <c r="J109" s="52"/>
      <c r="K109" s="182"/>
      <c r="L109" s="739"/>
      <c r="M109" s="739"/>
      <c r="N109" s="739"/>
      <c r="O109" s="739"/>
    </row>
    <row r="110" spans="1:31" ht="11.45" customHeight="1">
      <c r="B110" s="737"/>
      <c r="C110" s="1236" t="s">
        <v>3998</v>
      </c>
      <c r="D110" s="1237"/>
      <c r="E110" s="1237"/>
      <c r="F110" s="1237"/>
      <c r="G110" s="1237"/>
      <c r="H110" s="1237"/>
      <c r="I110" s="1237"/>
      <c r="J110" s="1237"/>
      <c r="K110" s="1237"/>
      <c r="L110" s="1237"/>
      <c r="M110" s="1237"/>
      <c r="N110" s="1237"/>
      <c r="O110" s="1238"/>
      <c r="P110" s="740"/>
      <c r="Q110" s="737"/>
    </row>
    <row r="111" spans="1:31" ht="12" customHeight="1">
      <c r="B111" s="57" t="s">
        <v>3212</v>
      </c>
      <c r="C111" s="65" t="s">
        <v>1944</v>
      </c>
      <c r="D111" s="182"/>
      <c r="E111" s="182"/>
      <c r="F111" s="182"/>
      <c r="G111" s="182"/>
      <c r="H111" s="182"/>
      <c r="I111" s="52"/>
      <c r="J111" s="52"/>
      <c r="K111" s="182"/>
      <c r="L111" s="739"/>
      <c r="M111" s="739"/>
      <c r="N111" s="739"/>
      <c r="O111" s="62" t="s">
        <v>3212</v>
      </c>
    </row>
    <row r="112" spans="1:31" ht="12" customHeight="1">
      <c r="B112" s="57"/>
      <c r="C112" s="83" t="s">
        <v>2764</v>
      </c>
      <c r="D112" s="65" t="s">
        <v>203</v>
      </c>
      <c r="E112" s="182"/>
      <c r="F112" s="182"/>
      <c r="G112" s="182"/>
      <c r="H112" s="182"/>
      <c r="I112" s="52"/>
      <c r="J112" s="52"/>
      <c r="K112" s="182"/>
      <c r="L112" s="739"/>
      <c r="M112" s="739"/>
      <c r="O112" s="83" t="s">
        <v>2764</v>
      </c>
      <c r="P112" s="1166" t="s">
        <v>3924</v>
      </c>
      <c r="Q112" s="234"/>
    </row>
    <row r="113" spans="1:17" ht="12" customHeight="1">
      <c r="B113" s="57"/>
      <c r="C113" s="83" t="s">
        <v>2765</v>
      </c>
      <c r="D113" s="65" t="s">
        <v>1945</v>
      </c>
      <c r="E113" s="182"/>
      <c r="F113" s="182"/>
      <c r="G113" s="182"/>
      <c r="H113" s="52"/>
      <c r="I113" s="52"/>
      <c r="J113" s="52"/>
      <c r="K113" s="182"/>
      <c r="L113" s="739"/>
      <c r="M113" s="739"/>
      <c r="O113" s="83" t="s">
        <v>2765</v>
      </c>
      <c r="P113" s="1235" t="s">
        <v>3924</v>
      </c>
      <c r="Q113" s="351"/>
    </row>
    <row r="114" spans="1:17" ht="12" customHeight="1">
      <c r="B114" s="57"/>
      <c r="C114" s="83"/>
      <c r="D114" s="65" t="s">
        <v>2970</v>
      </c>
      <c r="E114" s="52"/>
      <c r="F114" s="52"/>
      <c r="G114" s="52"/>
      <c r="H114" s="65"/>
      <c r="I114" s="52"/>
      <c r="J114" s="52"/>
      <c r="K114" s="182"/>
      <c r="L114" s="739"/>
      <c r="M114" s="739"/>
      <c r="O114" s="739"/>
      <c r="P114" s="1239"/>
      <c r="Q114" s="457"/>
    </row>
    <row r="115" spans="1:17" ht="12" customHeight="1">
      <c r="B115" s="57"/>
      <c r="C115" s="83"/>
      <c r="D115" s="65" t="s">
        <v>3662</v>
      </c>
      <c r="E115" s="52"/>
      <c r="F115" s="52"/>
      <c r="G115" s="52"/>
      <c r="H115" s="65"/>
      <c r="I115" s="52"/>
      <c r="J115" s="52"/>
      <c r="K115" s="182"/>
      <c r="L115" s="739"/>
      <c r="M115" s="739"/>
      <c r="O115" s="739"/>
      <c r="P115" s="1235"/>
      <c r="Q115" s="351"/>
    </row>
    <row r="116" spans="1:17" ht="12" customHeight="1">
      <c r="B116" s="57"/>
      <c r="C116" s="83"/>
      <c r="D116" s="65" t="s">
        <v>3244</v>
      </c>
      <c r="E116" s="52"/>
      <c r="F116" s="52"/>
      <c r="G116" s="52"/>
      <c r="H116" s="65"/>
      <c r="I116" s="52"/>
      <c r="J116" s="52"/>
      <c r="K116" s="182"/>
      <c r="L116" s="739"/>
      <c r="M116" s="739"/>
      <c r="O116" s="739"/>
      <c r="P116" s="1235"/>
      <c r="Q116" s="351"/>
    </row>
    <row r="117" spans="1:17" ht="12" customHeight="1">
      <c r="B117" s="57"/>
      <c r="C117" s="83" t="s">
        <v>2766</v>
      </c>
      <c r="D117" s="65" t="s">
        <v>1946</v>
      </c>
      <c r="E117" s="182"/>
      <c r="F117" s="182"/>
      <c r="G117" s="182"/>
      <c r="H117" s="65"/>
      <c r="I117" s="52"/>
      <c r="J117" s="52"/>
      <c r="K117" s="182"/>
      <c r="L117" s="739"/>
      <c r="M117" s="739"/>
      <c r="O117" s="83" t="s">
        <v>2766</v>
      </c>
      <c r="P117" s="1166" t="s">
        <v>3924</v>
      </c>
      <c r="Q117" s="234"/>
    </row>
    <row r="118" spans="1:17" ht="12" customHeight="1">
      <c r="B118" s="57"/>
      <c r="C118" s="83"/>
      <c r="D118" s="65" t="s">
        <v>1407</v>
      </c>
      <c r="E118" s="52"/>
      <c r="F118" s="52"/>
      <c r="G118" s="52"/>
      <c r="H118" s="65"/>
      <c r="I118" s="52"/>
      <c r="J118" s="52"/>
      <c r="K118" s="182"/>
      <c r="L118" s="739"/>
      <c r="M118" s="739"/>
      <c r="O118" s="739"/>
      <c r="P118" s="1240"/>
      <c r="Q118" s="352"/>
    </row>
    <row r="119" spans="1:17" ht="12" customHeight="1">
      <c r="B119" s="57"/>
      <c r="C119" s="83"/>
      <c r="D119" s="65" t="s">
        <v>3245</v>
      </c>
      <c r="E119" s="52"/>
      <c r="F119" s="52"/>
      <c r="G119" s="52"/>
      <c r="H119" s="65"/>
      <c r="I119" s="52"/>
      <c r="J119" s="52"/>
      <c r="K119" s="182"/>
      <c r="L119" s="739"/>
      <c r="M119" s="739"/>
      <c r="O119" s="739"/>
      <c r="P119" s="1235"/>
      <c r="Q119" s="351"/>
    </row>
    <row r="120" spans="1:17" ht="12" customHeight="1">
      <c r="B120" s="57"/>
      <c r="C120" s="83"/>
      <c r="D120" s="65" t="s">
        <v>3244</v>
      </c>
      <c r="E120" s="52"/>
      <c r="F120" s="52"/>
      <c r="G120" s="52"/>
      <c r="H120" s="65"/>
      <c r="I120" s="52"/>
      <c r="J120" s="52"/>
      <c r="K120" s="182"/>
      <c r="L120" s="739"/>
      <c r="M120" s="739"/>
      <c r="O120" s="739"/>
      <c r="P120" s="1235"/>
      <c r="Q120" s="351"/>
    </row>
    <row r="121" spans="1:17" ht="12" customHeight="1">
      <c r="B121" s="46"/>
      <c r="C121" s="83" t="s">
        <v>3570</v>
      </c>
      <c r="D121" s="65" t="s">
        <v>726</v>
      </c>
      <c r="E121" s="182"/>
      <c r="F121" s="182"/>
      <c r="G121" s="182"/>
      <c r="H121" s="182"/>
      <c r="I121" s="52"/>
      <c r="J121" s="52"/>
      <c r="K121" s="182"/>
      <c r="L121" s="739"/>
      <c r="M121" s="739"/>
      <c r="O121" s="83" t="s">
        <v>3570</v>
      </c>
      <c r="P121" s="1166" t="s">
        <v>3924</v>
      </c>
      <c r="Q121" s="234"/>
    </row>
    <row r="122" spans="1:17" ht="12" customHeight="1">
      <c r="B122" s="57" t="s">
        <v>2762</v>
      </c>
      <c r="C122" s="196" t="s">
        <v>3657</v>
      </c>
      <c r="D122" s="182"/>
      <c r="E122" s="182"/>
      <c r="F122" s="182"/>
      <c r="G122" s="182"/>
      <c r="H122" s="182"/>
      <c r="I122" s="52"/>
      <c r="J122" s="52"/>
      <c r="K122" s="182"/>
      <c r="L122" s="739"/>
      <c r="M122" s="739"/>
      <c r="N122" s="739"/>
      <c r="O122" s="62" t="s">
        <v>2762</v>
      </c>
      <c r="P122" s="1166" t="s">
        <v>3924</v>
      </c>
      <c r="Q122" s="234"/>
    </row>
    <row r="123" spans="1:17" ht="12" customHeight="1">
      <c r="B123" s="57"/>
      <c r="C123" s="83" t="s">
        <v>2764</v>
      </c>
      <c r="D123" s="65" t="s">
        <v>3658</v>
      </c>
      <c r="E123" s="182"/>
      <c r="F123" s="1166" t="s">
        <v>3924</v>
      </c>
      <c r="G123" s="234"/>
      <c r="H123" s="83" t="s">
        <v>2766</v>
      </c>
      <c r="I123" s="65" t="s">
        <v>2305</v>
      </c>
      <c r="J123" s="1166" t="s">
        <v>3924</v>
      </c>
      <c r="K123" s="234"/>
      <c r="L123" s="83" t="s">
        <v>2303</v>
      </c>
      <c r="M123" s="65" t="s">
        <v>3620</v>
      </c>
      <c r="N123" s="1166" t="s">
        <v>3924</v>
      </c>
      <c r="O123" s="234"/>
    </row>
    <row r="124" spans="1:17" ht="12" customHeight="1">
      <c r="B124" s="46"/>
      <c r="C124" s="83" t="s">
        <v>2765</v>
      </c>
      <c r="D124" s="65" t="s">
        <v>3774</v>
      </c>
      <c r="E124" s="182"/>
      <c r="F124" s="1166" t="s">
        <v>3924</v>
      </c>
      <c r="G124" s="234"/>
      <c r="H124" s="83" t="s">
        <v>3570</v>
      </c>
      <c r="I124" s="65" t="s">
        <v>2306</v>
      </c>
      <c r="J124" s="1166" t="s">
        <v>3924</v>
      </c>
      <c r="K124" s="234"/>
      <c r="L124" s="83" t="s">
        <v>2304</v>
      </c>
      <c r="M124" s="65" t="s">
        <v>2307</v>
      </c>
      <c r="N124" s="1166" t="s">
        <v>3924</v>
      </c>
      <c r="O124" s="234"/>
    </row>
    <row r="125" spans="1:17" ht="12" customHeight="1">
      <c r="B125" s="46"/>
      <c r="C125" s="83" t="s">
        <v>112</v>
      </c>
      <c r="D125" s="65" t="s">
        <v>53</v>
      </c>
      <c r="E125" s="182"/>
      <c r="F125" s="182"/>
      <c r="G125" s="182"/>
      <c r="H125" s="182"/>
      <c r="J125" s="1224" t="s">
        <v>3999</v>
      </c>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9"/>
      <c r="O126" s="62" t="s">
        <v>2763</v>
      </c>
      <c r="P126" s="1166" t="s">
        <v>3926</v>
      </c>
      <c r="Q126" s="234"/>
    </row>
    <row r="127" spans="1:17" ht="12" customHeight="1">
      <c r="A127" s="194"/>
      <c r="B127" s="52"/>
      <c r="C127" s="83" t="s">
        <v>2764</v>
      </c>
      <c r="D127" s="65" t="s">
        <v>1079</v>
      </c>
      <c r="E127" s="182"/>
      <c r="F127" s="182"/>
      <c r="G127" s="182"/>
      <c r="H127" s="182"/>
      <c r="O127" s="83" t="s">
        <v>2764</v>
      </c>
      <c r="P127" s="1166" t="s">
        <v>3924</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3926</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3926</v>
      </c>
      <c r="Q129" s="234"/>
    </row>
    <row r="130" spans="1:31" ht="12" customHeight="1">
      <c r="B130" s="57" t="s">
        <v>3020</v>
      </c>
      <c r="C130" s="65" t="s">
        <v>2781</v>
      </c>
      <c r="D130" s="182"/>
      <c r="E130" s="182"/>
      <c r="F130" s="182"/>
      <c r="G130" s="182"/>
      <c r="H130" s="182"/>
      <c r="I130" s="52"/>
      <c r="J130" s="52"/>
      <c r="K130" s="182"/>
      <c r="L130" s="182"/>
      <c r="M130" s="739"/>
      <c r="O130" s="62" t="s">
        <v>3020</v>
      </c>
      <c r="P130" s="1166" t="s">
        <v>1580</v>
      </c>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23.25" customHeight="1">
      <c r="A133" s="1152" t="s">
        <v>4099</v>
      </c>
      <c r="B133" s="1153"/>
      <c r="C133" s="1153"/>
      <c r="D133" s="1153"/>
      <c r="E133" s="1153"/>
      <c r="F133" s="1153"/>
      <c r="G133" s="1153"/>
      <c r="H133" s="1153"/>
      <c r="I133" s="1153"/>
      <c r="J133" s="1153"/>
      <c r="K133" s="1153"/>
      <c r="L133" s="1153"/>
      <c r="M133" s="1153"/>
      <c r="N133" s="1153"/>
      <c r="O133" s="1153"/>
      <c r="P133" s="1153"/>
      <c r="Q133" s="1154"/>
      <c r="R133" s="998" t="s">
        <v>1932</v>
      </c>
      <c r="S133" s="998"/>
      <c r="U133" s="185"/>
      <c r="V133" s="185"/>
      <c r="W133" s="185"/>
      <c r="X133" s="185"/>
      <c r="Y133" s="185"/>
      <c r="Z133" s="185"/>
      <c r="AA133" s="185"/>
      <c r="AB133" s="185"/>
      <c r="AC133" s="185"/>
      <c r="AD133" s="185"/>
      <c r="AE133" s="186"/>
    </row>
    <row r="134" spans="1:31" ht="25.5" customHeight="1">
      <c r="A134" s="1163" t="s">
        <v>4108</v>
      </c>
      <c r="B134" s="1164"/>
      <c r="C134" s="1164"/>
      <c r="D134" s="1164"/>
      <c r="E134" s="1164"/>
      <c r="F134" s="1164"/>
      <c r="G134" s="1164"/>
      <c r="H134" s="1164"/>
      <c r="I134" s="1164"/>
      <c r="J134" s="1164"/>
      <c r="K134" s="1164"/>
      <c r="L134" s="1164"/>
      <c r="M134" s="1164"/>
      <c r="N134" s="1164"/>
      <c r="O134" s="1164"/>
      <c r="P134" s="1164"/>
      <c r="Q134" s="1165"/>
      <c r="R134" s="998"/>
      <c r="S134" s="998"/>
    </row>
    <row r="135" spans="1:31">
      <c r="A135" s="1155" t="s">
        <v>4100</v>
      </c>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1932</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1600</v>
      </c>
      <c r="C141" s="741"/>
      <c r="D141" s="740"/>
      <c r="E141" s="740"/>
      <c r="F141" s="740"/>
      <c r="G141" s="740"/>
      <c r="H141" s="740"/>
      <c r="I141" s="740"/>
      <c r="J141" s="740"/>
      <c r="K141" s="740"/>
      <c r="O141" s="180" t="s">
        <v>2923</v>
      </c>
      <c r="P141" s="992"/>
      <c r="Q141" s="993"/>
    </row>
    <row r="142" spans="1:31" ht="10.9" customHeight="1">
      <c r="B142" s="57" t="s">
        <v>3060</v>
      </c>
      <c r="C142" s="65" t="s">
        <v>3120</v>
      </c>
      <c r="D142" s="65"/>
      <c r="E142" s="65"/>
      <c r="F142" s="65"/>
      <c r="G142" s="65"/>
      <c r="H142" s="65"/>
      <c r="N142" s="65"/>
      <c r="O142" s="62" t="s">
        <v>3060</v>
      </c>
      <c r="P142" s="1166" t="s">
        <v>3926</v>
      </c>
      <c r="Q142" s="234"/>
    </row>
    <row r="143" spans="1:31" ht="12" customHeight="1">
      <c r="A143" s="189"/>
      <c r="B143" s="57" t="s">
        <v>3063</v>
      </c>
      <c r="C143" s="190" t="s">
        <v>204</v>
      </c>
      <c r="D143" s="190"/>
      <c r="E143" s="190"/>
      <c r="F143" s="190"/>
      <c r="G143" s="190"/>
      <c r="H143" s="190"/>
      <c r="M143" s="62" t="s">
        <v>3063</v>
      </c>
      <c r="N143" s="1241" t="s">
        <v>3973</v>
      </c>
      <c r="O143" s="1242"/>
      <c r="P143" s="1017"/>
      <c r="Q143" s="1018"/>
    </row>
    <row r="144" spans="1:31" ht="12" customHeight="1">
      <c r="A144" s="189"/>
      <c r="B144" s="57" t="s">
        <v>1238</v>
      </c>
      <c r="C144" s="190" t="s">
        <v>1032</v>
      </c>
      <c r="D144" s="190"/>
      <c r="E144" s="190"/>
      <c r="F144" s="190"/>
      <c r="G144" s="190"/>
      <c r="H144" s="190"/>
      <c r="J144" s="62" t="s">
        <v>1238</v>
      </c>
      <c r="K144" s="1243" t="s">
        <v>3974</v>
      </c>
      <c r="L144" s="1244"/>
      <c r="M144" s="1244"/>
      <c r="N144" s="1244"/>
      <c r="O144" s="1245"/>
      <c r="P144" s="1166"/>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11.45" customHeight="1">
      <c r="A146" s="1152" t="s">
        <v>4047</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2923</v>
      </c>
      <c r="P152" s="992"/>
      <c r="Q152" s="993"/>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3926</v>
      </c>
      <c r="Q153" s="234"/>
    </row>
    <row r="154" spans="1:31" ht="22.15" customHeight="1">
      <c r="B154" s="192" t="s">
        <v>3063</v>
      </c>
      <c r="C154" s="994" t="s">
        <v>3790</v>
      </c>
      <c r="D154" s="994"/>
      <c r="E154" s="994"/>
      <c r="F154" s="994"/>
      <c r="G154" s="994"/>
      <c r="H154" s="994"/>
      <c r="I154" s="994"/>
      <c r="J154" s="994"/>
      <c r="K154" s="994"/>
      <c r="L154" s="994"/>
      <c r="M154" s="994"/>
      <c r="N154" s="994"/>
      <c r="O154" s="221" t="s">
        <v>3063</v>
      </c>
      <c r="P154" s="116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152" t="s">
        <v>4086</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t="s">
        <v>4087</v>
      </c>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2923</v>
      </c>
      <c r="P162" s="992"/>
      <c r="Q162" s="993"/>
    </row>
    <row r="163" spans="1:31" ht="12" customHeight="1">
      <c r="B163" s="192" t="s">
        <v>3060</v>
      </c>
      <c r="C163" s="197" t="s">
        <v>696</v>
      </c>
      <c r="D163" s="197"/>
      <c r="E163" s="197"/>
      <c r="F163" s="197"/>
      <c r="G163" s="197"/>
      <c r="H163" s="197"/>
      <c r="I163" s="197"/>
      <c r="J163" s="197"/>
      <c r="K163" s="197"/>
      <c r="L163" s="197"/>
      <c r="M163" s="197"/>
      <c r="O163" s="221" t="s">
        <v>3060</v>
      </c>
      <c r="P163" s="1166" t="s">
        <v>3926</v>
      </c>
      <c r="Q163" s="234"/>
    </row>
    <row r="164" spans="1:31" ht="12" customHeight="1">
      <c r="B164" s="192" t="s">
        <v>3063</v>
      </c>
      <c r="C164" s="190" t="s">
        <v>721</v>
      </c>
      <c r="D164" s="190"/>
      <c r="E164" s="190"/>
      <c r="F164" s="190"/>
      <c r="G164" s="190"/>
      <c r="H164" s="190"/>
      <c r="I164" s="190"/>
      <c r="J164" s="190"/>
      <c r="K164" s="190"/>
      <c r="L164" s="190"/>
      <c r="M164" s="190"/>
      <c r="O164" s="221" t="s">
        <v>3063</v>
      </c>
      <c r="P164" s="1166" t="s">
        <v>3926</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3926</v>
      </c>
      <c r="Q165" s="234"/>
    </row>
    <row r="166" spans="1:31" ht="12" customHeight="1">
      <c r="B166" s="192" t="s">
        <v>3212</v>
      </c>
      <c r="C166" s="197" t="s">
        <v>929</v>
      </c>
      <c r="D166" s="197"/>
      <c r="E166" s="197"/>
      <c r="F166" s="197"/>
      <c r="G166" s="197"/>
      <c r="H166" s="197"/>
      <c r="I166" s="197"/>
      <c r="J166" s="197"/>
      <c r="K166" s="197"/>
      <c r="L166" s="197"/>
      <c r="M166" s="197"/>
      <c r="O166" s="221" t="s">
        <v>3212</v>
      </c>
      <c r="P166" s="1166" t="s">
        <v>3926</v>
      </c>
      <c r="Q166" s="234"/>
    </row>
    <row r="167" spans="1:31" ht="12" customHeight="1">
      <c r="B167" s="192" t="s">
        <v>2762</v>
      </c>
      <c r="C167" s="197" t="s">
        <v>3593</v>
      </c>
      <c r="D167" s="197"/>
      <c r="E167" s="197"/>
      <c r="F167" s="197"/>
      <c r="G167" s="197"/>
      <c r="H167" s="197"/>
      <c r="I167" s="197"/>
      <c r="J167" s="197"/>
      <c r="K167" s="197"/>
      <c r="L167" s="197"/>
      <c r="M167" s="197"/>
      <c r="O167" s="221" t="s">
        <v>2762</v>
      </c>
      <c r="P167" s="1166" t="s">
        <v>3926</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11.45" customHeight="1">
      <c r="A169" s="1152" t="s">
        <v>4048</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t="s">
        <v>4049</v>
      </c>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2923</v>
      </c>
      <c r="P175" s="992"/>
      <c r="Q175" s="993"/>
    </row>
    <row r="176" spans="1:31" ht="12" customHeight="1">
      <c r="A176" s="189"/>
      <c r="B176" s="57" t="s">
        <v>3060</v>
      </c>
      <c r="C176" s="994" t="s">
        <v>110</v>
      </c>
      <c r="D176" s="994"/>
      <c r="E176" s="994"/>
      <c r="F176" s="994"/>
      <c r="G176" s="994"/>
      <c r="H176" s="83" t="s">
        <v>2764</v>
      </c>
      <c r="I176" s="65" t="s">
        <v>206</v>
      </c>
      <c r="J176" s="1224" t="s">
        <v>2890</v>
      </c>
      <c r="K176" s="1225"/>
      <c r="L176" s="1225"/>
      <c r="M176" s="1225"/>
      <c r="N176" s="1226"/>
      <c r="O176" s="83" t="s">
        <v>2764</v>
      </c>
      <c r="P176" s="1166"/>
      <c r="Q176" s="234"/>
    </row>
    <row r="177" spans="1:31" ht="12" customHeight="1">
      <c r="A177" s="189"/>
      <c r="B177" s="179"/>
      <c r="C177" s="141"/>
      <c r="D177" s="141"/>
      <c r="E177" s="141"/>
      <c r="F177" s="141"/>
      <c r="H177" s="83" t="s">
        <v>2765</v>
      </c>
      <c r="I177" s="65" t="s">
        <v>2357</v>
      </c>
      <c r="J177" s="1224" t="s">
        <v>3975</v>
      </c>
      <c r="K177" s="1225"/>
      <c r="L177" s="1225"/>
      <c r="M177" s="1225"/>
      <c r="N177" s="1226"/>
      <c r="O177" s="83" t="s">
        <v>2765</v>
      </c>
      <c r="P177" s="1166" t="s">
        <v>3926</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159" t="s">
        <v>3976</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3701</v>
      </c>
      <c r="C183" s="5"/>
      <c r="D183" s="118"/>
      <c r="E183" s="118"/>
      <c r="F183" s="118"/>
      <c r="G183" s="740"/>
      <c r="H183" s="740"/>
      <c r="I183" s="740"/>
      <c r="J183" s="740"/>
      <c r="K183" s="740"/>
      <c r="L183" s="740"/>
      <c r="M183" s="740"/>
      <c r="O183" s="180" t="s">
        <v>2923</v>
      </c>
      <c r="P183" s="992"/>
      <c r="Q183" s="993"/>
    </row>
    <row r="184" spans="1:31" ht="4.1500000000000004" customHeight="1"/>
    <row r="185" spans="1:31" ht="11.45" customHeight="1">
      <c r="B185" s="192" t="s">
        <v>3060</v>
      </c>
      <c r="C185" s="667" t="s">
        <v>2764</v>
      </c>
      <c r="D185" s="666" t="s">
        <v>801</v>
      </c>
      <c r="E185" s="666"/>
      <c r="F185" s="666"/>
      <c r="G185" s="666"/>
      <c r="H185" s="666"/>
      <c r="I185" s="666"/>
      <c r="J185" s="666"/>
      <c r="K185" s="666"/>
      <c r="L185" s="666"/>
      <c r="M185" s="666"/>
      <c r="N185" s="666"/>
      <c r="O185" s="221" t="s">
        <v>2230</v>
      </c>
      <c r="P185" s="1166" t="s">
        <v>3924</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3063</v>
      </c>
      <c r="C187" s="994" t="s">
        <v>2903</v>
      </c>
      <c r="D187" s="994"/>
      <c r="E187" s="994"/>
      <c r="F187" s="994"/>
      <c r="G187" s="994"/>
      <c r="H187" s="83" t="s">
        <v>2764</v>
      </c>
      <c r="I187" s="65" t="s">
        <v>971</v>
      </c>
      <c r="J187" s="1224" t="s">
        <v>3977</v>
      </c>
      <c r="K187" s="1225"/>
      <c r="L187" s="1225"/>
      <c r="M187" s="1225"/>
      <c r="N187" s="1226"/>
      <c r="O187" s="83" t="s">
        <v>2170</v>
      </c>
      <c r="P187" s="1166" t="s">
        <v>3926</v>
      </c>
      <c r="Q187" s="234"/>
    </row>
    <row r="188" spans="1:31" ht="11.45" customHeight="1">
      <c r="A188" s="189"/>
      <c r="B188" s="744"/>
      <c r="C188" s="994"/>
      <c r="D188" s="994"/>
      <c r="E188" s="994"/>
      <c r="F188" s="994"/>
      <c r="G188" s="994"/>
      <c r="H188" s="83" t="s">
        <v>2765</v>
      </c>
      <c r="I188" s="65" t="s">
        <v>131</v>
      </c>
      <c r="J188" s="1224" t="s">
        <v>3977</v>
      </c>
      <c r="K188" s="1225"/>
      <c r="L188" s="1225"/>
      <c r="M188" s="1225"/>
      <c r="N188" s="1226"/>
      <c r="O188" s="83" t="s">
        <v>2765</v>
      </c>
      <c r="P188" s="1166" t="s">
        <v>3926</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159" t="s">
        <v>4101</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2923</v>
      </c>
      <c r="P194" s="992"/>
      <c r="Q194" s="993"/>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3926</v>
      </c>
      <c r="Q196" s="234"/>
    </row>
    <row r="197" spans="1:31" ht="11.45" customHeight="1">
      <c r="B197" s="57" t="s">
        <v>3063</v>
      </c>
      <c r="C197" s="65" t="s">
        <v>194</v>
      </c>
      <c r="D197" s="65"/>
      <c r="E197" s="65"/>
      <c r="F197" s="65"/>
      <c r="G197" s="65"/>
      <c r="H197" s="65"/>
      <c r="I197" s="52"/>
      <c r="J197" s="52"/>
      <c r="K197" s="52"/>
      <c r="L197" s="190"/>
      <c r="M197" s="190"/>
      <c r="O197" s="221" t="s">
        <v>3063</v>
      </c>
      <c r="P197" s="1166" t="s">
        <v>3926</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3926</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3926</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13.15" customHeight="1">
      <c r="A201" s="1152" t="s">
        <v>4050</v>
      </c>
      <c r="B201" s="1153"/>
      <c r="C201" s="1153"/>
      <c r="D201" s="1153"/>
      <c r="E201" s="1153"/>
      <c r="F201" s="1153"/>
      <c r="G201" s="1153"/>
      <c r="H201" s="1153"/>
      <c r="I201" s="1153"/>
      <c r="J201" s="1153"/>
      <c r="K201" s="1153"/>
      <c r="L201" s="1153"/>
      <c r="M201" s="1153"/>
      <c r="N201" s="1153"/>
      <c r="O201" s="1153"/>
      <c r="P201" s="1153"/>
      <c r="Q201" s="1154"/>
      <c r="R201" s="998" t="s">
        <v>1932</v>
      </c>
      <c r="S201" s="998"/>
      <c r="U201" s="185"/>
      <c r="V201" s="185"/>
      <c r="W201" s="185"/>
      <c r="X201" s="185"/>
      <c r="Y201" s="185"/>
      <c r="Z201" s="185"/>
      <c r="AA201" s="185"/>
      <c r="AB201" s="185"/>
      <c r="AC201" s="185"/>
      <c r="AD201" s="185"/>
      <c r="AE201" s="186"/>
    </row>
    <row r="202" spans="1:31" ht="13.15" customHeight="1">
      <c r="A202" s="1155" t="s">
        <v>4051</v>
      </c>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2923</v>
      </c>
      <c r="P208" s="992"/>
      <c r="Q208" s="993"/>
    </row>
    <row r="209" spans="1:19" s="31" customFormat="1" ht="11.45" customHeight="1">
      <c r="B209" s="195" t="s">
        <v>1838</v>
      </c>
      <c r="N209" s="165"/>
      <c r="P209" s="1166" t="s">
        <v>3924</v>
      </c>
      <c r="Q209" s="234"/>
    </row>
    <row r="210" spans="1:19" ht="12" customHeight="1">
      <c r="B210" s="57" t="s">
        <v>3060</v>
      </c>
      <c r="C210" s="118" t="s">
        <v>2086</v>
      </c>
      <c r="D210" s="52"/>
      <c r="E210" s="52"/>
      <c r="F210" s="52"/>
      <c r="G210" s="52"/>
      <c r="H210" s="52"/>
      <c r="I210" s="52"/>
      <c r="J210" s="52"/>
      <c r="K210" s="52"/>
      <c r="L210" s="52"/>
      <c r="M210" s="52"/>
    </row>
    <row r="211" spans="1:19" ht="11.45" customHeight="1">
      <c r="B211" s="57"/>
      <c r="C211" s="83" t="s">
        <v>2764</v>
      </c>
      <c r="D211" s="65" t="s">
        <v>3003</v>
      </c>
      <c r="E211" s="65"/>
      <c r="F211" s="65"/>
      <c r="G211" s="65"/>
      <c r="H211" s="65"/>
      <c r="I211" s="52"/>
      <c r="J211" s="52"/>
      <c r="K211" s="52"/>
      <c r="L211" s="83" t="s">
        <v>2230</v>
      </c>
      <c r="M211" s="1224" t="s">
        <v>3978</v>
      </c>
      <c r="N211" s="1225"/>
      <c r="O211" s="1226"/>
      <c r="P211" s="1166" t="s">
        <v>3970</v>
      </c>
      <c r="Q211" s="234"/>
    </row>
    <row r="212" spans="1:19" ht="11.45" customHeight="1">
      <c r="B212" s="57"/>
      <c r="C212" s="83" t="s">
        <v>2765</v>
      </c>
      <c r="D212" s="40" t="s">
        <v>198</v>
      </c>
      <c r="E212" s="40"/>
      <c r="F212" s="40"/>
      <c r="G212" s="40"/>
      <c r="H212" s="40"/>
      <c r="I212" s="52"/>
      <c r="J212" s="52"/>
      <c r="K212" s="52"/>
      <c r="L212" s="83" t="s">
        <v>2231</v>
      </c>
      <c r="M212" s="1224" t="s">
        <v>3979</v>
      </c>
      <c r="N212" s="1225"/>
      <c r="O212" s="1226"/>
      <c r="P212" s="1166" t="s">
        <v>3970</v>
      </c>
      <c r="Q212" s="234"/>
    </row>
    <row r="213" spans="1:19" ht="11.45" customHeight="1">
      <c r="B213" s="57"/>
      <c r="C213" s="83" t="s">
        <v>2766</v>
      </c>
      <c r="D213" s="40" t="s">
        <v>855</v>
      </c>
      <c r="E213" s="40"/>
      <c r="F213" s="40"/>
      <c r="G213" s="40"/>
      <c r="H213" s="40"/>
      <c r="I213" s="52"/>
      <c r="J213" s="52"/>
      <c r="K213" s="52"/>
      <c r="L213" s="83" t="s">
        <v>2232</v>
      </c>
      <c r="M213" s="1246" t="s">
        <v>3980</v>
      </c>
      <c r="N213" s="1247"/>
      <c r="O213" s="1248"/>
      <c r="P213" s="1166" t="s">
        <v>3970</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3792</v>
      </c>
      <c r="D215" s="65"/>
      <c r="E215" s="65"/>
      <c r="F215" s="65"/>
      <c r="G215" s="65"/>
      <c r="H215" s="65"/>
      <c r="I215" s="65"/>
      <c r="J215" s="65"/>
      <c r="K215" s="52"/>
      <c r="L215" s="52"/>
      <c r="M215" s="52"/>
      <c r="N215" s="52"/>
      <c r="O215" s="62" t="s">
        <v>3063</v>
      </c>
      <c r="P215" s="1166" t="s">
        <v>3970</v>
      </c>
      <c r="Q215" s="234"/>
    </row>
    <row r="216" spans="1:19" ht="10.9" customHeight="1">
      <c r="B216" s="57"/>
      <c r="C216" s="65" t="s">
        <v>3791</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3201</v>
      </c>
      <c r="E218" s="1153"/>
      <c r="F218" s="1153"/>
      <c r="G218" s="1153"/>
      <c r="H218" s="1154"/>
      <c r="I218" s="456"/>
      <c r="J218" s="294"/>
      <c r="K218" s="83" t="s">
        <v>2766</v>
      </c>
      <c r="L218" s="1152" t="s">
        <v>3982</v>
      </c>
      <c r="M218" s="1153"/>
      <c r="N218" s="1153"/>
      <c r="O218" s="1154"/>
      <c r="P218" s="354"/>
      <c r="Q218" s="294"/>
    </row>
    <row r="219" spans="1:19" s="53" customFormat="1" ht="11.45" customHeight="1">
      <c r="A219" s="129"/>
      <c r="B219" s="64"/>
      <c r="C219" s="83" t="s">
        <v>2765</v>
      </c>
      <c r="D219" s="1155" t="s">
        <v>3981</v>
      </c>
      <c r="E219" s="1156"/>
      <c r="F219" s="1156"/>
      <c r="G219" s="1156"/>
      <c r="H219" s="1157"/>
      <c r="I219" s="689"/>
      <c r="J219" s="295"/>
      <c r="K219" s="83" t="s">
        <v>3570</v>
      </c>
      <c r="L219" s="1155" t="s">
        <v>2643</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3970</v>
      </c>
      <c r="Q221" s="234"/>
    </row>
    <row r="222" spans="1:19" ht="11.45" customHeight="1">
      <c r="B222" s="57"/>
      <c r="C222" s="83" t="s">
        <v>2764</v>
      </c>
      <c r="D222" s="65" t="s">
        <v>207</v>
      </c>
      <c r="E222" s="65"/>
      <c r="F222" s="65"/>
      <c r="G222" s="65"/>
      <c r="H222" s="65"/>
      <c r="I222" s="52"/>
      <c r="J222" s="42"/>
      <c r="K222" s="52"/>
      <c r="L222" s="42"/>
      <c r="M222" s="42"/>
      <c r="O222" s="83" t="s">
        <v>2764</v>
      </c>
      <c r="P222" s="1166" t="s">
        <v>3926</v>
      </c>
      <c r="Q222" s="234"/>
    </row>
    <row r="223" spans="1:19" ht="11.45" customHeight="1">
      <c r="C223" s="83" t="s">
        <v>2765</v>
      </c>
      <c r="D223" s="40" t="s">
        <v>2647</v>
      </c>
      <c r="E223" s="40"/>
      <c r="F223" s="40"/>
      <c r="G223" s="40"/>
      <c r="H223" s="40"/>
      <c r="I223" s="52"/>
      <c r="J223" s="42"/>
      <c r="K223" s="52"/>
      <c r="L223" s="42"/>
      <c r="M223" s="42"/>
      <c r="O223" s="83" t="s">
        <v>2765</v>
      </c>
      <c r="P223" s="1166" t="s">
        <v>3926</v>
      </c>
      <c r="Q223" s="234"/>
    </row>
    <row r="224" spans="1:19" ht="11.45" customHeight="1">
      <c r="C224" s="83" t="s">
        <v>2766</v>
      </c>
      <c r="D224" s="40" t="s">
        <v>2256</v>
      </c>
      <c r="E224" s="40"/>
      <c r="F224" s="40"/>
      <c r="G224" s="40"/>
      <c r="H224" s="40"/>
      <c r="I224" s="52"/>
      <c r="J224" s="42"/>
      <c r="K224" s="52"/>
      <c r="L224" s="42"/>
      <c r="M224" s="42"/>
      <c r="O224" s="83" t="s">
        <v>2766</v>
      </c>
      <c r="P224" s="1166" t="s">
        <v>3926</v>
      </c>
      <c r="Q224" s="234"/>
    </row>
    <row r="225" spans="1:31" ht="11.45" customHeight="1">
      <c r="B225" s="57"/>
      <c r="C225" s="83" t="s">
        <v>3570</v>
      </c>
      <c r="D225" s="40" t="s">
        <v>208</v>
      </c>
      <c r="E225" s="40"/>
      <c r="F225" s="40"/>
      <c r="G225" s="40"/>
      <c r="H225" s="40"/>
      <c r="I225" s="52"/>
      <c r="J225" s="42"/>
      <c r="K225" s="52"/>
      <c r="L225" s="42"/>
      <c r="M225" s="42"/>
      <c r="O225" s="83" t="s">
        <v>3570</v>
      </c>
      <c r="P225" s="1166" t="s">
        <v>3926</v>
      </c>
      <c r="Q225" s="234"/>
    </row>
    <row r="226" spans="1:31" ht="11.45" customHeight="1">
      <c r="B226" s="57"/>
      <c r="C226" s="83" t="s">
        <v>2303</v>
      </c>
      <c r="D226" s="65" t="s">
        <v>1351</v>
      </c>
      <c r="E226" s="65"/>
      <c r="F226" s="65"/>
      <c r="G226" s="65"/>
      <c r="H226" s="65"/>
      <c r="I226" s="52"/>
      <c r="J226" s="42"/>
      <c r="K226" s="52"/>
      <c r="L226" s="42"/>
      <c r="M226" s="42"/>
      <c r="O226" s="83" t="s">
        <v>1352</v>
      </c>
      <c r="P226" s="1166" t="s">
        <v>3926</v>
      </c>
      <c r="Q226" s="234"/>
    </row>
    <row r="227" spans="1:31" ht="11.45" customHeight="1">
      <c r="B227" s="57"/>
      <c r="C227" s="83"/>
      <c r="D227" s="65" t="s">
        <v>2233</v>
      </c>
      <c r="E227" s="65"/>
      <c r="F227" s="65"/>
      <c r="G227" s="65"/>
      <c r="H227" s="65"/>
      <c r="I227" s="52"/>
      <c r="J227" s="42"/>
      <c r="K227" s="52"/>
      <c r="L227" s="42"/>
      <c r="M227" s="42"/>
      <c r="O227" s="83" t="s">
        <v>1353</v>
      </c>
      <c r="P227" s="1166"/>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2344</v>
      </c>
      <c r="D229" s="65"/>
      <c r="E229" s="65"/>
      <c r="F229" s="65"/>
      <c r="G229" s="65"/>
      <c r="H229" s="65"/>
      <c r="I229" s="65"/>
      <c r="J229" s="65"/>
      <c r="K229" s="52"/>
      <c r="L229" s="65"/>
      <c r="M229" s="65"/>
      <c r="O229" s="62" t="s">
        <v>3212</v>
      </c>
      <c r="P229" s="1166"/>
      <c r="Q229" s="234"/>
    </row>
    <row r="230" spans="1:31" ht="11.45" customHeight="1">
      <c r="B230" s="57"/>
      <c r="C230" s="83" t="s">
        <v>2764</v>
      </c>
      <c r="D230" s="49" t="s">
        <v>1933</v>
      </c>
      <c r="E230" s="52"/>
      <c r="F230" s="52"/>
      <c r="G230" s="49"/>
      <c r="H230" s="40"/>
      <c r="I230" s="52"/>
      <c r="J230" s="40"/>
      <c r="K230" s="52"/>
      <c r="L230" s="40"/>
      <c r="M230" s="40"/>
      <c r="O230" s="83" t="s">
        <v>2764</v>
      </c>
      <c r="P230" s="1166"/>
      <c r="Q230" s="234"/>
    </row>
    <row r="231" spans="1:31" ht="11.45" customHeight="1">
      <c r="B231" s="57"/>
      <c r="C231" s="83" t="s">
        <v>2765</v>
      </c>
      <c r="D231" s="49" t="s">
        <v>199</v>
      </c>
      <c r="E231" s="52"/>
      <c r="F231" s="52"/>
      <c r="G231" s="40"/>
      <c r="H231" s="40"/>
      <c r="I231" s="52"/>
      <c r="J231" s="40"/>
      <c r="K231" s="52"/>
      <c r="L231" s="40"/>
      <c r="M231" s="40"/>
      <c r="O231" s="83" t="s">
        <v>2765</v>
      </c>
      <c r="P231" s="1166"/>
      <c r="Q231" s="234"/>
    </row>
    <row r="232" spans="1:31" ht="11.45" customHeight="1">
      <c r="B232" s="57"/>
      <c r="C232" s="83" t="s">
        <v>2766</v>
      </c>
      <c r="D232" s="40" t="s">
        <v>2625</v>
      </c>
      <c r="E232" s="52"/>
      <c r="F232" s="52"/>
      <c r="G232" s="40"/>
      <c r="H232" s="40"/>
      <c r="I232" s="52"/>
      <c r="J232" s="40"/>
      <c r="K232" s="52"/>
      <c r="L232" s="40"/>
      <c r="M232" s="40"/>
      <c r="O232" s="83" t="s">
        <v>3580</v>
      </c>
      <c r="P232" s="1166"/>
      <c r="Q232" s="234"/>
    </row>
    <row r="233" spans="1:31" ht="11.45" customHeight="1">
      <c r="B233" s="46"/>
      <c r="C233" s="52"/>
      <c r="D233" s="40" t="s">
        <v>1984</v>
      </c>
      <c r="E233" s="52"/>
      <c r="F233" s="52"/>
      <c r="G233" s="40"/>
      <c r="H233" s="40"/>
      <c r="I233" s="52"/>
      <c r="J233" s="40"/>
      <c r="K233" s="52"/>
      <c r="L233" s="40"/>
      <c r="M233" s="40"/>
      <c r="O233" s="83" t="s">
        <v>3581</v>
      </c>
      <c r="P233" s="116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11.45" customHeight="1">
      <c r="A235" s="1152" t="s">
        <v>4088</v>
      </c>
      <c r="B235" s="1153"/>
      <c r="C235" s="1153"/>
      <c r="D235" s="1153"/>
      <c r="E235" s="1153"/>
      <c r="F235" s="1153"/>
      <c r="G235" s="1153"/>
      <c r="H235" s="1153"/>
      <c r="I235" s="1153"/>
      <c r="J235" s="1153"/>
      <c r="K235" s="1153"/>
      <c r="L235" s="1153"/>
      <c r="M235" s="1153"/>
      <c r="N235" s="1153"/>
      <c r="O235" s="1153"/>
      <c r="P235" s="1153"/>
      <c r="Q235" s="1154"/>
      <c r="R235" s="998" t="s">
        <v>1932</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3121</v>
      </c>
      <c r="C241" s="5"/>
      <c r="D241" s="118"/>
      <c r="E241" s="118"/>
      <c r="F241" s="118"/>
      <c r="G241" s="118"/>
      <c r="H241" s="740"/>
      <c r="I241" s="740"/>
      <c r="J241" s="740"/>
      <c r="K241" s="740"/>
      <c r="L241" s="740"/>
      <c r="M241" s="740"/>
      <c r="O241" s="180" t="s">
        <v>2923</v>
      </c>
      <c r="P241" s="992"/>
      <c r="Q241" s="993"/>
    </row>
    <row r="242" spans="1:31" ht="4.9000000000000004" customHeight="1"/>
    <row r="243" spans="1:31" ht="11.45" customHeight="1">
      <c r="B243" s="57" t="s">
        <v>3060</v>
      </c>
      <c r="C243" s="65" t="s">
        <v>1952</v>
      </c>
      <c r="D243" s="52"/>
      <c r="E243" s="65"/>
      <c r="F243" s="65"/>
      <c r="G243" s="65"/>
      <c r="H243" s="65"/>
      <c r="I243" s="52"/>
      <c r="J243" s="52"/>
      <c r="K243" s="52"/>
      <c r="L243" s="62" t="s">
        <v>3060</v>
      </c>
      <c r="M243" s="1224" t="s">
        <v>2800</v>
      </c>
      <c r="N243" s="1225"/>
      <c r="O243" s="1226"/>
      <c r="P243" s="1019" t="s">
        <v>2800</v>
      </c>
      <c r="Q243" s="1020"/>
    </row>
    <row r="244" spans="1:31" ht="11.45" customHeight="1">
      <c r="B244" s="57" t="s">
        <v>3063</v>
      </c>
      <c r="C244" s="65" t="s">
        <v>1921</v>
      </c>
      <c r="D244" s="65"/>
      <c r="E244" s="65"/>
      <c r="F244" s="65"/>
      <c r="G244" s="65"/>
      <c r="H244" s="65"/>
      <c r="I244" s="52"/>
      <c r="J244" s="52"/>
      <c r="K244" s="52"/>
      <c r="L244" s="62" t="s">
        <v>3063</v>
      </c>
      <c r="M244" s="1249"/>
      <c r="N244" s="1250"/>
      <c r="O244" s="1251"/>
      <c r="P244" s="1021"/>
      <c r="Q244" s="1022"/>
    </row>
    <row r="245" spans="1:31" s="200" customFormat="1" ht="11.45" customHeight="1">
      <c r="B245" s="57" t="s">
        <v>1238</v>
      </c>
      <c r="C245" s="65" t="s">
        <v>3017</v>
      </c>
      <c r="D245" s="65"/>
      <c r="E245" s="65"/>
      <c r="F245" s="65"/>
      <c r="G245" s="65"/>
      <c r="H245" s="65"/>
      <c r="I245" s="129"/>
      <c r="J245" s="129"/>
      <c r="K245" s="129"/>
      <c r="L245" s="62" t="s">
        <v>1238</v>
      </c>
      <c r="M245" s="1224"/>
      <c r="N245" s="1225"/>
      <c r="O245" s="1226"/>
      <c r="P245" s="1019"/>
      <c r="Q245" s="1020"/>
    </row>
    <row r="246" spans="1:31" s="200" customFormat="1" ht="11.45" customHeight="1">
      <c r="B246" s="57" t="s">
        <v>3212</v>
      </c>
      <c r="C246" s="65" t="s">
        <v>3841</v>
      </c>
      <c r="D246" s="65"/>
      <c r="E246" s="65"/>
      <c r="F246" s="65"/>
      <c r="G246" s="65"/>
      <c r="H246" s="65"/>
      <c r="I246" s="129"/>
      <c r="J246" s="129"/>
      <c r="K246" s="129"/>
      <c r="L246" s="129"/>
      <c r="M246" s="129"/>
      <c r="O246" s="62" t="s">
        <v>3212</v>
      </c>
      <c r="P246" s="1166"/>
      <c r="Q246" s="234"/>
    </row>
    <row r="247" spans="1:31" s="200" customFormat="1" ht="22.15" customHeight="1">
      <c r="B247" s="192" t="s">
        <v>2762</v>
      </c>
      <c r="C247" s="1023" t="s">
        <v>1969</v>
      </c>
      <c r="D247" s="1023"/>
      <c r="E247" s="1023"/>
      <c r="F247" s="1023"/>
      <c r="G247" s="1023"/>
      <c r="H247" s="1023"/>
      <c r="I247" s="1023"/>
      <c r="J247" s="1023"/>
      <c r="K247" s="1023"/>
      <c r="L247" s="1023"/>
      <c r="M247" s="1023"/>
      <c r="O247" s="221" t="s">
        <v>2762</v>
      </c>
      <c r="P247" s="1166"/>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13.15" customHeight="1">
      <c r="A249" s="1152" t="s">
        <v>1580</v>
      </c>
      <c r="B249" s="1153"/>
      <c r="C249" s="1153"/>
      <c r="D249" s="1153"/>
      <c r="E249" s="1153"/>
      <c r="F249" s="1153"/>
      <c r="G249" s="1153"/>
      <c r="H249" s="1153"/>
      <c r="I249" s="1153"/>
      <c r="J249" s="1153"/>
      <c r="K249" s="1153"/>
      <c r="L249" s="1153"/>
      <c r="M249" s="1153"/>
      <c r="N249" s="1153"/>
      <c r="O249" s="1153"/>
      <c r="P249" s="1153"/>
      <c r="Q249" s="1154"/>
      <c r="R249" s="998" t="s">
        <v>1932</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2819</v>
      </c>
      <c r="C255" s="5"/>
      <c r="D255" s="118"/>
      <c r="E255" s="118"/>
      <c r="F255" s="118"/>
      <c r="G255" s="118"/>
      <c r="H255" s="740"/>
      <c r="I255" s="740"/>
      <c r="J255" s="740"/>
      <c r="K255" s="740"/>
      <c r="L255" s="740"/>
      <c r="M255" s="740"/>
      <c r="O255" s="180" t="s">
        <v>2923</v>
      </c>
      <c r="P255" s="992"/>
      <c r="Q255" s="993"/>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3926</v>
      </c>
      <c r="Q257" s="234"/>
    </row>
    <row r="258" spans="1:31" s="200" customFormat="1" ht="11.45" customHeight="1">
      <c r="B258" s="57" t="s">
        <v>3063</v>
      </c>
      <c r="C258" s="65" t="s">
        <v>2113</v>
      </c>
      <c r="D258" s="65"/>
      <c r="E258" s="65"/>
      <c r="F258" s="65"/>
      <c r="G258" s="65"/>
      <c r="H258" s="65"/>
      <c r="I258" s="65"/>
      <c r="J258" s="65"/>
      <c r="K258" s="65"/>
      <c r="L258" s="65"/>
      <c r="M258" s="65"/>
      <c r="O258" s="62" t="s">
        <v>3063</v>
      </c>
      <c r="P258" s="1166" t="s">
        <v>3926</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13.15" customHeight="1">
      <c r="A260" s="1152" t="s">
        <v>4089</v>
      </c>
      <c r="B260" s="1153"/>
      <c r="C260" s="1153"/>
      <c r="D260" s="1153"/>
      <c r="E260" s="1153"/>
      <c r="F260" s="1153"/>
      <c r="G260" s="1153"/>
      <c r="H260" s="1153"/>
      <c r="I260" s="1153"/>
      <c r="J260" s="1153"/>
      <c r="K260" s="1153"/>
      <c r="L260" s="1153"/>
      <c r="M260" s="1153"/>
      <c r="N260" s="1153"/>
      <c r="O260" s="1153"/>
      <c r="P260" s="1153"/>
      <c r="Q260" s="1154"/>
      <c r="R260" s="998" t="s">
        <v>1932</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1089</v>
      </c>
      <c r="C266" s="741"/>
      <c r="D266" s="740"/>
      <c r="E266" s="740"/>
      <c r="F266" s="740"/>
      <c r="G266" s="740"/>
      <c r="H266" s="740"/>
      <c r="I266" s="740"/>
      <c r="J266" s="740"/>
      <c r="K266" s="740"/>
      <c r="L266" s="740"/>
      <c r="M266" s="740"/>
      <c r="O266" s="180" t="s">
        <v>2923</v>
      </c>
      <c r="P266" s="992"/>
      <c r="Q266" s="993"/>
    </row>
    <row r="267" spans="1:31" ht="3" customHeight="1"/>
    <row r="268" spans="1:31" s="705" customFormat="1" ht="24" customHeight="1">
      <c r="B268" s="192" t="s">
        <v>3060</v>
      </c>
      <c r="C268" s="994" t="s">
        <v>1207</v>
      </c>
      <c r="D268" s="1039"/>
      <c r="E268" s="1039"/>
      <c r="F268" s="1039"/>
      <c r="G268" s="1039"/>
      <c r="H268" s="1039"/>
      <c r="I268" s="1039"/>
      <c r="J268" s="1039"/>
      <c r="K268" s="1039"/>
      <c r="L268" s="1039"/>
      <c r="M268" s="1039"/>
      <c r="N268" s="1039"/>
      <c r="O268" s="221" t="s">
        <v>3060</v>
      </c>
      <c r="P268" s="1166" t="s">
        <v>3970</v>
      </c>
      <c r="Q268" s="234"/>
    </row>
    <row r="269" spans="1:31" s="705" customFormat="1" ht="24" customHeight="1">
      <c r="B269" s="192" t="s">
        <v>3063</v>
      </c>
      <c r="C269" s="994" t="s">
        <v>1208</v>
      </c>
      <c r="D269" s="1039"/>
      <c r="E269" s="1039"/>
      <c r="F269" s="1039"/>
      <c r="G269" s="1039"/>
      <c r="H269" s="1039"/>
      <c r="I269" s="1039"/>
      <c r="J269" s="1039"/>
      <c r="K269" s="1039"/>
      <c r="L269" s="1039"/>
      <c r="M269" s="1039"/>
      <c r="N269" s="1039"/>
      <c r="O269" s="221" t="s">
        <v>3063</v>
      </c>
      <c r="P269" s="1166" t="s">
        <v>3970</v>
      </c>
      <c r="Q269" s="234"/>
    </row>
    <row r="270" spans="1:31" s="705" customFormat="1" ht="33" customHeight="1">
      <c r="B270" s="192" t="s">
        <v>1238</v>
      </c>
      <c r="C270" s="994" t="s">
        <v>1209</v>
      </c>
      <c r="D270" s="1039"/>
      <c r="E270" s="1039"/>
      <c r="F270" s="1039"/>
      <c r="G270" s="1039"/>
      <c r="H270" s="1039"/>
      <c r="I270" s="1039"/>
      <c r="J270" s="1039"/>
      <c r="K270" s="1039"/>
      <c r="L270" s="1039"/>
      <c r="M270" s="1039"/>
      <c r="N270" s="1039"/>
      <c r="O270" s="221" t="s">
        <v>3063</v>
      </c>
      <c r="P270" s="116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8" t="s">
        <v>1932</v>
      </c>
      <c r="S272" s="998"/>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877</v>
      </c>
      <c r="C278" s="201"/>
      <c r="D278" s="202"/>
      <c r="E278" s="740"/>
      <c r="F278" s="740"/>
      <c r="G278" s="740"/>
      <c r="H278" s="740"/>
      <c r="I278" s="740"/>
      <c r="J278" s="740"/>
      <c r="K278" s="740"/>
      <c r="L278" s="740"/>
      <c r="M278" s="740"/>
      <c r="O278" s="180" t="s">
        <v>2923</v>
      </c>
      <c r="P278" s="992"/>
      <c r="Q278" s="993"/>
    </row>
    <row r="279" spans="1:31" s="200" customFormat="1" ht="22.9" customHeight="1">
      <c r="B279" s="192" t="s">
        <v>3060</v>
      </c>
      <c r="C279" s="1023" t="s">
        <v>2944</v>
      </c>
      <c r="D279" s="1023"/>
      <c r="E279" s="1023"/>
      <c r="F279" s="1023"/>
      <c r="G279" s="1023"/>
      <c r="H279" s="1023"/>
      <c r="I279" s="1023"/>
      <c r="J279" s="1023"/>
      <c r="K279" s="1023"/>
      <c r="L279" s="1023"/>
      <c r="M279" s="1023"/>
      <c r="O279" s="221" t="s">
        <v>3060</v>
      </c>
      <c r="P279" s="1252" t="s">
        <v>3926</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3926</v>
      </c>
      <c r="Q280" s="234"/>
    </row>
    <row r="281" spans="1:31" s="200" customFormat="1" ht="22.9" customHeight="1">
      <c r="B281" s="192" t="s">
        <v>1238</v>
      </c>
      <c r="C281" s="994" t="s">
        <v>2887</v>
      </c>
      <c r="D281" s="1039"/>
      <c r="E281" s="1039"/>
      <c r="F281" s="1039"/>
      <c r="G281" s="1039"/>
      <c r="H281" s="1039"/>
      <c r="I281" s="1039"/>
      <c r="J281" s="1039"/>
      <c r="K281" s="1039"/>
      <c r="L281" s="1039"/>
      <c r="M281" s="1039"/>
      <c r="N281" s="1039"/>
      <c r="O281" s="62" t="s">
        <v>1238</v>
      </c>
      <c r="P281" s="1166" t="s">
        <v>3926</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3926</v>
      </c>
      <c r="Q282" s="234"/>
    </row>
    <row r="283" spans="1:31" s="200" customFormat="1" ht="22.9" customHeight="1">
      <c r="B283" s="192" t="s">
        <v>2762</v>
      </c>
      <c r="C283" s="994" t="s">
        <v>1080</v>
      </c>
      <c r="D283" s="1039"/>
      <c r="E283" s="1039"/>
      <c r="F283" s="1039"/>
      <c r="G283" s="1039"/>
      <c r="H283" s="1039"/>
      <c r="I283" s="1039"/>
      <c r="J283" s="1039"/>
      <c r="K283" s="1039"/>
      <c r="L283" s="1039"/>
      <c r="M283" s="1039"/>
      <c r="N283" s="1039"/>
      <c r="O283" s="62" t="s">
        <v>2762</v>
      </c>
      <c r="P283" s="1166" t="s">
        <v>3926</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1932</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3324</v>
      </c>
      <c r="C290" s="1012"/>
      <c r="D290" s="1012"/>
      <c r="E290" s="1012"/>
      <c r="F290" s="1012"/>
      <c r="G290" s="1012"/>
      <c r="H290" s="740"/>
      <c r="I290" s="740"/>
      <c r="J290" s="740"/>
      <c r="K290" s="740"/>
      <c r="L290" s="740"/>
      <c r="M290" s="740"/>
      <c r="O290" s="180" t="s">
        <v>2923</v>
      </c>
      <c r="P290" s="992"/>
      <c r="Q290" s="993"/>
    </row>
    <row r="291" spans="1:256" ht="11.45" customHeight="1">
      <c r="B291" s="195" t="s">
        <v>3381</v>
      </c>
      <c r="P291" s="1166" t="s">
        <v>3924</v>
      </c>
      <c r="Q291" s="234"/>
    </row>
    <row r="292" spans="1:256" ht="12" customHeight="1">
      <c r="B292" s="197" t="s">
        <v>3325</v>
      </c>
      <c r="C292" s="197"/>
      <c r="D292" s="197"/>
      <c r="E292" s="197"/>
      <c r="F292" s="197"/>
      <c r="G292" s="197"/>
      <c r="H292" s="197"/>
      <c r="I292" s="197"/>
      <c r="J292" s="197"/>
      <c r="K292" s="197"/>
      <c r="L292" s="197"/>
      <c r="P292" s="1166" t="s">
        <v>3926</v>
      </c>
      <c r="Q292" s="234"/>
    </row>
    <row r="293" spans="1:256" ht="11.45" customHeight="1">
      <c r="B293" s="192" t="s">
        <v>3060</v>
      </c>
      <c r="C293" s="263" t="s">
        <v>673</v>
      </c>
      <c r="D293" s="40"/>
      <c r="E293" s="40"/>
      <c r="F293" s="40"/>
      <c r="G293" s="40"/>
      <c r="H293" s="40"/>
      <c r="I293" s="40"/>
      <c r="J293" s="40"/>
      <c r="K293" s="40"/>
      <c r="L293" s="40"/>
      <c r="M293" s="40"/>
      <c r="N293" s="221"/>
    </row>
    <row r="294" spans="1:256" ht="33.6" customHeight="1">
      <c r="A294" s="194"/>
      <c r="C294" s="1038" t="s">
        <v>1081</v>
      </c>
      <c r="D294" s="1038"/>
      <c r="E294" s="1038"/>
      <c r="F294" s="1038"/>
      <c r="G294" s="1038"/>
      <c r="H294" s="1038"/>
      <c r="I294" s="1038"/>
      <c r="J294" s="1038"/>
      <c r="K294" s="1038"/>
      <c r="L294" s="1038"/>
      <c r="M294" s="1038"/>
      <c r="N294" s="1038"/>
      <c r="O294" s="221" t="s">
        <v>3060</v>
      </c>
      <c r="P294" s="125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037" t="s">
        <v>674</v>
      </c>
      <c r="D296" s="1037"/>
      <c r="E296" s="1037"/>
      <c r="F296" s="1037"/>
      <c r="G296" s="1037"/>
      <c r="H296" s="1037"/>
      <c r="I296" s="1037"/>
      <c r="J296" s="1037"/>
      <c r="K296" s="1037"/>
      <c r="L296" s="1037"/>
      <c r="M296" s="1037"/>
      <c r="O296" s="221" t="s">
        <v>3063</v>
      </c>
      <c r="P296" s="1166" t="s">
        <v>3926</v>
      </c>
      <c r="Q296" s="234"/>
    </row>
    <row r="297" spans="1:256" ht="24" customHeight="1">
      <c r="A297" s="194"/>
      <c r="C297" s="296" t="s">
        <v>2764</v>
      </c>
      <c r="D297" s="297" t="s">
        <v>1766</v>
      </c>
      <c r="E297" s="181"/>
      <c r="F297" s="181"/>
      <c r="G297" s="1253" t="s">
        <v>2167</v>
      </c>
      <c r="H297" s="1254"/>
      <c r="I297" s="1254"/>
      <c r="J297" s="1254"/>
      <c r="K297" s="1254"/>
      <c r="L297" s="1254"/>
      <c r="M297" s="1254"/>
      <c r="N297" s="1255"/>
      <c r="O297" s="301" t="s">
        <v>2764</v>
      </c>
      <c r="P297" s="1252" t="s">
        <v>3926</v>
      </c>
      <c r="Q297" s="353"/>
    </row>
    <row r="298" spans="1:256" ht="12.6" customHeight="1">
      <c r="A298" s="194"/>
      <c r="C298" s="296" t="s">
        <v>2765</v>
      </c>
      <c r="D298" s="297" t="s">
        <v>1768</v>
      </c>
      <c r="E298" s="181"/>
      <c r="F298" s="181"/>
      <c r="G298" s="1152" t="s">
        <v>3577</v>
      </c>
      <c r="H298" s="1256"/>
      <c r="I298" s="1256"/>
      <c r="J298" s="1256"/>
      <c r="K298" s="1256"/>
      <c r="L298" s="1256"/>
      <c r="M298" s="1256"/>
      <c r="N298" s="1257"/>
      <c r="O298" s="301" t="s">
        <v>2765</v>
      </c>
      <c r="P298" s="1183" t="s">
        <v>3926</v>
      </c>
      <c r="Q298" s="354"/>
    </row>
    <row r="299" spans="1:256" ht="12.6" customHeight="1">
      <c r="A299" s="194"/>
      <c r="C299" s="296"/>
      <c r="D299" s="298"/>
      <c r="E299" s="181"/>
      <c r="F299" s="181"/>
      <c r="G299" s="1258" t="s">
        <v>2780</v>
      </c>
      <c r="H299" s="1259"/>
      <c r="I299" s="1259"/>
      <c r="J299" s="1259"/>
      <c r="K299" s="1259"/>
      <c r="L299" s="1259"/>
      <c r="M299" s="1259"/>
      <c r="N299" s="1260"/>
      <c r="O299" s="301"/>
      <c r="P299" s="1184" t="s">
        <v>3926</v>
      </c>
      <c r="Q299" s="355"/>
    </row>
    <row r="300" spans="1:256" ht="24" customHeight="1">
      <c r="A300" s="194"/>
      <c r="C300" s="296" t="s">
        <v>2766</v>
      </c>
      <c r="D300" s="1024" t="s">
        <v>1767</v>
      </c>
      <c r="E300" s="1039"/>
      <c r="F300" s="1040"/>
      <c r="G300" s="1159" t="s">
        <v>1712</v>
      </c>
      <c r="H300" s="1261"/>
      <c r="I300" s="1261"/>
      <c r="J300" s="1261"/>
      <c r="K300" s="1261"/>
      <c r="L300" s="1261"/>
      <c r="M300" s="1261"/>
      <c r="N300" s="1262"/>
      <c r="O300" s="301" t="s">
        <v>2766</v>
      </c>
      <c r="P300" s="1252" t="s">
        <v>3926</v>
      </c>
      <c r="Q300" s="353"/>
    </row>
    <row r="301" spans="1:256" ht="12.6" customHeight="1">
      <c r="A301" s="194"/>
      <c r="C301" s="296" t="s">
        <v>3570</v>
      </c>
      <c r="D301" s="1024" t="s">
        <v>1769</v>
      </c>
      <c r="E301" s="1024"/>
      <c r="F301" s="1025"/>
      <c r="G301" s="1263" t="s">
        <v>3215</v>
      </c>
      <c r="H301" s="1264"/>
      <c r="I301" s="1264"/>
      <c r="J301" s="1264"/>
      <c r="K301" s="1264"/>
      <c r="L301" s="1264"/>
      <c r="M301" s="1264"/>
      <c r="N301" s="1265"/>
      <c r="O301" s="301" t="s">
        <v>3570</v>
      </c>
      <c r="P301" s="1266" t="s">
        <v>3926</v>
      </c>
      <c r="Q301" s="356"/>
    </row>
    <row r="302" spans="1:256" ht="12.6" customHeight="1">
      <c r="A302" s="194"/>
      <c r="C302" s="296"/>
      <c r="D302" s="1024"/>
      <c r="E302" s="1024"/>
      <c r="F302" s="1025"/>
      <c r="G302" s="1155" t="s">
        <v>2277</v>
      </c>
      <c r="H302" s="1267"/>
      <c r="I302" s="1267"/>
      <c r="J302" s="1267"/>
      <c r="K302" s="1267"/>
      <c r="L302" s="1267"/>
      <c r="M302" s="1267"/>
      <c r="N302" s="1268"/>
      <c r="P302" s="1269" t="s">
        <v>3926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11.45" customHeight="1">
      <c r="A305" s="1152" t="s">
        <v>4052</v>
      </c>
      <c r="B305" s="1153"/>
      <c r="C305" s="1153"/>
      <c r="D305" s="1153"/>
      <c r="E305" s="1153"/>
      <c r="F305" s="1153"/>
      <c r="G305" s="1153"/>
      <c r="H305" s="1153"/>
      <c r="I305" s="1153"/>
      <c r="J305" s="1153"/>
      <c r="K305" s="1153"/>
      <c r="L305" s="1153"/>
      <c r="M305" s="1153"/>
      <c r="N305" s="1153"/>
      <c r="O305" s="1153"/>
      <c r="P305" s="1153"/>
      <c r="Q305" s="1154"/>
      <c r="R305" s="1016" t="s">
        <v>1932</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3122</v>
      </c>
      <c r="C311" s="741"/>
      <c r="D311" s="740"/>
      <c r="E311" s="740"/>
      <c r="F311" s="740"/>
      <c r="G311" s="740"/>
      <c r="H311" s="740"/>
      <c r="O311" s="180" t="s">
        <v>2923</v>
      </c>
      <c r="P311" s="992"/>
      <c r="Q311" s="993"/>
    </row>
    <row r="312" spans="1:31" ht="3" customHeight="1"/>
    <row r="313" spans="1:31" ht="11.45" customHeight="1">
      <c r="B313" s="195" t="s">
        <v>3513</v>
      </c>
      <c r="P313" s="1166" t="s">
        <v>3926</v>
      </c>
      <c r="Q313" s="234"/>
    </row>
    <row r="314" spans="1:31" ht="11.45" customHeight="1">
      <c r="B314" s="195" t="s">
        <v>3514</v>
      </c>
      <c r="P314" s="1166" t="s">
        <v>3924</v>
      </c>
      <c r="Q314" s="234"/>
    </row>
    <row r="315" spans="1:31" ht="11.45" customHeight="1">
      <c r="B315" s="195" t="s">
        <v>924</v>
      </c>
      <c r="L315" s="1270" t="s">
        <v>4053</v>
      </c>
      <c r="M315" s="1271"/>
      <c r="N315" s="1271"/>
      <c r="O315" s="1272"/>
      <c r="P315" s="1166"/>
      <c r="Q315" s="234"/>
    </row>
    <row r="316" spans="1:31" ht="11.45" customHeight="1">
      <c r="B316" s="690" t="s">
        <v>3515</v>
      </c>
      <c r="L316" s="1041"/>
      <c r="M316" s="1042"/>
      <c r="N316" s="1042"/>
      <c r="O316" s="1043"/>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998" t="s">
        <v>1932</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2923</v>
      </c>
      <c r="P327" s="992"/>
      <c r="Q327" s="993"/>
    </row>
    <row r="328" spans="1:31" ht="3" customHeight="1"/>
    <row r="329" spans="1:31" ht="22.15" customHeight="1">
      <c r="B329" s="192" t="s">
        <v>3060</v>
      </c>
      <c r="C329" s="994" t="s">
        <v>2543</v>
      </c>
      <c r="D329" s="994"/>
      <c r="E329" s="994"/>
      <c r="F329" s="994"/>
      <c r="G329" s="994"/>
      <c r="H329" s="994"/>
      <c r="I329" s="994"/>
      <c r="J329" s="994"/>
      <c r="K329" s="994"/>
      <c r="L329" s="994"/>
      <c r="M329" s="994"/>
      <c r="N329" s="994"/>
      <c r="O329" s="221" t="s">
        <v>3060</v>
      </c>
      <c r="P329" s="1166" t="s">
        <v>3926</v>
      </c>
      <c r="Q329" s="234"/>
    </row>
    <row r="330" spans="1:31" ht="11.45" customHeight="1">
      <c r="B330" s="192" t="s">
        <v>3063</v>
      </c>
      <c r="C330" s="994" t="s">
        <v>356</v>
      </c>
      <c r="D330" s="994"/>
      <c r="E330" s="994"/>
      <c r="F330" s="994"/>
      <c r="G330" s="994"/>
      <c r="H330" s="994"/>
      <c r="I330" s="994"/>
      <c r="J330" s="994"/>
      <c r="K330" s="994"/>
      <c r="L330" s="994"/>
      <c r="M330" s="740"/>
      <c r="O330" s="221" t="s">
        <v>3063</v>
      </c>
      <c r="P330" s="1166" t="s">
        <v>3924</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3926</v>
      </c>
      <c r="Q331" s="234"/>
    </row>
    <row r="332" spans="1:31" ht="22.15" customHeight="1">
      <c r="B332" s="192" t="s">
        <v>3212</v>
      </c>
      <c r="C332" s="994" t="s">
        <v>1058</v>
      </c>
      <c r="D332" s="994"/>
      <c r="E332" s="994"/>
      <c r="F332" s="994"/>
      <c r="G332" s="994"/>
      <c r="H332" s="994"/>
      <c r="I332" s="994"/>
      <c r="J332" s="994"/>
      <c r="K332" s="994"/>
      <c r="L332" s="994"/>
      <c r="M332" s="994"/>
      <c r="N332" s="994"/>
      <c r="O332" s="221" t="s">
        <v>3212</v>
      </c>
      <c r="P332" s="1166" t="s">
        <v>3926</v>
      </c>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11.45" customHeight="1">
      <c r="A334" s="1152" t="s">
        <v>4054</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4070</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1553</v>
      </c>
      <c r="C341" s="5"/>
      <c r="D341" s="5"/>
      <c r="E341" s="5"/>
      <c r="F341" s="5"/>
      <c r="G341" s="5"/>
      <c r="H341" s="740"/>
      <c r="I341" s="740"/>
      <c r="J341" s="740"/>
      <c r="K341" s="740"/>
      <c r="L341" s="740"/>
      <c r="M341" s="740"/>
      <c r="O341" s="180" t="s">
        <v>2923</v>
      </c>
      <c r="P341" s="992"/>
      <c r="Q341" s="993"/>
    </row>
    <row r="342" spans="1:31" ht="12" customHeight="1">
      <c r="B342" s="57" t="s">
        <v>3060</v>
      </c>
      <c r="C342" s="160" t="s">
        <v>2083</v>
      </c>
      <c r="D342" s="744"/>
      <c r="E342" s="744"/>
      <c r="F342" s="744"/>
      <c r="G342" s="744"/>
      <c r="H342" s="744"/>
      <c r="I342" s="52"/>
      <c r="J342" s="62" t="s">
        <v>3060</v>
      </c>
      <c r="K342" s="1224"/>
      <c r="L342" s="1225"/>
      <c r="M342" s="1225"/>
      <c r="N342" s="1225"/>
      <c r="O342" s="1226"/>
      <c r="P342" s="1166"/>
      <c r="Q342" s="234"/>
    </row>
    <row r="343" spans="1:31" ht="24" customHeight="1">
      <c r="B343" s="192" t="s">
        <v>3063</v>
      </c>
      <c r="C343" s="977" t="s">
        <v>2907</v>
      </c>
      <c r="D343" s="977"/>
      <c r="E343" s="977"/>
      <c r="F343" s="977"/>
      <c r="G343" s="977"/>
      <c r="H343" s="977"/>
      <c r="I343" s="977"/>
      <c r="J343" s="977"/>
      <c r="K343" s="977"/>
      <c r="L343" s="977"/>
      <c r="M343" s="977"/>
      <c r="O343" s="221" t="s">
        <v>3063</v>
      </c>
      <c r="P343" s="1252"/>
      <c r="Q343" s="234"/>
    </row>
    <row r="344" spans="1:31" ht="12" customHeight="1">
      <c r="B344" s="57" t="s">
        <v>1238</v>
      </c>
      <c r="C344" s="65" t="s">
        <v>1554</v>
      </c>
      <c r="D344" s="65"/>
      <c r="E344" s="65"/>
      <c r="F344" s="65"/>
      <c r="G344" s="65"/>
      <c r="H344" s="65"/>
      <c r="I344" s="65"/>
      <c r="J344" s="65"/>
      <c r="K344" s="65"/>
      <c r="L344" s="40"/>
      <c r="M344" s="40"/>
      <c r="O344" s="62" t="s">
        <v>1238</v>
      </c>
      <c r="P344" s="1166"/>
      <c r="Q344" s="234"/>
    </row>
    <row r="345" spans="1:31" ht="12" customHeight="1">
      <c r="B345" s="57" t="s">
        <v>3212</v>
      </c>
      <c r="C345" s="65" t="s">
        <v>355</v>
      </c>
      <c r="D345" s="65"/>
      <c r="E345" s="65"/>
      <c r="F345" s="65"/>
      <c r="G345" s="65"/>
      <c r="H345" s="65"/>
      <c r="I345" s="65"/>
      <c r="J345" s="65"/>
      <c r="K345" s="65"/>
      <c r="L345" s="65"/>
      <c r="M345" s="65"/>
      <c r="O345" s="62" t="s">
        <v>3212</v>
      </c>
      <c r="P345" s="1166"/>
      <c r="Q345" s="234"/>
    </row>
    <row r="346" spans="1:31" ht="22.9" customHeight="1">
      <c r="B346" s="192" t="s">
        <v>2762</v>
      </c>
      <c r="C346" s="994" t="s">
        <v>429</v>
      </c>
      <c r="D346" s="994"/>
      <c r="E346" s="994"/>
      <c r="F346" s="994"/>
      <c r="G346" s="994"/>
      <c r="H346" s="994"/>
      <c r="I346" s="994"/>
      <c r="J346" s="994"/>
      <c r="K346" s="994"/>
      <c r="L346" s="994"/>
      <c r="M346" s="994"/>
      <c r="N346" s="994"/>
      <c r="O346" s="221" t="s">
        <v>2762</v>
      </c>
      <c r="P346" s="1252"/>
      <c r="Q346" s="353"/>
    </row>
    <row r="347" spans="1:31" ht="12" customHeight="1">
      <c r="B347" s="57" t="s">
        <v>2763</v>
      </c>
      <c r="C347" s="65" t="s">
        <v>1985</v>
      </c>
      <c r="D347" s="65"/>
      <c r="E347" s="65"/>
      <c r="F347" s="65"/>
      <c r="G347" s="65"/>
      <c r="H347" s="65"/>
      <c r="I347" s="65"/>
      <c r="J347" s="65"/>
      <c r="K347" s="65"/>
      <c r="L347" s="65"/>
      <c r="M347" s="65"/>
      <c r="O347" s="62" t="s">
        <v>2763</v>
      </c>
      <c r="P347" s="1166"/>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159" t="s">
        <v>1580</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3754</v>
      </c>
      <c r="C353" s="5"/>
      <c r="D353" s="5"/>
      <c r="E353" s="5"/>
      <c r="F353" s="5"/>
      <c r="G353" s="5"/>
      <c r="H353" s="740"/>
      <c r="I353" s="740"/>
      <c r="J353" s="740"/>
      <c r="O353" s="180" t="s">
        <v>2923</v>
      </c>
      <c r="P353" s="992"/>
      <c r="Q353" s="993"/>
    </row>
    <row r="354" spans="1:31" ht="11.45" customHeight="1">
      <c r="B354" s="57" t="s">
        <v>3060</v>
      </c>
      <c r="C354" s="160" t="s">
        <v>1657</v>
      </c>
      <c r="D354" s="744"/>
      <c r="E354" s="744"/>
      <c r="F354" s="744"/>
      <c r="G354" s="744"/>
      <c r="H354" s="744"/>
      <c r="I354" s="52"/>
      <c r="J354" s="62" t="s">
        <v>3060</v>
      </c>
      <c r="K354" s="1224"/>
      <c r="L354" s="1225"/>
      <c r="M354" s="1225"/>
      <c r="N354" s="1225"/>
      <c r="O354" s="1226"/>
      <c r="P354" s="1166"/>
      <c r="Q354" s="234"/>
    </row>
    <row r="355" spans="1:31" ht="11.45" customHeight="1">
      <c r="B355" s="57" t="s">
        <v>3063</v>
      </c>
      <c r="C355" s="65" t="s">
        <v>2767</v>
      </c>
      <c r="D355" s="65"/>
      <c r="E355" s="65"/>
      <c r="F355" s="65"/>
      <c r="G355" s="65"/>
      <c r="H355" s="65"/>
      <c r="I355" s="65"/>
      <c r="J355" s="65"/>
      <c r="K355" s="65"/>
      <c r="L355" s="40"/>
      <c r="M355" s="40"/>
      <c r="O355" s="62" t="s">
        <v>3063</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2762</v>
      </c>
      <c r="C358" s="994" t="s">
        <v>635</v>
      </c>
      <c r="D358" s="994"/>
      <c r="E358" s="994"/>
      <c r="F358" s="994"/>
      <c r="G358" s="994"/>
      <c r="H358" s="994"/>
      <c r="I358" s="994"/>
      <c r="J358" s="994"/>
      <c r="K358" s="994"/>
      <c r="L358" s="994"/>
      <c r="M358" s="994"/>
      <c r="N358" s="994"/>
      <c r="O358" s="221" t="s">
        <v>2762</v>
      </c>
      <c r="P358" s="1166"/>
      <c r="Q358" s="234"/>
    </row>
    <row r="359" spans="1:31" ht="20.45" customHeight="1">
      <c r="B359" s="192" t="s">
        <v>2763</v>
      </c>
      <c r="C359" s="977" t="s">
        <v>230</v>
      </c>
      <c r="D359" s="977"/>
      <c r="E359" s="977"/>
      <c r="F359" s="977"/>
      <c r="G359" s="977"/>
      <c r="H359" s="977"/>
      <c r="I359" s="977"/>
      <c r="J359" s="977"/>
      <c r="K359" s="977"/>
      <c r="L359" s="977"/>
      <c r="M359" s="977"/>
      <c r="N359" s="977"/>
      <c r="O359" s="221" t="s">
        <v>2763</v>
      </c>
      <c r="P359" s="1252"/>
      <c r="Q359" s="234"/>
    </row>
    <row r="360" spans="1:31" ht="11.45" customHeight="1">
      <c r="B360" s="57" t="s">
        <v>3020</v>
      </c>
      <c r="C360" s="40" t="s">
        <v>851</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159" t="s">
        <v>4055</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1082</v>
      </c>
      <c r="C366" s="5"/>
      <c r="D366" s="118"/>
      <c r="E366" s="740"/>
      <c r="F366" s="740"/>
      <c r="G366" s="740"/>
      <c r="H366" s="740"/>
      <c r="I366" s="740"/>
      <c r="J366" s="740"/>
      <c r="K366" s="740"/>
      <c r="L366" s="740"/>
      <c r="M366" s="740"/>
      <c r="O366" s="180" t="s">
        <v>2923</v>
      </c>
      <c r="P366" s="992"/>
      <c r="Q366" s="993"/>
    </row>
    <row r="367" spans="1:31" s="2" customFormat="1" ht="23.45" customHeight="1">
      <c r="B367" s="192" t="s">
        <v>3060</v>
      </c>
      <c r="C367" s="994" t="s">
        <v>201</v>
      </c>
      <c r="D367" s="994"/>
      <c r="E367" s="994"/>
      <c r="F367" s="994"/>
      <c r="G367" s="994"/>
      <c r="H367" s="994"/>
      <c r="I367" s="994"/>
      <c r="J367" s="994"/>
      <c r="K367" s="994"/>
      <c r="L367" s="994"/>
      <c r="M367" s="221" t="s">
        <v>3060</v>
      </c>
      <c r="N367" s="1273" t="s">
        <v>3983</v>
      </c>
      <c r="O367" s="1274"/>
      <c r="P367" s="1010" t="s">
        <v>2800</v>
      </c>
      <c r="Q367" s="1011"/>
    </row>
    <row r="368" spans="1:31" s="2" customFormat="1" ht="12" customHeight="1">
      <c r="B368" s="57" t="s">
        <v>3063</v>
      </c>
      <c r="C368" s="157" t="s">
        <v>2</v>
      </c>
      <c r="D368" s="204"/>
      <c r="E368" s="204"/>
      <c r="G368" s="62" t="s">
        <v>3063</v>
      </c>
      <c r="H368" s="1236" t="s">
        <v>4000</v>
      </c>
      <c r="I368" s="1237"/>
      <c r="J368" s="1237"/>
      <c r="K368" s="1237"/>
      <c r="L368" s="1237"/>
      <c r="M368" s="1237"/>
      <c r="N368" s="1237"/>
      <c r="O368" s="1238"/>
      <c r="P368" s="1166" t="s">
        <v>3926</v>
      </c>
      <c r="Q368" s="234"/>
    </row>
    <row r="369" spans="1:31" s="2" customFormat="1" ht="12" customHeight="1">
      <c r="B369" s="57" t="s">
        <v>1238</v>
      </c>
      <c r="C369" s="40" t="s">
        <v>2125</v>
      </c>
      <c r="D369" s="12"/>
      <c r="E369" s="12"/>
      <c r="F369" s="12"/>
      <c r="G369" s="8"/>
      <c r="H369" s="8"/>
      <c r="I369" s="40"/>
      <c r="K369" s="8"/>
      <c r="L369" s="8"/>
      <c r="M369" s="8"/>
      <c r="O369" s="62" t="s">
        <v>1238</v>
      </c>
      <c r="P369" s="1166" t="s">
        <v>3924</v>
      </c>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152" t="s">
        <v>4069</v>
      </c>
      <c r="B371" s="1153"/>
      <c r="C371" s="1153"/>
      <c r="D371" s="1153"/>
      <c r="E371" s="1153"/>
      <c r="F371" s="1153"/>
      <c r="G371" s="1153"/>
      <c r="H371" s="1153"/>
      <c r="I371" s="1153"/>
      <c r="J371" s="1153"/>
      <c r="K371" s="1153"/>
      <c r="L371" s="1153"/>
      <c r="M371" s="1153"/>
      <c r="N371" s="1153"/>
      <c r="O371" s="1153"/>
      <c r="P371" s="1153"/>
      <c r="Q371" s="1154"/>
      <c r="R371" s="998" t="s">
        <v>1932</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2529</v>
      </c>
      <c r="C378" s="5"/>
      <c r="D378" s="5"/>
      <c r="E378" s="740"/>
      <c r="F378" s="190" t="s">
        <v>1057</v>
      </c>
      <c r="G378" s="740"/>
      <c r="H378" s="740"/>
      <c r="I378" s="740"/>
      <c r="J378" s="740"/>
      <c r="K378" s="740"/>
      <c r="L378" s="740"/>
      <c r="M378" s="740"/>
      <c r="O378" s="180" t="s">
        <v>2923</v>
      </c>
      <c r="P378" s="992"/>
      <c r="Q378" s="1009"/>
    </row>
    <row r="379" spans="1:31" ht="12" customHeight="1">
      <c r="A379" s="194"/>
      <c r="B379" s="57" t="s">
        <v>3060</v>
      </c>
      <c r="C379" s="65" t="s">
        <v>2126</v>
      </c>
      <c r="D379" s="743"/>
      <c r="E379" s="743"/>
      <c r="H379" s="190"/>
      <c r="O379" s="62" t="s">
        <v>3060</v>
      </c>
      <c r="P379" s="1166"/>
      <c r="Q379" s="234"/>
    </row>
    <row r="380" spans="1:31" ht="12" customHeight="1">
      <c r="A380" s="194"/>
      <c r="B380" s="57" t="s">
        <v>3063</v>
      </c>
      <c r="C380" s="65" t="s">
        <v>1241</v>
      </c>
      <c r="D380" s="743"/>
      <c r="E380" s="743"/>
      <c r="O380" s="62" t="s">
        <v>3063</v>
      </c>
      <c r="P380" s="1166"/>
      <c r="Q380" s="234"/>
    </row>
    <row r="381" spans="1:31" ht="12" customHeight="1">
      <c r="A381" s="194"/>
      <c r="B381" s="57" t="s">
        <v>1238</v>
      </c>
      <c r="C381" s="65" t="s">
        <v>1242</v>
      </c>
      <c r="D381" s="743"/>
      <c r="E381" s="743"/>
      <c r="O381" s="62" t="s">
        <v>1238</v>
      </c>
      <c r="P381" s="1166"/>
      <c r="Q381" s="234"/>
    </row>
    <row r="382" spans="1:31" ht="12" customHeight="1">
      <c r="A382" s="194"/>
      <c r="B382" s="57" t="s">
        <v>3212</v>
      </c>
      <c r="C382" s="65" t="s">
        <v>877</v>
      </c>
      <c r="E382" s="190"/>
      <c r="O382" s="62" t="s">
        <v>3212</v>
      </c>
      <c r="P382" s="1166"/>
      <c r="Q382" s="234"/>
    </row>
    <row r="383" spans="1:31" ht="12" customHeight="1">
      <c r="B383" s="57" t="s">
        <v>2762</v>
      </c>
      <c r="C383" s="65" t="s">
        <v>3175</v>
      </c>
      <c r="E383" s="190"/>
      <c r="G383" s="62" t="s">
        <v>2762</v>
      </c>
      <c r="H383" s="1236"/>
      <c r="I383" s="1237"/>
      <c r="J383" s="1237"/>
      <c r="K383" s="1237"/>
      <c r="L383" s="1237"/>
      <c r="M383" s="1237"/>
      <c r="N383" s="1237"/>
      <c r="O383" s="1238"/>
      <c r="P383" s="116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159" t="s">
        <v>1580</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3755</v>
      </c>
      <c r="C389" s="1012"/>
      <c r="D389" s="1012"/>
      <c r="E389" s="1012"/>
      <c r="F389" s="1012"/>
      <c r="G389" s="1012"/>
      <c r="H389" s="740"/>
      <c r="I389" s="740"/>
      <c r="J389" s="740"/>
      <c r="K389" s="740"/>
      <c r="L389" s="740"/>
      <c r="M389" s="740"/>
      <c r="O389" s="180" t="s">
        <v>2923</v>
      </c>
      <c r="P389" s="992"/>
      <c r="Q389" s="1009"/>
    </row>
    <row r="390" spans="1:31" ht="23.45" customHeight="1">
      <c r="A390" s="189"/>
      <c r="B390" s="192" t="s">
        <v>3060</v>
      </c>
      <c r="C390" s="994" t="s">
        <v>907</v>
      </c>
      <c r="D390" s="994"/>
      <c r="E390" s="994"/>
      <c r="F390" s="994"/>
      <c r="G390" s="994"/>
      <c r="H390" s="994"/>
      <c r="I390" s="994"/>
      <c r="J390" s="994"/>
      <c r="K390" s="994"/>
      <c r="L390" s="994"/>
      <c r="M390" s="994"/>
      <c r="N390" s="994"/>
      <c r="O390" s="221" t="s">
        <v>3060</v>
      </c>
      <c r="P390" s="1166" t="s">
        <v>3970</v>
      </c>
      <c r="Q390" s="234"/>
    </row>
    <row r="391" spans="1:31" ht="12" customHeight="1">
      <c r="A391" s="189"/>
      <c r="B391" s="57" t="s">
        <v>3063</v>
      </c>
      <c r="C391" s="197" t="s">
        <v>852</v>
      </c>
      <c r="D391" s="740"/>
      <c r="E391" s="740"/>
      <c r="F391" s="740"/>
      <c r="G391" s="740"/>
      <c r="H391" s="740"/>
      <c r="I391" s="740"/>
      <c r="J391" s="740"/>
      <c r="K391" s="740"/>
      <c r="L391" s="740"/>
      <c r="M391" s="740"/>
      <c r="O391" s="62" t="s">
        <v>3063</v>
      </c>
      <c r="P391" s="1166" t="s">
        <v>3926</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2004</v>
      </c>
      <c r="C395" s="1012"/>
      <c r="D395" s="1012"/>
      <c r="E395" s="1012"/>
      <c r="F395" s="1012"/>
      <c r="G395" s="1012"/>
      <c r="H395" s="740"/>
      <c r="I395" s="740"/>
      <c r="J395" s="740"/>
      <c r="K395" s="740"/>
      <c r="L395" s="740"/>
      <c r="M395" s="740"/>
      <c r="O395" s="180" t="s">
        <v>2923</v>
      </c>
      <c r="P395" s="992"/>
      <c r="Q395" s="1009"/>
    </row>
    <row r="396" spans="1:31" ht="12" customHeight="1">
      <c r="A396" s="52"/>
      <c r="B396" s="57" t="s">
        <v>3060</v>
      </c>
      <c r="C396" s="49" t="s">
        <v>1243</v>
      </c>
      <c r="D396" s="52"/>
      <c r="E396" s="52"/>
      <c r="F396" s="52"/>
      <c r="G396" s="52"/>
      <c r="H396" s="52"/>
      <c r="I396" s="52"/>
      <c r="J396" s="52"/>
      <c r="K396" s="52"/>
      <c r="L396" s="52"/>
      <c r="M396" s="52"/>
      <c r="N396" s="52"/>
      <c r="O396" s="62" t="s">
        <v>3060</v>
      </c>
      <c r="P396" s="1166" t="s">
        <v>3924</v>
      </c>
      <c r="Q396" s="234"/>
    </row>
    <row r="397" spans="1:31" ht="12" customHeight="1">
      <c r="A397" s="52"/>
      <c r="B397" s="57" t="s">
        <v>3063</v>
      </c>
      <c r="C397" s="49" t="s">
        <v>3313</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66"/>
      <c r="Q399" s="234"/>
    </row>
    <row r="400" spans="1:31" ht="12" customHeight="1">
      <c r="A400" s="52"/>
      <c r="B400" s="57" t="s">
        <v>1238</v>
      </c>
      <c r="C400" s="977" t="s">
        <v>3312</v>
      </c>
      <c r="D400" s="977"/>
      <c r="E400" s="977"/>
      <c r="F400" s="977"/>
      <c r="G400" s="977"/>
      <c r="H400" s="977"/>
      <c r="I400" s="977"/>
      <c r="J400" s="977"/>
      <c r="K400" s="977"/>
      <c r="L400" s="977"/>
      <c r="M400" s="977"/>
      <c r="N400" s="977"/>
      <c r="O400" s="62" t="s">
        <v>1238</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3315</v>
      </c>
      <c r="D402" s="52"/>
      <c r="E402" s="52"/>
      <c r="F402" s="40"/>
      <c r="G402" s="40"/>
      <c r="H402" s="52"/>
      <c r="K402" s="40"/>
      <c r="L402" s="40"/>
      <c r="M402" s="40"/>
      <c r="N402" s="52"/>
      <c r="O402" s="62" t="s">
        <v>2764</v>
      </c>
      <c r="P402" s="1275"/>
      <c r="Q402" s="706" t="s">
        <v>311</v>
      </c>
    </row>
    <row r="403" spans="1:31" ht="12" customHeight="1">
      <c r="A403" s="52"/>
      <c r="B403" s="57"/>
      <c r="C403" s="183" t="s">
        <v>3316</v>
      </c>
      <c r="D403" s="52"/>
      <c r="E403" s="52"/>
      <c r="F403" s="40"/>
      <c r="G403" s="40"/>
      <c r="H403" s="52"/>
      <c r="K403" s="40"/>
      <c r="L403" s="40"/>
      <c r="M403" s="40"/>
      <c r="N403" s="52"/>
      <c r="O403" s="62" t="s">
        <v>2765</v>
      </c>
      <c r="P403" s="1275"/>
      <c r="Q403" s="706"/>
    </row>
    <row r="404" spans="1:31" ht="12" customHeight="1">
      <c r="A404" s="52"/>
      <c r="B404" s="57"/>
      <c r="C404" s="183" t="s">
        <v>3317</v>
      </c>
      <c r="D404" s="52"/>
      <c r="E404" s="52"/>
      <c r="F404" s="40"/>
      <c r="G404" s="40"/>
      <c r="H404" s="52"/>
      <c r="K404" s="40"/>
      <c r="L404" s="40"/>
      <c r="M404" s="40"/>
      <c r="N404" s="52"/>
      <c r="O404" s="62" t="s">
        <v>2766</v>
      </c>
      <c r="P404" s="1275"/>
      <c r="Q404" s="706" t="s">
        <v>311</v>
      </c>
    </row>
    <row r="405" spans="1:31" ht="12" customHeight="1">
      <c r="A405" s="52"/>
      <c r="B405" s="57"/>
      <c r="C405" s="183" t="s">
        <v>3318</v>
      </c>
      <c r="D405" s="52"/>
      <c r="E405" s="52"/>
      <c r="F405" s="40"/>
      <c r="G405" s="40"/>
      <c r="H405" s="52"/>
      <c r="K405" s="40"/>
      <c r="L405" s="40"/>
      <c r="M405" s="40"/>
      <c r="N405" s="52"/>
      <c r="O405" s="62" t="s">
        <v>3570</v>
      </c>
      <c r="P405" s="1275"/>
      <c r="Q405" s="706" t="s">
        <v>311</v>
      </c>
    </row>
    <row r="406" spans="1:31" ht="12" customHeight="1">
      <c r="A406" s="52"/>
      <c r="B406" s="57"/>
      <c r="C406" s="183" t="s">
        <v>3319</v>
      </c>
      <c r="D406" s="52"/>
      <c r="E406" s="52"/>
      <c r="F406" s="40"/>
      <c r="G406" s="40"/>
      <c r="H406" s="52"/>
      <c r="K406" s="40"/>
      <c r="L406" s="40"/>
      <c r="M406" s="40"/>
      <c r="N406" s="52"/>
      <c r="O406" s="62" t="s">
        <v>2303</v>
      </c>
      <c r="P406" s="1275"/>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76" t="s">
        <v>3320</v>
      </c>
      <c r="D408" s="40"/>
      <c r="E408" s="40"/>
      <c r="F408" s="40"/>
      <c r="G408" s="40"/>
      <c r="J408" s="52"/>
      <c r="K408" s="40"/>
      <c r="L408" s="40"/>
      <c r="M408" s="40"/>
      <c r="N408" s="52"/>
      <c r="O408" s="62" t="s">
        <v>2764</v>
      </c>
      <c r="P408" s="1166"/>
      <c r="Q408" s="234"/>
    </row>
    <row r="409" spans="1:31" ht="12" customHeight="1">
      <c r="A409" s="52"/>
      <c r="B409" s="57"/>
      <c r="C409" s="1276" t="s">
        <v>1826</v>
      </c>
      <c r="D409" s="40"/>
      <c r="E409" s="40"/>
      <c r="F409" s="40"/>
      <c r="G409" s="40"/>
      <c r="N409" s="52"/>
      <c r="O409" s="62" t="s">
        <v>2765</v>
      </c>
      <c r="P409" s="1166"/>
      <c r="Q409" s="234"/>
    </row>
    <row r="410" spans="1:31" ht="12" customHeight="1">
      <c r="A410" s="52"/>
      <c r="C410" s="1276" t="s">
        <v>1827</v>
      </c>
      <c r="D410" s="65"/>
      <c r="E410" s="65"/>
      <c r="F410" s="65"/>
      <c r="G410" s="65"/>
      <c r="J410" s="52"/>
      <c r="K410" s="65"/>
      <c r="L410" s="65"/>
      <c r="M410" s="65"/>
      <c r="N410" s="52"/>
      <c r="O410" s="62" t="s">
        <v>2766</v>
      </c>
      <c r="P410" s="1166"/>
      <c r="Q410" s="234"/>
    </row>
    <row r="411" spans="1:31" ht="12" customHeight="1">
      <c r="A411" s="52"/>
      <c r="B411" s="57"/>
      <c r="C411" s="1276" t="s">
        <v>3383</v>
      </c>
      <c r="D411" s="65"/>
      <c r="E411" s="65"/>
      <c r="F411" s="65"/>
      <c r="G411" s="62" t="s">
        <v>3570</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12" customHeight="1">
      <c r="A413" s="1152" t="s">
        <v>4102</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3123</v>
      </c>
      <c r="C420" s="5"/>
      <c r="D420" s="118"/>
      <c r="E420" s="740"/>
      <c r="F420" s="740"/>
      <c r="G420" s="740"/>
      <c r="H420" s="740"/>
      <c r="O420" s="180" t="s">
        <v>2923</v>
      </c>
      <c r="P420" s="992"/>
      <c r="Q420" s="993"/>
    </row>
    <row r="421" spans="1:31" ht="13.15" customHeight="1">
      <c r="B421" s="57" t="s">
        <v>3060</v>
      </c>
      <c r="C421" s="49" t="s">
        <v>887</v>
      </c>
      <c r="D421" s="52"/>
      <c r="E421" s="52"/>
      <c r="F421" s="52"/>
      <c r="G421" s="52"/>
      <c r="H421" s="52"/>
      <c r="I421" s="52"/>
      <c r="J421" s="52"/>
      <c r="K421" s="52"/>
      <c r="L421" s="52"/>
      <c r="M421" s="52"/>
      <c r="O421" s="62" t="s">
        <v>3060</v>
      </c>
      <c r="P421" s="1166" t="s">
        <v>3970</v>
      </c>
      <c r="Q421" s="234"/>
    </row>
    <row r="422" spans="1:31" ht="13.15" customHeight="1">
      <c r="B422" s="57" t="s">
        <v>3063</v>
      </c>
      <c r="C422" s="49" t="s">
        <v>888</v>
      </c>
      <c r="D422" s="52"/>
      <c r="E422" s="52"/>
      <c r="F422" s="52"/>
      <c r="G422" s="52"/>
      <c r="H422" s="52"/>
      <c r="I422" s="52"/>
      <c r="J422" s="52"/>
      <c r="K422" s="52"/>
      <c r="L422" s="52"/>
      <c r="M422" s="52"/>
      <c r="O422" s="62" t="s">
        <v>3063</v>
      </c>
      <c r="P422" s="1166" t="s">
        <v>3970</v>
      </c>
      <c r="Q422" s="234"/>
    </row>
    <row r="423" spans="1:31" ht="24" customHeight="1">
      <c r="B423" s="192" t="s">
        <v>1238</v>
      </c>
      <c r="C423" s="1008" t="s">
        <v>889</v>
      </c>
      <c r="D423" s="1008"/>
      <c r="E423" s="1008"/>
      <c r="F423" s="1008"/>
      <c r="G423" s="1008"/>
      <c r="H423" s="1008"/>
      <c r="I423" s="1008"/>
      <c r="J423" s="1008"/>
      <c r="K423" s="1008"/>
      <c r="L423" s="1008"/>
      <c r="M423" s="1008"/>
      <c r="N423" s="1008"/>
      <c r="O423" s="221" t="s">
        <v>1238</v>
      </c>
      <c r="P423" s="1252" t="s">
        <v>3970</v>
      </c>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998" t="s">
        <v>1932</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1354</v>
      </c>
      <c r="C433" s="5"/>
      <c r="D433" s="118"/>
      <c r="E433" s="740"/>
      <c r="F433" s="740"/>
      <c r="G433" s="740"/>
      <c r="H433" s="740"/>
      <c r="I433" s="740"/>
      <c r="J433" s="740"/>
      <c r="K433" s="740"/>
      <c r="L433" s="740"/>
      <c r="M433" s="740"/>
      <c r="O433" s="180" t="s">
        <v>2923</v>
      </c>
      <c r="P433" s="992"/>
      <c r="Q433" s="993"/>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11.45" customHeight="1">
      <c r="A435" s="1152" t="s">
        <v>4092</v>
      </c>
      <c r="B435" s="1153"/>
      <c r="C435" s="1153"/>
      <c r="D435" s="1153"/>
      <c r="E435" s="1153"/>
      <c r="F435" s="1153"/>
      <c r="G435" s="1153"/>
      <c r="H435" s="1153"/>
      <c r="I435" s="1153"/>
      <c r="J435" s="1153"/>
      <c r="K435" s="1153"/>
      <c r="L435" s="1153"/>
      <c r="M435" s="1153"/>
      <c r="N435" s="1153"/>
      <c r="O435" s="1153"/>
      <c r="P435" s="1153"/>
      <c r="Q435" s="1154"/>
      <c r="R435" s="998" t="s">
        <v>1932</v>
      </c>
      <c r="S435" s="998"/>
      <c r="U435" s="185"/>
      <c r="V435" s="185"/>
      <c r="W435" s="185"/>
      <c r="X435" s="185"/>
      <c r="Y435" s="185"/>
      <c r="Z435" s="185"/>
      <c r="AA435" s="185"/>
      <c r="AB435" s="185"/>
      <c r="AC435" s="185"/>
      <c r="AD435" s="185"/>
      <c r="AE435" s="186"/>
    </row>
    <row r="436" spans="1:31" ht="11.45" customHeight="1">
      <c r="A436" s="1155" t="s">
        <v>4103</v>
      </c>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1238</v>
      </c>
      <c r="C445" s="1279" t="s">
        <v>795</v>
      </c>
      <c r="D445" s="1279"/>
      <c r="E445" s="1279"/>
      <c r="F445" s="1279"/>
      <c r="G445" s="1279"/>
      <c r="H445" s="1279"/>
      <c r="I445" s="1279"/>
      <c r="J445" s="1279"/>
      <c r="K445" s="1279"/>
      <c r="L445" s="1279"/>
      <c r="M445" s="1279"/>
      <c r="N445" s="1279"/>
      <c r="O445" s="1279" t="s">
        <v>1238</v>
      </c>
      <c r="P445" s="1279"/>
      <c r="Q445" s="1279"/>
    </row>
    <row r="446" spans="1:31" ht="12" customHeight="1">
      <c r="A446" s="1279"/>
      <c r="B446" s="1279"/>
      <c r="C446" s="1279" t="s">
        <v>2764</v>
      </c>
      <c r="D446" s="1279" t="s">
        <v>883</v>
      </c>
      <c r="E446" s="1279"/>
      <c r="F446" s="1279"/>
      <c r="G446" s="1279"/>
      <c r="H446" s="1279"/>
      <c r="I446" s="1279"/>
      <c r="J446" s="1279"/>
      <c r="K446" s="1279"/>
      <c r="L446" s="1279"/>
      <c r="M446" s="1279"/>
      <c r="N446" s="1279"/>
      <c r="O446" s="1279" t="s">
        <v>2764</v>
      </c>
      <c r="P446" s="1279"/>
      <c r="Q446" s="1279"/>
    </row>
    <row r="447" spans="1:31" ht="12" customHeight="1">
      <c r="A447" s="1279"/>
      <c r="B447" s="1279"/>
      <c r="C447" s="1279" t="s">
        <v>2765</v>
      </c>
      <c r="D447" s="1279" t="s">
        <v>0</v>
      </c>
      <c r="E447" s="1279"/>
      <c r="F447" s="1279"/>
      <c r="G447" s="1279"/>
      <c r="H447" s="1279"/>
      <c r="I447" s="1279"/>
      <c r="J447" s="1279"/>
      <c r="K447" s="1279"/>
      <c r="L447" s="1279"/>
      <c r="M447" s="1279"/>
      <c r="N447" s="1279"/>
      <c r="O447" s="1279" t="s">
        <v>2765</v>
      </c>
      <c r="P447" s="1279"/>
      <c r="Q447" s="1279"/>
    </row>
    <row r="448" spans="1:31" ht="12" customHeight="1">
      <c r="A448" s="1279"/>
      <c r="B448" s="1279"/>
      <c r="C448" s="1279" t="s">
        <v>2766</v>
      </c>
      <c r="D448" s="1279" t="s">
        <v>796</v>
      </c>
      <c r="E448" s="1279"/>
      <c r="F448" s="1279"/>
      <c r="G448" s="1279"/>
      <c r="H448" s="1279"/>
      <c r="I448" s="1279"/>
      <c r="J448" s="1279"/>
      <c r="K448" s="1279"/>
      <c r="L448" s="1279"/>
      <c r="M448" s="1279"/>
      <c r="N448" s="1279"/>
      <c r="O448" s="1279" t="s">
        <v>2766</v>
      </c>
      <c r="P448" s="1279"/>
      <c r="Q448" s="1279"/>
    </row>
    <row r="449" spans="1:19" ht="12" customHeight="1">
      <c r="A449" s="1279"/>
      <c r="B449" s="1279"/>
      <c r="C449" s="1279" t="s">
        <v>3570</v>
      </c>
      <c r="D449" s="1279" t="s">
        <v>797</v>
      </c>
      <c r="E449" s="1279"/>
      <c r="F449" s="1279"/>
      <c r="G449" s="1279"/>
      <c r="H449" s="1279"/>
      <c r="I449" s="1279"/>
      <c r="J449" s="1279"/>
      <c r="K449" s="1279"/>
      <c r="L449" s="1279"/>
      <c r="M449" s="1279"/>
      <c r="N449" s="1279"/>
      <c r="O449" s="1279" t="s">
        <v>3570</v>
      </c>
      <c r="P449" s="1279"/>
      <c r="Q449" s="1279"/>
    </row>
    <row r="450" spans="1:19" ht="12" customHeight="1">
      <c r="A450" s="1279"/>
      <c r="B450" s="1279"/>
      <c r="C450" s="1279" t="s">
        <v>2303</v>
      </c>
      <c r="D450" s="1279" t="s">
        <v>798</v>
      </c>
      <c r="E450" s="1279"/>
      <c r="F450" s="1279"/>
      <c r="G450" s="1279"/>
      <c r="H450" s="1279"/>
      <c r="I450" s="1279"/>
      <c r="J450" s="1279"/>
      <c r="K450" s="1279"/>
      <c r="L450" s="1279"/>
      <c r="M450" s="1279"/>
      <c r="N450" s="1279"/>
      <c r="O450" s="1279" t="s">
        <v>2303</v>
      </c>
      <c r="P450" s="1279"/>
      <c r="Q450" s="1279"/>
    </row>
    <row r="451" spans="1:19" ht="12" customHeight="1">
      <c r="A451" s="1279"/>
      <c r="B451" s="1279"/>
      <c r="C451" s="1279" t="s">
        <v>2304</v>
      </c>
      <c r="D451" s="1279" t="s">
        <v>2356</v>
      </c>
      <c r="E451" s="1279"/>
      <c r="F451" s="1279"/>
      <c r="G451" s="1279"/>
      <c r="H451" s="1279"/>
      <c r="I451" s="1279"/>
      <c r="J451" s="1279"/>
      <c r="K451" s="1279"/>
      <c r="L451" s="1279"/>
      <c r="M451" s="1279"/>
      <c r="N451" s="1279"/>
      <c r="O451" s="1279" t="s">
        <v>2304</v>
      </c>
      <c r="P451" s="1279"/>
      <c r="Q451" s="1279"/>
    </row>
    <row r="452" spans="1:19" ht="12" customHeight="1">
      <c r="A452" s="1279"/>
      <c r="B452" s="1279"/>
      <c r="C452" s="1279" t="s">
        <v>112</v>
      </c>
      <c r="D452" s="1279" t="s">
        <v>799</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789</v>
      </c>
      <c r="D453" s="1279" t="s">
        <v>800</v>
      </c>
      <c r="E453" s="1279"/>
      <c r="F453" s="1279"/>
      <c r="G453" s="1279"/>
      <c r="H453" s="1279"/>
      <c r="I453" s="1279"/>
      <c r="J453" s="1279"/>
      <c r="K453" s="1279"/>
      <c r="L453" s="1279"/>
      <c r="M453" s="1279"/>
      <c r="N453" s="1279"/>
      <c r="O453" s="1279" t="s">
        <v>789</v>
      </c>
      <c r="P453" s="1279"/>
      <c r="Q453" s="1279"/>
    </row>
    <row r="454" spans="1:19" ht="12" customHeight="1">
      <c r="A454" s="1279"/>
      <c r="B454" s="1279"/>
      <c r="C454" s="1279" t="s">
        <v>790</v>
      </c>
      <c r="D454" s="1279" t="s">
        <v>2648</v>
      </c>
      <c r="E454" s="1279"/>
      <c r="F454" s="1279"/>
      <c r="G454" s="1279"/>
      <c r="H454" s="1279"/>
      <c r="I454" s="1279"/>
      <c r="J454" s="1279"/>
      <c r="K454" s="1279"/>
      <c r="L454" s="1279"/>
      <c r="M454" s="1279"/>
      <c r="N454" s="1279"/>
      <c r="O454" s="1279" t="s">
        <v>790</v>
      </c>
      <c r="P454" s="1279"/>
      <c r="Q454" s="1279"/>
    </row>
    <row r="455" spans="1:19" ht="12" customHeight="1">
      <c r="A455" s="1279"/>
      <c r="B455" s="1279"/>
      <c r="C455" s="1279" t="s">
        <v>791</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791</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792</v>
      </c>
      <c r="D457" s="1279" t="s">
        <v>2976</v>
      </c>
      <c r="E457" s="1279"/>
      <c r="F457" s="1279"/>
      <c r="G457" s="1279"/>
      <c r="H457" s="1279"/>
      <c r="I457" s="1279"/>
      <c r="J457" s="1279"/>
      <c r="K457" s="1279"/>
      <c r="L457" s="1279"/>
      <c r="M457" s="1279"/>
      <c r="N457" s="1279"/>
      <c r="O457" s="1279" t="s">
        <v>792</v>
      </c>
      <c r="P457" s="1279"/>
      <c r="Q457" s="1279"/>
    </row>
    <row r="458" spans="1:19" ht="12" customHeight="1">
      <c r="A458" s="1279"/>
      <c r="B458" s="1279"/>
      <c r="C458" s="1279" t="s">
        <v>793</v>
      </c>
      <c r="D458" s="1279" t="s">
        <v>2977</v>
      </c>
      <c r="E458" s="1279"/>
      <c r="F458" s="1279"/>
      <c r="G458" s="1279"/>
      <c r="H458" s="1279"/>
      <c r="I458" s="1279"/>
      <c r="J458" s="1279"/>
      <c r="K458" s="1279"/>
      <c r="L458" s="1279"/>
      <c r="M458" s="1279"/>
      <c r="N458" s="1279"/>
      <c r="O458" s="1279" t="s">
        <v>793</v>
      </c>
      <c r="P458" s="1279"/>
      <c r="Q458" s="1279"/>
    </row>
    <row r="459" spans="1:19" ht="12" customHeight="1">
      <c r="A459" s="1279"/>
      <c r="B459" s="1279"/>
      <c r="C459" s="1279" t="s">
        <v>794</v>
      </c>
      <c r="D459" s="1279" t="s">
        <v>2978</v>
      </c>
      <c r="E459" s="1279"/>
      <c r="F459" s="1279"/>
      <c r="G459" s="1279"/>
      <c r="H459" s="1279" t="s">
        <v>2800</v>
      </c>
      <c r="I459" s="1279"/>
      <c r="J459" s="1279"/>
      <c r="K459" s="1279"/>
      <c r="L459" s="1279"/>
      <c r="M459" s="1279"/>
      <c r="N459" s="1279"/>
      <c r="O459" s="1279" t="s">
        <v>794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disablePrompts="1"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2011-013 Ashley Auburn Pointe II , Atlanta, Fulton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57</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9" t="s">
        <v>3894</v>
      </c>
      <c r="G10" s="40">
        <f>F17</f>
        <v>0</v>
      </c>
      <c r="H10" s="246" t="s">
        <v>321</v>
      </c>
      <c r="M10" s="7">
        <v>7</v>
      </c>
      <c r="N10" s="82" t="s">
        <v>3060</v>
      </c>
      <c r="O10" s="1151"/>
      <c r="P10" s="69"/>
    </row>
    <row r="11" spans="1:19" s="52" customFormat="1" ht="11.25" customHeight="1">
      <c r="A11" s="257" t="s">
        <v>3063</v>
      </c>
      <c r="B11" s="238" t="s">
        <v>1215</v>
      </c>
      <c r="D11" s="58"/>
      <c r="E11" s="58"/>
      <c r="F11" s="709" t="s">
        <v>3894</v>
      </c>
      <c r="G11" s="40">
        <f>K17</f>
        <v>0</v>
      </c>
      <c r="H11" s="246" t="s">
        <v>322</v>
      </c>
      <c r="J11" s="59"/>
      <c r="M11" s="7">
        <v>0</v>
      </c>
      <c r="N11" s="82" t="s">
        <v>3063</v>
      </c>
      <c r="O11" s="1151"/>
      <c r="P11" s="69"/>
      <c r="Q11" s="146"/>
    </row>
    <row r="12" spans="1:19" s="53" customFormat="1" ht="11.25" customHeight="1">
      <c r="A12" s="257" t="s">
        <v>1238</v>
      </c>
      <c r="B12" s="238" t="s">
        <v>3210</v>
      </c>
      <c r="D12" s="58"/>
      <c r="E12" s="58"/>
      <c r="F12" s="709" t="s">
        <v>3894</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1932</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2922</v>
      </c>
      <c r="C16" s="129"/>
      <c r="D16" s="129"/>
      <c r="F16" s="179" t="s">
        <v>2739</v>
      </c>
      <c r="K16" s="179" t="s">
        <v>2739</v>
      </c>
      <c r="P16" s="62" t="s">
        <v>2739</v>
      </c>
      <c r="R16" s="217"/>
      <c r="S16" s="217"/>
    </row>
    <row r="17" spans="1:19" s="52" customFormat="1" ht="12" customHeight="1">
      <c r="A17" s="1064" t="s">
        <v>3638</v>
      </c>
      <c r="B17" s="1064"/>
      <c r="C17" s="1064"/>
      <c r="D17" s="1064"/>
      <c r="E17" s="83" t="s">
        <v>785</v>
      </c>
      <c r="F17" s="96">
        <f>SUM(F18:F29)</f>
        <v>0</v>
      </c>
      <c r="G17" s="1065" t="s">
        <v>3639</v>
      </c>
      <c r="H17" s="1064"/>
      <c r="I17" s="1064"/>
      <c r="J17" s="83" t="s">
        <v>785</v>
      </c>
      <c r="K17" s="96">
        <f>SUM(K18:K29)</f>
        <v>0</v>
      </c>
      <c r="L17" s="746" t="s">
        <v>2247</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1932</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23</v>
      </c>
      <c r="L32" s="82" t="s">
        <v>1939</v>
      </c>
      <c r="M32" s="148">
        <f>IF(OR('Part VI-Revenues &amp; Expenses'!$M$61="", 'Part VI-Revenues &amp; Expenses'!$M$61=0),"",J32/'Part VI-Revenues &amp; Expenses'!$M$61)</f>
        <v>0.15333333333333332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4056</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3822</v>
      </c>
      <c r="B38" s="142" t="s">
        <v>2930</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3060</v>
      </c>
      <c r="B41" s="238" t="s">
        <v>2932</v>
      </c>
      <c r="C41" s="5"/>
      <c r="D41" s="5"/>
      <c r="E41" s="246" t="s">
        <v>2935</v>
      </c>
      <c r="F41" s="461"/>
      <c r="G41" s="246" t="s">
        <v>2931</v>
      </c>
      <c r="I41" s="49"/>
      <c r="K41" s="58"/>
      <c r="L41" s="1158"/>
      <c r="M41" s="3">
        <v>10</v>
      </c>
      <c r="N41" s="252" t="s">
        <v>3060</v>
      </c>
      <c r="O41" s="1162">
        <v>10</v>
      </c>
      <c r="P41" s="89"/>
      <c r="R41" s="573"/>
    </row>
    <row r="42" spans="1:18" s="53" customFormat="1" ht="12.6" customHeight="1">
      <c r="A42" s="189" t="s">
        <v>3063</v>
      </c>
      <c r="B42" s="238" t="s">
        <v>2933</v>
      </c>
      <c r="E42" s="594" t="s">
        <v>3556</v>
      </c>
      <c r="F42" s="599"/>
      <c r="G42" s="599"/>
      <c r="K42" s="58"/>
      <c r="L42" s="573" t="str">
        <f>IF(OR($O42=$M42,$O42=0,$O42=""),"","* * Check Score! * *")</f>
        <v/>
      </c>
      <c r="M42" s="3">
        <v>2</v>
      </c>
      <c r="N42" s="62" t="s">
        <v>3063</v>
      </c>
      <c r="O42" s="1162">
        <v>2</v>
      </c>
      <c r="P42" s="89"/>
      <c r="R42" s="573"/>
    </row>
    <row r="43" spans="1:18" s="53" customFormat="1" ht="12.6" customHeight="1">
      <c r="A43" s="189" t="s">
        <v>1238</v>
      </c>
      <c r="B43" s="238" t="s">
        <v>2934</v>
      </c>
      <c r="D43" s="51"/>
      <c r="E43" s="246" t="s">
        <v>624</v>
      </c>
      <c r="F43" s="599"/>
      <c r="G43" s="246" t="s">
        <v>625</v>
      </c>
      <c r="L43" s="1158"/>
      <c r="M43" s="7" t="s">
        <v>1900</v>
      </c>
      <c r="N43" s="252" t="s">
        <v>1238</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33" customHeight="1">
      <c r="A46" s="1152" t="s">
        <v>4115</v>
      </c>
      <c r="B46" s="1153"/>
      <c r="C46" s="1153"/>
      <c r="D46" s="1153"/>
      <c r="E46" s="1153"/>
      <c r="F46" s="1153"/>
      <c r="G46" s="1153"/>
      <c r="H46" s="1153"/>
      <c r="I46" s="1153"/>
      <c r="J46" s="1153"/>
      <c r="K46" s="1153"/>
      <c r="L46" s="1153"/>
      <c r="M46" s="1153"/>
      <c r="N46" s="1153"/>
      <c r="O46" s="1153"/>
      <c r="P46" s="1154"/>
      <c r="Q46" s="998" t="s">
        <v>1932</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1932</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2941</v>
      </c>
      <c r="I55" s="49"/>
      <c r="J55" s="58"/>
      <c r="K55" s="58"/>
      <c r="M55" s="3">
        <v>2</v>
      </c>
      <c r="N55" s="62"/>
      <c r="O55" s="205">
        <f>MIN($M55,(O56+O57))</f>
        <v>2</v>
      </c>
      <c r="P55" s="205">
        <f>MIN($M55,(P56+P57))</f>
        <v>0</v>
      </c>
      <c r="Q55" s="146" t="s">
        <v>651</v>
      </c>
    </row>
    <row r="56" spans="1:18" s="53" customFormat="1" ht="12" customHeight="1">
      <c r="A56" s="189" t="s">
        <v>3060</v>
      </c>
      <c r="B56" s="238" t="s">
        <v>1709</v>
      </c>
      <c r="C56" s="5"/>
      <c r="D56" s="5"/>
      <c r="E56" s="46"/>
      <c r="F56" s="5"/>
      <c r="G56" s="49"/>
      <c r="I56" s="49"/>
      <c r="K56" s="58"/>
      <c r="L56" s="573" t="str">
        <f>IF(OR($O56=$M56,$O56=0,$O56=""),"","* * Check Score! * *")</f>
        <v/>
      </c>
      <c r="M56" s="3">
        <v>2</v>
      </c>
      <c r="N56" s="252" t="s">
        <v>3060</v>
      </c>
      <c r="O56" s="1162">
        <v>2</v>
      </c>
      <c r="P56" s="89"/>
      <c r="R56" s="573"/>
    </row>
    <row r="57" spans="1:18" s="53" customFormat="1" ht="12.6" customHeight="1">
      <c r="A57" s="189" t="s">
        <v>3063</v>
      </c>
      <c r="B57" s="238" t="s">
        <v>1710</v>
      </c>
      <c r="E57" s="51"/>
      <c r="K57" s="58"/>
      <c r="L57" s="573" t="str">
        <f>IF(OR($O57=$M57,$O57=0,$O57=""),"","* * Check Score! * *")</f>
        <v/>
      </c>
      <c r="M57" s="3">
        <v>1</v>
      </c>
      <c r="N57" s="62" t="s">
        <v>3063</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4001</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3703</v>
      </c>
      <c r="D64" s="51"/>
      <c r="E64" s="600" t="s">
        <v>3705</v>
      </c>
      <c r="I64" s="59" t="s">
        <v>2941</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3704</v>
      </c>
      <c r="D74" s="51"/>
      <c r="E74" s="46" t="s">
        <v>2090</v>
      </c>
      <c r="I74" s="59" t="s">
        <v>2941</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3984</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2658</v>
      </c>
      <c r="C83" s="1070"/>
      <c r="D83" s="1070"/>
      <c r="E83" s="1070"/>
      <c r="F83" s="1070"/>
      <c r="G83" s="1070"/>
      <c r="H83" s="1070"/>
      <c r="I83" s="1070"/>
      <c r="J83" s="1070"/>
      <c r="K83" s="1070"/>
      <c r="L83" s="1070"/>
      <c r="M83" s="1070"/>
      <c r="N83" s="1"/>
      <c r="O83" s="1174" t="s">
        <v>3926</v>
      </c>
      <c r="P83" s="551"/>
    </row>
    <row r="84" spans="1:18" s="598" customFormat="1" ht="34.9" customHeight="1">
      <c r="B84" s="194" t="s">
        <v>3060</v>
      </c>
      <c r="C84" s="1077" t="s">
        <v>1569</v>
      </c>
      <c r="D84" s="1039"/>
      <c r="E84" s="1039"/>
      <c r="F84" s="1039"/>
      <c r="G84" s="1039"/>
      <c r="H84" s="1039"/>
      <c r="I84" s="1039"/>
      <c r="J84" s="1039"/>
      <c r="K84" s="1039"/>
      <c r="L84" s="1039"/>
      <c r="M84" s="698" t="str">
        <f>IF(AND($I$93="Stable Communities &lt; 10%",O84=""), "X","")</f>
        <v/>
      </c>
      <c r="N84" s="221" t="s">
        <v>3060</v>
      </c>
      <c r="O84" s="1175" t="s">
        <v>3970</v>
      </c>
      <c r="P84" s="703"/>
    </row>
    <row r="85" spans="1:18" s="598" customFormat="1" ht="34.9" customHeight="1">
      <c r="B85" s="194" t="s">
        <v>3063</v>
      </c>
      <c r="C85" s="994" t="s">
        <v>1570</v>
      </c>
      <c r="D85" s="1039"/>
      <c r="E85" s="1039"/>
      <c r="F85" s="1039"/>
      <c r="G85" s="1039"/>
      <c r="H85" s="1039"/>
      <c r="I85" s="1039"/>
      <c r="J85" s="1039"/>
      <c r="K85" s="1039"/>
      <c r="L85" s="1039"/>
      <c r="M85" s="698" t="str">
        <f>IF(AND($I$93="Stable Communities &lt; 10%",O85=""), "X","")</f>
        <v/>
      </c>
      <c r="N85" s="221" t="s">
        <v>3063</v>
      </c>
      <c r="O85" s="1176" t="s">
        <v>3970</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4057</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3640</v>
      </c>
      <c r="C93" s="126"/>
      <c r="D93" s="74"/>
      <c r="E93" s="74"/>
      <c r="I93" s="1170" t="s">
        <v>3985</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6</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3060</v>
      </c>
      <c r="B95" s="256" t="s">
        <v>3793</v>
      </c>
      <c r="D95" s="42"/>
      <c r="H95" s="76"/>
      <c r="I95" s="42"/>
      <c r="J95" s="42"/>
      <c r="M95" s="156">
        <v>4</v>
      </c>
      <c r="N95" s="31"/>
      <c r="O95" s="31"/>
      <c r="P95" s="31"/>
    </row>
    <row r="96" spans="1:18" ht="11.45" customHeight="1">
      <c r="A96" s="564" t="str">
        <f>IF($I$93="Stable Communities &lt; 10%", "X","")</f>
        <v/>
      </c>
      <c r="B96" s="565" t="s">
        <v>3064</v>
      </c>
      <c r="C96" s="235" t="s">
        <v>867</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83"/>
      <c r="P97" s="354"/>
    </row>
    <row r="98" spans="1:16" ht="11.45" customHeight="1">
      <c r="B98" s="233" t="s">
        <v>3682</v>
      </c>
      <c r="C98" s="585" t="s">
        <v>3623</v>
      </c>
      <c r="E98" s="159"/>
      <c r="G98" s="137" t="s">
        <v>3624</v>
      </c>
      <c r="M98" s="590" t="str">
        <f>IF(AND($I$93="Stable Communities &lt; 10%",O98=""), "X","")</f>
        <v/>
      </c>
      <c r="N98" s="233" t="s">
        <v>3682</v>
      </c>
      <c r="O98" s="1174"/>
      <c r="P98" s="551"/>
    </row>
    <row r="99" spans="1:16" ht="11.45" customHeight="1">
      <c r="B99" s="233" t="s">
        <v>3683</v>
      </c>
      <c r="C99" s="585" t="s">
        <v>2190</v>
      </c>
      <c r="E99" s="159"/>
      <c r="M99" s="590" t="str">
        <f>IF(AND($I$93="Stable Communities &lt; 10%",O99=""), "X","")</f>
        <v/>
      </c>
      <c r="N99" s="233" t="s">
        <v>3685</v>
      </c>
      <c r="O99" s="1184"/>
      <c r="P99" s="355"/>
    </row>
    <row r="100" spans="1:16" ht="11.45" customHeight="1">
      <c r="A100" s="564" t="str">
        <f>IF($I$93="Stable Communities &lt; 20%", "X","")</f>
        <v/>
      </c>
      <c r="B100" s="565" t="s">
        <v>3066</v>
      </c>
      <c r="C100" s="235" t="s">
        <v>867</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83"/>
      <c r="P101" s="354"/>
    </row>
    <row r="102" spans="1:16" ht="11.45" customHeight="1">
      <c r="B102" s="233" t="s">
        <v>3682</v>
      </c>
      <c r="C102" s="585" t="s">
        <v>3623</v>
      </c>
      <c r="E102" s="159"/>
      <c r="G102" s="137" t="s">
        <v>3624</v>
      </c>
      <c r="M102" s="590" t="str">
        <f>IF(AND($I$93="Stable Communities &lt; 20%",O102=""), "X","")</f>
        <v/>
      </c>
      <c r="N102" s="233" t="s">
        <v>3682</v>
      </c>
      <c r="O102" s="1174"/>
      <c r="P102" s="551"/>
    </row>
    <row r="103" spans="1:16" ht="11.45" customHeight="1">
      <c r="B103" s="233" t="s">
        <v>3683</v>
      </c>
      <c r="C103" s="585" t="s">
        <v>2190</v>
      </c>
      <c r="E103" s="159"/>
      <c r="M103" s="590" t="str">
        <f>IF(AND($I$93="Stable Communities &lt; 20%",O103=""), "X","")</f>
        <v/>
      </c>
      <c r="N103" s="233" t="s">
        <v>3685</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X</v>
      </c>
      <c r="B105" s="565" t="s">
        <v>3064</v>
      </c>
      <c r="C105" s="118" t="s">
        <v>3707</v>
      </c>
      <c r="D105" s="139"/>
      <c r="G105" s="195"/>
      <c r="K105" s="139"/>
      <c r="L105" s="139"/>
      <c r="N105" s="31"/>
      <c r="O105" s="161" t="s">
        <v>3794</v>
      </c>
      <c r="P105" s="161" t="s">
        <v>3794</v>
      </c>
    </row>
    <row r="106" spans="1:16" ht="10.9" customHeight="1">
      <c r="B106" s="566" t="s">
        <v>3681</v>
      </c>
      <c r="C106" s="567" t="s">
        <v>913</v>
      </c>
      <c r="D106" s="137"/>
      <c r="M106" s="589" t="str">
        <f>IF(AND($I$93="HOPE VI Initiative",O106=""), "X","")</f>
        <v/>
      </c>
      <c r="N106" s="233" t="s">
        <v>3681</v>
      </c>
      <c r="O106" s="1183" t="s">
        <v>3926</v>
      </c>
      <c r="P106" s="354"/>
    </row>
    <row r="107" spans="1:16" ht="10.9" customHeight="1">
      <c r="B107" s="566" t="s">
        <v>3682</v>
      </c>
      <c r="C107" s="567" t="s">
        <v>914</v>
      </c>
      <c r="M107" s="589" t="str">
        <f>IF(AND($I$93="HOPE VI Initiative",O107=""), "X","")</f>
        <v/>
      </c>
      <c r="N107" s="233" t="s">
        <v>3682</v>
      </c>
      <c r="O107" s="1174" t="s">
        <v>3926</v>
      </c>
      <c r="P107" s="551"/>
    </row>
    <row r="108" spans="1:16" ht="10.9" customHeight="1">
      <c r="B108" s="566" t="s">
        <v>3683</v>
      </c>
      <c r="C108" s="567" t="s">
        <v>915</v>
      </c>
      <c r="M108" s="589" t="str">
        <f>IF(AND($I$93="HOPE VI Initiative",O108=""), "X","")</f>
        <v/>
      </c>
      <c r="N108" s="233" t="s">
        <v>3683</v>
      </c>
      <c r="O108" s="1174" t="s">
        <v>3926</v>
      </c>
      <c r="P108" s="551"/>
    </row>
    <row r="109" spans="1:16" ht="10.9" customHeight="1">
      <c r="B109" s="566" t="s">
        <v>3684</v>
      </c>
      <c r="C109" s="72" t="s">
        <v>916</v>
      </c>
      <c r="M109" s="589" t="str">
        <f>IF(AND($I$93="HOPE VI Initiative",O109=""), "X","")</f>
        <v/>
      </c>
      <c r="N109" s="233" t="s">
        <v>3684</v>
      </c>
      <c r="O109" s="1184" t="s">
        <v>3926</v>
      </c>
      <c r="P109" s="355"/>
    </row>
    <row r="110" spans="1:16" s="53" customFormat="1" ht="11.45" customHeight="1">
      <c r="A110" s="564"/>
      <c r="B110" s="565" t="s">
        <v>3066</v>
      </c>
      <c r="C110" s="153" t="s">
        <v>539</v>
      </c>
      <c r="D110" s="139"/>
      <c r="E110" s="50"/>
      <c r="G110" s="594" t="s">
        <v>920</v>
      </c>
      <c r="M110" s="70"/>
      <c r="N110" s="565" t="s">
        <v>3066</v>
      </c>
      <c r="O110" s="1184"/>
      <c r="P110" s="355"/>
    </row>
    <row r="111" spans="1:16" s="53" customFormat="1" ht="11.45" customHeight="1">
      <c r="A111" s="564" t="str">
        <f>IF($I$93="Redevelopment Zone", "X","")</f>
        <v/>
      </c>
      <c r="B111" s="565" t="s">
        <v>3822</v>
      </c>
      <c r="C111" s="153" t="s">
        <v>540</v>
      </c>
      <c r="D111" s="139"/>
      <c r="F111" s="589"/>
      <c r="G111" s="50" t="s">
        <v>1650</v>
      </c>
      <c r="H111" s="1185" t="s">
        <v>2800</v>
      </c>
      <c r="I111" s="161" t="s">
        <v>1562</v>
      </c>
      <c r="J111" s="1186"/>
      <c r="K111" s="1187"/>
      <c r="L111" s="1188"/>
      <c r="M111" s="70"/>
      <c r="N111" s="565" t="s">
        <v>3822</v>
      </c>
      <c r="O111" s="1184"/>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3681</v>
      </c>
      <c r="C113" s="50" t="s">
        <v>921</v>
      </c>
      <c r="D113" s="137"/>
      <c r="G113" s="137" t="s">
        <v>919</v>
      </c>
      <c r="H113" s="1192"/>
      <c r="M113" s="589" t="str">
        <f>IF(AND($I$93="Local Redevelopment Plan",O113=""), "X","")</f>
        <v/>
      </c>
      <c r="N113" s="566" t="s">
        <v>3681</v>
      </c>
      <c r="O113" s="1183"/>
      <c r="P113" s="354"/>
    </row>
    <row r="114" spans="1:16" ht="10.9" customHeight="1">
      <c r="B114" s="566" t="s">
        <v>3682</v>
      </c>
      <c r="C114" s="567" t="s">
        <v>3710</v>
      </c>
      <c r="D114" s="137"/>
      <c r="M114" s="589"/>
      <c r="N114" s="566" t="s">
        <v>3682</v>
      </c>
      <c r="O114" s="1193"/>
      <c r="P114" s="617"/>
    </row>
    <row r="115" spans="1:16" ht="10.9" customHeight="1">
      <c r="B115" s="566" t="s">
        <v>3683</v>
      </c>
      <c r="C115" s="567" t="s">
        <v>3711</v>
      </c>
      <c r="M115" s="589" t="str">
        <f t="shared" ref="M115:M124" si="0">IF(AND($I$93="Local Redevelopment Plan",O115=""), "X","")</f>
        <v/>
      </c>
      <c r="N115" s="566" t="s">
        <v>3683</v>
      </c>
      <c r="O115" s="1174"/>
      <c r="P115" s="551"/>
    </row>
    <row r="116" spans="1:16" ht="10.9" customHeight="1">
      <c r="B116" s="566" t="s">
        <v>3684</v>
      </c>
      <c r="C116" s="567" t="s">
        <v>3712</v>
      </c>
      <c r="M116" s="589" t="str">
        <f t="shared" si="0"/>
        <v/>
      </c>
      <c r="N116" s="566" t="s">
        <v>3684</v>
      </c>
      <c r="O116" s="1174"/>
      <c r="P116" s="551"/>
    </row>
    <row r="117" spans="1:16" ht="10.9" customHeight="1">
      <c r="B117" s="566" t="s">
        <v>3685</v>
      </c>
      <c r="C117" s="72" t="s">
        <v>3713</v>
      </c>
      <c r="M117" s="589" t="str">
        <f t="shared" si="0"/>
        <v/>
      </c>
      <c r="N117" s="566" t="s">
        <v>3685</v>
      </c>
      <c r="O117" s="1174"/>
      <c r="P117" s="551"/>
    </row>
    <row r="118" spans="1:16" ht="10.9" customHeight="1">
      <c r="B118" s="566" t="s">
        <v>3708</v>
      </c>
      <c r="C118" s="567" t="s">
        <v>3714</v>
      </c>
      <c r="D118" s="137"/>
      <c r="M118" s="589" t="str">
        <f t="shared" si="0"/>
        <v/>
      </c>
      <c r="N118" s="566" t="s">
        <v>3708</v>
      </c>
      <c r="O118" s="1174"/>
      <c r="P118" s="551"/>
    </row>
    <row r="119" spans="1:16" ht="10.9" customHeight="1">
      <c r="B119" s="566" t="s">
        <v>3709</v>
      </c>
      <c r="C119" s="567" t="s">
        <v>3715</v>
      </c>
      <c r="M119" s="589" t="str">
        <f t="shared" si="0"/>
        <v/>
      </c>
      <c r="N119" s="566" t="s">
        <v>3709</v>
      </c>
      <c r="O119" s="1184"/>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83"/>
      <c r="P121" s="354"/>
    </row>
    <row r="122" spans="1:16" ht="10.9" customHeight="1">
      <c r="B122" s="566" t="s">
        <v>3717</v>
      </c>
      <c r="C122" s="72" t="s">
        <v>3721</v>
      </c>
      <c r="M122" s="589" t="str">
        <f t="shared" si="0"/>
        <v/>
      </c>
      <c r="N122" s="566" t="s">
        <v>3717</v>
      </c>
      <c r="O122" s="1174"/>
      <c r="P122" s="551"/>
    </row>
    <row r="123" spans="1:16" ht="10.9" customHeight="1">
      <c r="B123" s="566" t="s">
        <v>3718</v>
      </c>
      <c r="C123" s="567" t="s">
        <v>3722</v>
      </c>
      <c r="M123" s="589" t="str">
        <f t="shared" si="0"/>
        <v/>
      </c>
      <c r="N123" s="566" t="s">
        <v>3718</v>
      </c>
      <c r="O123" s="1174"/>
      <c r="P123" s="551"/>
    </row>
    <row r="124" spans="1:16" ht="10.9" customHeight="1">
      <c r="B124" s="566" t="s">
        <v>918</v>
      </c>
      <c r="C124" s="72" t="s">
        <v>3723</v>
      </c>
      <c r="M124" s="589" t="str">
        <f t="shared" si="0"/>
        <v/>
      </c>
      <c r="N124" s="566" t="s">
        <v>918</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4093</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0</v>
      </c>
      <c r="Q132" s="146" t="s">
        <v>651</v>
      </c>
    </row>
    <row r="133" spans="1:17" ht="12" customHeight="1">
      <c r="B133" s="737" t="s">
        <v>3060</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v>3</v>
      </c>
      <c r="P133" s="696"/>
    </row>
    <row r="134" spans="1:17" s="137" customFormat="1" ht="22.9" customHeight="1">
      <c r="B134" s="596" t="s">
        <v>3064</v>
      </c>
      <c r="C134" s="1067" t="s">
        <v>1564</v>
      </c>
      <c r="D134" s="1039"/>
      <c r="E134" s="1039"/>
      <c r="F134" s="1039"/>
      <c r="G134" s="1039"/>
      <c r="H134" s="1039"/>
      <c r="I134" s="1039"/>
      <c r="J134" s="1039"/>
      <c r="K134" s="1039"/>
      <c r="L134" s="1039"/>
      <c r="M134" s="695"/>
      <c r="N134" s="596" t="s">
        <v>3064</v>
      </c>
      <c r="O134" s="1166" t="s">
        <v>3926</v>
      </c>
      <c r="P134" s="234"/>
    </row>
    <row r="135" spans="1:17" s="137" customFormat="1" ht="11.45" customHeight="1">
      <c r="B135" s="252"/>
      <c r="C135" s="160" t="s">
        <v>1565</v>
      </c>
      <c r="H135" s="137" t="s">
        <v>1563</v>
      </c>
      <c r="I135" s="1195" t="s">
        <v>3986</v>
      </c>
      <c r="J135" s="137" t="s">
        <v>951</v>
      </c>
      <c r="K135" s="1196" t="s">
        <v>3987</v>
      </c>
      <c r="L135" s="1197"/>
      <c r="M135" s="1198"/>
    </row>
    <row r="136" spans="1:17" s="137" customFormat="1" ht="11.45" customHeight="1">
      <c r="B136" s="252" t="s">
        <v>3066</v>
      </c>
      <c r="C136" s="160" t="s">
        <v>1566</v>
      </c>
      <c r="M136" s="8"/>
      <c r="N136" s="252" t="s">
        <v>3066</v>
      </c>
      <c r="O136" s="1183" t="s">
        <v>3926</v>
      </c>
      <c r="P136" s="354"/>
    </row>
    <row r="137" spans="1:17" s="137" customFormat="1" ht="11.45" customHeight="1">
      <c r="B137" s="252" t="s">
        <v>3822</v>
      </c>
      <c r="C137" s="160" t="s">
        <v>1567</v>
      </c>
      <c r="M137" s="8"/>
      <c r="N137" s="252" t="s">
        <v>3822</v>
      </c>
      <c r="O137" s="1174" t="s">
        <v>3924</v>
      </c>
      <c r="P137" s="551"/>
    </row>
    <row r="138" spans="1:17" s="137" customFormat="1" ht="11.45" customHeight="1">
      <c r="B138" s="252" t="s">
        <v>1885</v>
      </c>
      <c r="C138" s="160" t="s">
        <v>1568</v>
      </c>
      <c r="M138" s="8"/>
      <c r="N138" s="252" t="s">
        <v>1885</v>
      </c>
      <c r="O138" s="1184" t="s">
        <v>3926</v>
      </c>
      <c r="P138" s="355"/>
    </row>
    <row r="139" spans="1:17" ht="12" customHeight="1">
      <c r="A139" s="256" t="s">
        <v>2055</v>
      </c>
      <c r="B139" s="737" t="s">
        <v>3063</v>
      </c>
      <c r="C139" s="256" t="s">
        <v>3358</v>
      </c>
      <c r="D139" s="159"/>
      <c r="E139" s="159"/>
      <c r="M139" s="3">
        <v>3</v>
      </c>
      <c r="N139" s="62" t="s">
        <v>3063</v>
      </c>
      <c r="O139" s="697">
        <f>IF($M140=4,3,IF($M140=3,2,IF($M140=2,1,0)))</f>
        <v>0</v>
      </c>
      <c r="P139" s="697">
        <f>IF($M140=4,3,IF($M140=3,2,IF($M140=2,1,0)))</f>
        <v>0</v>
      </c>
    </row>
    <row r="140" spans="1:17" ht="12" customHeight="1">
      <c r="B140" s="125"/>
      <c r="D140" s="42"/>
      <c r="E140" s="42"/>
      <c r="F140" s="42"/>
      <c r="G140" s="50"/>
      <c r="H140" s="50"/>
      <c r="I140" s="50"/>
      <c r="J140" s="50"/>
      <c r="L140" s="592" t="s">
        <v>734</v>
      </c>
      <c r="M140" s="1166" t="s">
        <v>259</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4058</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55" t="s">
        <v>3727</v>
      </c>
      <c r="C149" s="1039"/>
      <c r="D149" s="1039"/>
      <c r="E149" s="1039"/>
      <c r="F149" s="1039"/>
      <c r="G149" s="1039"/>
      <c r="H149" s="1039"/>
      <c r="I149" s="1039"/>
      <c r="J149" s="1039"/>
      <c r="K149" s="1039"/>
      <c r="L149" s="1039"/>
      <c r="M149" s="1039"/>
      <c r="N149" s="1039"/>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55" t="s">
        <v>3340</v>
      </c>
      <c r="C152" s="1039"/>
      <c r="D152" s="1039"/>
      <c r="E152" s="1039"/>
      <c r="F152" s="1039"/>
      <c r="G152" s="1039"/>
      <c r="H152" s="1039"/>
      <c r="I152" s="1039"/>
      <c r="J152" s="1039"/>
      <c r="K152" s="1039"/>
      <c r="L152" s="1039"/>
      <c r="M152" s="1039"/>
      <c r="N152" s="1039"/>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4059</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t="s">
        <v>4060</v>
      </c>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3060</v>
      </c>
      <c r="C167" s="238" t="s">
        <v>3360</v>
      </c>
      <c r="D167" s="76"/>
      <c r="E167" s="76"/>
      <c r="G167" s="31"/>
      <c r="K167" s="62" t="s">
        <v>2215</v>
      </c>
      <c r="L167" s="1166" t="s">
        <v>3926</v>
      </c>
      <c r="M167" s="8">
        <v>1</v>
      </c>
      <c r="N167" s="62" t="s">
        <v>3060</v>
      </c>
      <c r="O167" s="1162">
        <v>1</v>
      </c>
      <c r="P167" s="89"/>
      <c r="Q167" s="146"/>
      <c r="R167" s="573" t="str">
        <f>IF(OR($O167=$M167,$O167=0,$O167=""),"","* * Check Score! * *")</f>
        <v/>
      </c>
    </row>
    <row r="168" spans="1:18" s="53" customFormat="1" ht="12" customHeight="1">
      <c r="B168" s="737" t="s">
        <v>3063</v>
      </c>
      <c r="C168" s="238" t="s">
        <v>3361</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3066</v>
      </c>
      <c r="C179" s="1068" t="s">
        <v>2902</v>
      </c>
      <c r="D179" s="1068"/>
      <c r="E179" s="1068"/>
      <c r="F179" s="1068"/>
      <c r="G179" s="1068"/>
      <c r="H179" s="1068"/>
      <c r="I179" s="1068"/>
      <c r="J179" s="1068"/>
      <c r="K179" s="1068"/>
      <c r="L179" s="1068"/>
      <c r="M179" s="694">
        <v>1</v>
      </c>
    </row>
    <row r="180" spans="1:18" ht="12" customHeight="1">
      <c r="B180" s="737" t="s">
        <v>3063</v>
      </c>
      <c r="C180" s="238" t="s">
        <v>2669</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2671</v>
      </c>
      <c r="L181" s="573"/>
      <c r="M181" s="8">
        <v>6</v>
      </c>
      <c r="N181" s="252" t="s">
        <v>3064</v>
      </c>
      <c r="O181" s="1162"/>
      <c r="P181" s="89"/>
    </row>
    <row r="182" spans="1:18" s="137" customFormat="1" ht="11.45" customHeight="1">
      <c r="B182" s="252" t="s">
        <v>3066</v>
      </c>
      <c r="C182" s="160" t="s">
        <v>2672</v>
      </c>
      <c r="L182" s="573" t="str">
        <f>IF(OR($O182=$M182,$O182=0,$O182=""),"","* * Check Score! * *")</f>
        <v/>
      </c>
      <c r="M182" s="8">
        <v>2</v>
      </c>
      <c r="N182" s="252" t="s">
        <v>3066</v>
      </c>
      <c r="O182" s="1162"/>
      <c r="P182" s="89"/>
    </row>
    <row r="183" spans="1:18" s="137" customFormat="1" ht="11.45" customHeight="1">
      <c r="B183" s="252" t="s">
        <v>3822</v>
      </c>
      <c r="C183" s="160" t="s">
        <v>2670</v>
      </c>
      <c r="L183" s="573" t="str">
        <f>IF(OR($O183=$M183,$O183=0,$O183=""),"","* * Check Score! * *")</f>
        <v/>
      </c>
      <c r="M183" s="8">
        <v>2</v>
      </c>
      <c r="N183" s="252" t="s">
        <v>3822</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4055</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3060</v>
      </c>
      <c r="B192" s="398" t="s">
        <v>922</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4055</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0</v>
      </c>
      <c r="P199" s="96">
        <f>MIN($M199,P201+P200)</f>
        <v>0</v>
      </c>
      <c r="Q199" s="146" t="s">
        <v>651</v>
      </c>
    </row>
    <row r="200" spans="1:18" s="53" customFormat="1" ht="12" customHeight="1">
      <c r="A200" s="189" t="s">
        <v>3060</v>
      </c>
      <c r="B200" s="147" t="s">
        <v>2674</v>
      </c>
      <c r="D200" s="42"/>
      <c r="E200" s="42"/>
      <c r="F200" s="42"/>
      <c r="L200" s="573" t="str">
        <f>IF(OR($O200=$M200,$O200=0,$O200=""),"","* * Check Score! * *")</f>
        <v/>
      </c>
      <c r="M200" s="7">
        <v>2</v>
      </c>
      <c r="N200" s="62" t="s">
        <v>3060</v>
      </c>
      <c r="O200" s="1162"/>
      <c r="P200" s="89"/>
      <c r="Q200" s="146"/>
      <c r="R200" s="573" t="str">
        <f>IF(OR($O200=$M200,$O200=0,$O200=""),"","* * Check Score! * *")</f>
        <v/>
      </c>
    </row>
    <row r="201" spans="1:18" s="53" customFormat="1" ht="12" customHeight="1">
      <c r="A201" s="189" t="s">
        <v>3063</v>
      </c>
      <c r="B201" s="147" t="s">
        <v>2675</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2676</v>
      </c>
      <c r="B207" s="142" t="s">
        <v>1037</v>
      </c>
      <c r="G207" s="158"/>
      <c r="H207" s="158"/>
      <c r="I207" s="158"/>
      <c r="J207" s="263" t="s">
        <v>3641</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71"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c r="E209" s="1200"/>
      <c r="F209" s="1200"/>
      <c r="G209" s="1201"/>
      <c r="I209" s="702" t="s">
        <v>1572</v>
      </c>
      <c r="J209" s="1166"/>
      <c r="L209" s="702" t="s">
        <v>1573</v>
      </c>
      <c r="M209" s="1166"/>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t="s">
        <v>4055</v>
      </c>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2893</v>
      </c>
      <c r="D214" s="139"/>
      <c r="E214" s="1202" t="s">
        <v>2813</v>
      </c>
      <c r="F214" s="1203"/>
      <c r="G214" s="1204"/>
      <c r="H214" s="1205"/>
      <c r="I214" s="64" t="s">
        <v>2892</v>
      </c>
      <c r="O214" s="161" t="s">
        <v>3794</v>
      </c>
      <c r="P214" s="161" t="s">
        <v>3794</v>
      </c>
    </row>
    <row r="215" spans="1:18" s="137" customFormat="1" ht="11.45" customHeight="1">
      <c r="B215" s="566" t="s">
        <v>3681</v>
      </c>
      <c r="C215" s="160" t="s">
        <v>2679</v>
      </c>
      <c r="D215" s="160"/>
      <c r="E215" s="160"/>
      <c r="F215" s="160"/>
      <c r="G215" s="1206" t="s">
        <v>3808</v>
      </c>
      <c r="H215" s="1207"/>
      <c r="I215" s="1208"/>
      <c r="J215" s="1206" t="s">
        <v>1837</v>
      </c>
      <c r="K215" s="1207"/>
      <c r="L215" s="1208"/>
      <c r="N215" s="566" t="s">
        <v>3681</v>
      </c>
      <c r="O215" s="1166"/>
      <c r="P215" s="234"/>
    </row>
    <row r="216" spans="1:18" s="137" customFormat="1" ht="11.45" customHeight="1">
      <c r="B216" s="566" t="s">
        <v>3682</v>
      </c>
      <c r="C216" s="160" t="s">
        <v>505</v>
      </c>
      <c r="D216" s="160"/>
      <c r="E216" s="160"/>
      <c r="F216" s="160"/>
      <c r="G216" s="160"/>
      <c r="L216" s="160"/>
      <c r="M216" s="160"/>
      <c r="N216" s="566" t="s">
        <v>3682</v>
      </c>
      <c r="O216" s="1166"/>
      <c r="P216" s="234"/>
    </row>
    <row r="217" spans="1:18" s="137" customFormat="1" ht="11.45" customHeight="1">
      <c r="B217" s="566" t="s">
        <v>3683</v>
      </c>
      <c r="C217" s="160" t="s">
        <v>2624</v>
      </c>
      <c r="D217" s="160"/>
      <c r="E217" s="160"/>
      <c r="F217" s="160"/>
      <c r="G217" s="160"/>
      <c r="H217" s="160"/>
      <c r="L217" s="160"/>
      <c r="M217" s="160"/>
      <c r="N217" s="566" t="s">
        <v>3683</v>
      </c>
      <c r="O217" s="1166"/>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2894</v>
      </c>
      <c r="D227" s="120"/>
      <c r="E227" s="120"/>
      <c r="F227" s="65"/>
      <c r="G227" s="65"/>
      <c r="H227" s="65"/>
      <c r="I227" s="65"/>
      <c r="J227" s="67"/>
      <c r="K227" s="75"/>
      <c r="L227" s="71" t="str">
        <f>IF(M227&gt;14,"Over limit!","")</f>
        <v/>
      </c>
      <c r="M227" s="4">
        <v>8</v>
      </c>
      <c r="N227" s="7"/>
      <c r="O227" s="81">
        <f>MIN($M227,(O235+O245+O247))</f>
        <v>3</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3794</v>
      </c>
      <c r="P228" s="161" t="s">
        <v>3794</v>
      </c>
    </row>
    <row r="229" spans="1:18" s="137" customFormat="1" ht="12" customHeight="1">
      <c r="B229" s="252" t="s">
        <v>3064</v>
      </c>
      <c r="C229" s="137" t="s">
        <v>869</v>
      </c>
      <c r="E229" s="120"/>
      <c r="F229" s="65"/>
      <c r="G229" s="65"/>
      <c r="H229" s="65"/>
      <c r="I229" s="65"/>
      <c r="J229" s="67"/>
      <c r="K229" s="75"/>
      <c r="L229" s="71" t="str">
        <f>IF(M229&gt;14,"Over limit!","")</f>
        <v/>
      </c>
      <c r="N229" s="252" t="s">
        <v>3064</v>
      </c>
      <c r="O229" s="1166" t="s">
        <v>3926</v>
      </c>
      <c r="P229" s="234"/>
    </row>
    <row r="230" spans="1:18" s="137" customFormat="1" ht="12" customHeight="1">
      <c r="B230" s="252" t="s">
        <v>3066</v>
      </c>
      <c r="C230" s="137" t="s">
        <v>870</v>
      </c>
      <c r="N230" s="252" t="s">
        <v>3066</v>
      </c>
      <c r="O230" s="1166" t="s">
        <v>3926</v>
      </c>
      <c r="P230" s="234"/>
    </row>
    <row r="231" spans="1:18" s="137" customFormat="1" ht="12" customHeight="1">
      <c r="B231" s="252" t="s">
        <v>3822</v>
      </c>
      <c r="C231" s="137" t="s">
        <v>871</v>
      </c>
      <c r="N231" s="252" t="s">
        <v>3822</v>
      </c>
      <c r="O231" s="1166" t="s">
        <v>3926</v>
      </c>
      <c r="P231" s="234"/>
    </row>
    <row r="232" spans="1:18" s="137" customFormat="1" ht="12" customHeight="1">
      <c r="B232" s="252" t="s">
        <v>1885</v>
      </c>
      <c r="C232" s="137" t="s">
        <v>872</v>
      </c>
      <c r="N232" s="252" t="s">
        <v>1885</v>
      </c>
      <c r="O232" s="1166" t="s">
        <v>3926</v>
      </c>
      <c r="P232" s="234"/>
    </row>
    <row r="233" spans="1:18" s="137" customFormat="1" ht="12" customHeight="1">
      <c r="B233" s="252" t="s">
        <v>1886</v>
      </c>
      <c r="C233" s="137" t="s">
        <v>884</v>
      </c>
      <c r="N233" s="252" t="s">
        <v>1886</v>
      </c>
      <c r="O233" s="1166" t="s">
        <v>3926</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1</v>
      </c>
      <c r="P235" s="205">
        <f>MIN($M235,SUM(P236:P243))</f>
        <v>0</v>
      </c>
    </row>
    <row r="236" spans="1:18" s="53" customFormat="1" ht="12" customHeight="1">
      <c r="A236" s="253"/>
      <c r="B236" s="252" t="s">
        <v>3064</v>
      </c>
      <c r="C236" s="46" t="s">
        <v>2216</v>
      </c>
      <c r="H236" s="68" t="s">
        <v>2217</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2220</v>
      </c>
      <c r="H237" s="68" t="s">
        <v>2217</v>
      </c>
      <c r="L237" s="573" t="str">
        <f t="shared" si="1"/>
        <v/>
      </c>
      <c r="M237" s="7">
        <v>1</v>
      </c>
      <c r="N237" s="252" t="s">
        <v>3066</v>
      </c>
      <c r="O237" s="1166"/>
      <c r="P237" s="89"/>
      <c r="R237" s="573" t="str">
        <f t="shared" ref="R237:R243" si="2">IF(OR($O237=$M237,$O237=0,$O237=""),"","* * Check Score! * *")</f>
        <v/>
      </c>
    </row>
    <row r="238" spans="1:18" ht="12" customHeight="1">
      <c r="B238" s="252" t="s">
        <v>3822</v>
      </c>
      <c r="C238" s="46" t="s">
        <v>2224</v>
      </c>
      <c r="H238" s="68" t="s">
        <v>2217</v>
      </c>
      <c r="L238" s="573" t="str">
        <f>IF(OR($O238=$M238,$O238=0,$O238=""),"","* * Check Score! * *")</f>
        <v/>
      </c>
      <c r="M238" s="7">
        <v>1</v>
      </c>
      <c r="N238" s="252" t="s">
        <v>3822</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v>1</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2943</v>
      </c>
      <c r="C241" s="46" t="s">
        <v>2222</v>
      </c>
      <c r="H241" s="68" t="s">
        <v>2218</v>
      </c>
      <c r="L241" s="573" t="str">
        <f t="shared" si="1"/>
        <v/>
      </c>
      <c r="M241" s="7">
        <v>2</v>
      </c>
      <c r="N241" s="252" t="s">
        <v>2943</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v>2</v>
      </c>
      <c r="P247" s="89"/>
      <c r="R247" s="573" t="str">
        <f>IF(OR($O247=$M247,$O247=0,$O247=""),"","* * Check Score! * *")</f>
        <v/>
      </c>
    </row>
    <row r="248" spans="1:18" s="53" customFormat="1" ht="12.6" customHeight="1">
      <c r="A248" s="253"/>
      <c r="B248" s="252" t="s">
        <v>3064</v>
      </c>
      <c r="C248" s="46" t="s">
        <v>983</v>
      </c>
      <c r="E248" s="1209" t="s">
        <v>4061</v>
      </c>
      <c r="F248" s="1210"/>
      <c r="G248" s="1210"/>
      <c r="H248" s="1211"/>
      <c r="K248" s="255"/>
      <c r="M248" s="7"/>
      <c r="N248" s="7"/>
      <c r="O248" s="7"/>
      <c r="P248" s="7"/>
    </row>
    <row r="249" spans="1:18" ht="42" customHeight="1">
      <c r="A249" s="254"/>
      <c r="B249" s="596" t="s">
        <v>3066</v>
      </c>
      <c r="C249" s="597" t="s">
        <v>3560</v>
      </c>
      <c r="D249" s="598"/>
      <c r="E249" s="1212" t="s">
        <v>4062</v>
      </c>
      <c r="F249" s="1213"/>
      <c r="G249" s="1213"/>
      <c r="H249" s="1213"/>
      <c r="I249" s="1213"/>
      <c r="J249" s="1213"/>
      <c r="K249" s="1213"/>
      <c r="L249" s="1213"/>
      <c r="M249" s="1213"/>
      <c r="N249" s="1213"/>
      <c r="O249" s="1213"/>
      <c r="P249" s="1214"/>
    </row>
    <row r="250" spans="1:18" ht="12.6" customHeight="1">
      <c r="B250" s="252" t="s">
        <v>3822</v>
      </c>
      <c r="C250" s="46" t="s">
        <v>984</v>
      </c>
      <c r="E250" s="1215">
        <v>1300000</v>
      </c>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37.5" customHeight="1">
      <c r="A253" s="1152" t="s">
        <v>4104</v>
      </c>
      <c r="B253" s="1153"/>
      <c r="C253" s="1153"/>
      <c r="D253" s="1153"/>
      <c r="E253" s="1153"/>
      <c r="F253" s="1153"/>
      <c r="G253" s="1153"/>
      <c r="H253" s="1153"/>
      <c r="I253" s="1153"/>
      <c r="J253" s="1153"/>
      <c r="K253" s="1153"/>
      <c r="L253" s="1153"/>
      <c r="M253" s="1153"/>
      <c r="N253" s="1153"/>
      <c r="O253" s="1153"/>
      <c r="P253" s="1154"/>
    </row>
    <row r="254" spans="1:18" s="53" customFormat="1" ht="24" customHeight="1">
      <c r="A254" s="1155" t="s">
        <v>4094</v>
      </c>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66"/>
      <c r="P260" s="234"/>
    </row>
    <row r="261" spans="1:18" s="53" customFormat="1" ht="24.6" customHeight="1">
      <c r="A261" s="52"/>
      <c r="B261" s="1069" t="s">
        <v>3917</v>
      </c>
      <c r="C261" s="1070"/>
      <c r="D261" s="1070"/>
      <c r="E261" s="1070"/>
      <c r="F261" s="1070"/>
      <c r="G261" s="1070"/>
      <c r="H261" s="1070"/>
      <c r="I261" s="1070"/>
      <c r="J261" s="1070"/>
      <c r="K261" s="1070"/>
      <c r="L261" s="107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3</v>
      </c>
      <c r="P270" s="96">
        <f>MIN($M270,P272+P271)</f>
        <v>0</v>
      </c>
      <c r="Q270" s="146" t="s">
        <v>651</v>
      </c>
    </row>
    <row r="271" spans="1:18" s="53" customFormat="1" ht="12" customHeight="1">
      <c r="A271" s="189" t="s">
        <v>3060</v>
      </c>
      <c r="B271" s="147" t="s">
        <v>2687</v>
      </c>
      <c r="D271" s="42"/>
      <c r="E271" s="42"/>
      <c r="F271" s="42"/>
      <c r="L271" s="573" t="str">
        <f>IF(OR($O271=$M271,$O271=0,$O271=""),"","* * Check Score! * *")</f>
        <v/>
      </c>
      <c r="M271" s="7">
        <v>3</v>
      </c>
      <c r="N271" s="62" t="s">
        <v>3060</v>
      </c>
      <c r="O271" s="1162"/>
      <c r="P271" s="89"/>
      <c r="Q271" s="146"/>
      <c r="R271" s="573" t="str">
        <f>IF(OR($O271=$M271,$O271=0,$O271=""),"","* * Check Score! * *")</f>
        <v/>
      </c>
    </row>
    <row r="272" spans="1:18" s="53" customFormat="1" ht="12" customHeight="1">
      <c r="A272" s="189" t="s">
        <v>3063</v>
      </c>
      <c r="B272" s="147" t="s">
        <v>2688</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66" t="s">
        <v>3518</v>
      </c>
      <c r="C273" s="1067"/>
      <c r="D273" s="1067"/>
      <c r="E273" s="1067"/>
      <c r="F273" s="1067"/>
      <c r="G273" s="1067"/>
      <c r="H273" s="1067"/>
      <c r="I273" s="1067"/>
      <c r="J273" s="1067"/>
      <c r="K273" s="1067"/>
      <c r="L273" s="1067"/>
      <c r="M273" s="1067"/>
      <c r="N273" s="62"/>
      <c r="O273" s="1166" t="s">
        <v>3970</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66"/>
      <c r="P281" s="234"/>
    </row>
    <row r="282" spans="1:18" s="45" customFormat="1" ht="3" customHeight="1">
      <c r="M282" s="52"/>
      <c r="N282" s="52"/>
      <c r="O282" s="52"/>
      <c r="P282" s="52"/>
    </row>
    <row r="283" spans="1:18" ht="12.6" customHeight="1">
      <c r="B283" s="258" t="s">
        <v>3060</v>
      </c>
      <c r="C283" s="256" t="s">
        <v>2160</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3988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4095</v>
      </c>
      <c r="B288" s="1153"/>
      <c r="C288" s="1153"/>
      <c r="D288" s="1153"/>
      <c r="E288" s="1153"/>
      <c r="F288" s="1153"/>
      <c r="G288" s="1153"/>
      <c r="H288" s="1153"/>
      <c r="I288" s="1153"/>
      <c r="J288" s="1153"/>
      <c r="K288" s="1153"/>
      <c r="L288" s="1153"/>
      <c r="M288" s="1153"/>
      <c r="N288" s="1153"/>
      <c r="O288" s="1153"/>
      <c r="P288" s="1154"/>
      <c r="Q288" s="998" t="s">
        <v>1932</v>
      </c>
      <c r="R288" s="998"/>
    </row>
    <row r="289" spans="1:19" s="67" customFormat="1" ht="23.45" customHeight="1">
      <c r="A289" s="1155" t="s">
        <v>4096</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1932</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57</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3185</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2636</v>
      </c>
      <c r="K303" s="209"/>
      <c r="L303" s="166"/>
      <c r="M303" s="250"/>
      <c r="N303" s="251"/>
      <c r="Q303" s="155"/>
      <c r="R303" s="155"/>
      <c r="S303" s="155"/>
    </row>
    <row r="304" spans="1:19" ht="15">
      <c r="A304" s="155"/>
      <c r="B304" s="155"/>
      <c r="C304" s="113" t="s">
        <v>3187</v>
      </c>
      <c r="D304" s="113"/>
      <c r="E304" s="113"/>
      <c r="F304" s="113"/>
      <c r="G304" s="113"/>
      <c r="H304" s="113"/>
      <c r="I304" s="113"/>
      <c r="J304" s="358" t="s">
        <v>2637</v>
      </c>
      <c r="K304" s="209"/>
      <c r="L304" s="166"/>
      <c r="M304" s="250"/>
      <c r="N304" s="251"/>
      <c r="Q304" s="155"/>
      <c r="R304" s="155"/>
      <c r="S304" s="155"/>
    </row>
    <row r="305" spans="1:19" ht="15">
      <c r="A305" s="155"/>
      <c r="B305" s="155"/>
      <c r="C305" s="359" t="s">
        <v>3188</v>
      </c>
      <c r="D305" s="113"/>
      <c r="E305" s="113"/>
      <c r="F305" s="113"/>
      <c r="G305" s="113"/>
      <c r="H305" s="113"/>
      <c r="I305" s="113"/>
      <c r="J305" s="358" t="s">
        <v>3784</v>
      </c>
      <c r="K305" s="209"/>
      <c r="L305" s="166"/>
      <c r="M305" s="250"/>
      <c r="N305" s="251"/>
      <c r="Q305" s="155"/>
      <c r="R305" s="155"/>
      <c r="S305" s="155"/>
    </row>
    <row r="306" spans="1:19" ht="15">
      <c r="A306" s="155"/>
      <c r="B306" s="155"/>
      <c r="C306" s="359" t="s">
        <v>3189</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3230</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3225</v>
      </c>
      <c r="D314" s="113"/>
      <c r="E314" s="113"/>
      <c r="F314" s="113"/>
      <c r="G314" s="113"/>
      <c r="H314" s="113"/>
      <c r="I314" s="113"/>
      <c r="J314" s="358" t="s">
        <v>2645</v>
      </c>
      <c r="K314" s="209"/>
      <c r="L314" s="166"/>
      <c r="M314" s="250"/>
      <c r="N314" s="251"/>
      <c r="Q314" s="155"/>
      <c r="R314" s="155"/>
      <c r="S314" s="155"/>
    </row>
    <row r="315" spans="1:19" ht="15">
      <c r="A315" s="155"/>
      <c r="B315" s="155"/>
      <c r="C315" s="360" t="s">
        <v>3226</v>
      </c>
      <c r="D315" s="113"/>
      <c r="E315" s="113"/>
      <c r="F315" s="113"/>
      <c r="G315" s="113"/>
      <c r="H315" s="113"/>
      <c r="I315" s="113"/>
      <c r="J315" s="358" t="s">
        <v>2646</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3808</v>
      </c>
      <c r="H324" s="673" t="s">
        <v>3809</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3167</v>
      </c>
      <c r="H326" s="674" t="s">
        <v>2033</v>
      </c>
      <c r="I326" s="674" t="s">
        <v>2030</v>
      </c>
      <c r="J326" s="166"/>
      <c r="K326" s="166"/>
      <c r="L326" s="166"/>
      <c r="M326" s="250"/>
      <c r="N326" s="251"/>
    </row>
    <row r="327" spans="1:19">
      <c r="A327" s="155"/>
      <c r="B327" s="155"/>
      <c r="C327" s="166"/>
      <c r="D327" s="166"/>
      <c r="E327" s="166"/>
      <c r="F327" s="166"/>
      <c r="G327" s="673" t="s">
        <v>2546</v>
      </c>
      <c r="H327" s="674" t="s">
        <v>3829</v>
      </c>
      <c r="I327" s="674" t="s">
        <v>2033</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2033</v>
      </c>
      <c r="H329" s="674" t="s">
        <v>3000</v>
      </c>
      <c r="I329" s="674" t="s">
        <v>3762</v>
      </c>
      <c r="J329" s="166"/>
      <c r="K329" s="166"/>
      <c r="L329" s="166"/>
      <c r="M329" s="250"/>
      <c r="N329" s="251"/>
    </row>
    <row r="330" spans="1:19">
      <c r="A330" s="155"/>
      <c r="B330" s="155"/>
      <c r="C330" s="166"/>
      <c r="D330" s="166"/>
      <c r="E330" s="166"/>
      <c r="F330" s="166"/>
      <c r="G330" s="673" t="s">
        <v>2251</v>
      </c>
      <c r="H330" s="674" t="s">
        <v>3411</v>
      </c>
      <c r="I330" s="674" t="s">
        <v>3764</v>
      </c>
      <c r="J330" s="166"/>
      <c r="K330" s="166"/>
      <c r="L330" s="166"/>
      <c r="M330" s="250"/>
      <c r="N330" s="251"/>
    </row>
    <row r="331" spans="1:19">
      <c r="A331" s="155"/>
      <c r="B331" s="155"/>
      <c r="C331" s="166"/>
      <c r="D331" s="166"/>
      <c r="E331" s="166"/>
      <c r="F331" s="166"/>
      <c r="G331" s="673" t="s">
        <v>1642</v>
      </c>
      <c r="H331" s="674" t="s">
        <v>3831</v>
      </c>
      <c r="I331" s="674" t="s">
        <v>3817</v>
      </c>
      <c r="J331" s="166"/>
      <c r="K331" s="166"/>
      <c r="L331" s="166"/>
      <c r="M331" s="250"/>
      <c r="N331" s="251"/>
    </row>
    <row r="332" spans="1:19">
      <c r="A332" s="155"/>
      <c r="B332" s="155"/>
      <c r="C332" s="166"/>
      <c r="D332" s="166"/>
      <c r="E332" s="166"/>
      <c r="F332" s="166"/>
      <c r="G332" s="673" t="s">
        <v>3764</v>
      </c>
      <c r="H332" s="674" t="s">
        <v>1003</v>
      </c>
      <c r="I332" s="674" t="s">
        <v>254</v>
      </c>
      <c r="J332" s="166"/>
      <c r="K332" s="166"/>
      <c r="L332" s="166"/>
      <c r="M332" s="250"/>
      <c r="N332" s="251"/>
    </row>
    <row r="333" spans="1:19">
      <c r="A333" s="155"/>
      <c r="B333" s="155"/>
      <c r="C333" s="166"/>
      <c r="D333" s="166"/>
      <c r="E333" s="166"/>
      <c r="F333" s="166"/>
      <c r="G333" s="673" t="s">
        <v>3154</v>
      </c>
      <c r="H333" s="674" t="s">
        <v>2633</v>
      </c>
      <c r="I333" s="674" t="s">
        <v>1549</v>
      </c>
      <c r="J333" s="166"/>
      <c r="K333" s="166"/>
      <c r="L333" s="166"/>
      <c r="M333" s="250"/>
      <c r="N333" s="251"/>
    </row>
    <row r="334" spans="1:19" ht="25.5">
      <c r="A334" s="155"/>
      <c r="B334" s="155"/>
      <c r="C334" s="166"/>
      <c r="D334" s="166"/>
      <c r="E334" s="166"/>
      <c r="F334" s="166"/>
      <c r="G334" s="673" t="s">
        <v>934</v>
      </c>
      <c r="H334" s="674" t="s">
        <v>3832</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3399</v>
      </c>
      <c r="I336" s="674" t="s">
        <v>1469</v>
      </c>
      <c r="J336" s="166"/>
      <c r="K336" s="166"/>
      <c r="L336" s="166"/>
      <c r="M336" s="250"/>
      <c r="N336" s="251"/>
    </row>
    <row r="337" spans="1:14">
      <c r="A337" s="155"/>
      <c r="B337" s="155"/>
      <c r="C337" s="166"/>
      <c r="D337" s="166"/>
      <c r="E337" s="166"/>
      <c r="F337" s="166"/>
      <c r="G337" s="673" t="s">
        <v>669</v>
      </c>
      <c r="H337" s="674" t="s">
        <v>2953</v>
      </c>
      <c r="I337" s="674" t="s">
        <v>1008</v>
      </c>
      <c r="J337" s="166"/>
      <c r="K337" s="166"/>
      <c r="L337" s="166"/>
      <c r="M337" s="250"/>
      <c r="N337" s="251"/>
    </row>
    <row r="338" spans="1:14" ht="51">
      <c r="A338" s="155"/>
      <c r="B338" s="155"/>
      <c r="C338" s="166"/>
      <c r="D338" s="166"/>
      <c r="E338" s="166"/>
      <c r="F338" s="166"/>
      <c r="G338" s="673" t="s">
        <v>298</v>
      </c>
      <c r="H338" s="674" t="s">
        <v>3835</v>
      </c>
      <c r="I338" s="674" t="s">
        <v>1013</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881</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3191</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2938</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1742</v>
      </c>
      <c r="J350" s="166"/>
      <c r="K350" s="166"/>
      <c r="L350" s="166"/>
      <c r="M350" s="250"/>
      <c r="N350" s="251"/>
    </row>
    <row r="351" spans="1:14">
      <c r="A351" s="155"/>
      <c r="B351" s="155"/>
      <c r="C351" s="166"/>
      <c r="D351" s="166"/>
      <c r="E351" s="166"/>
      <c r="F351" s="166"/>
      <c r="G351" s="673" t="s">
        <v>3224</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2297</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 xml:space="preserve">Ashley Auburn Pointe II </v>
      </c>
    </row>
    <row r="3" spans="1:6" ht="16.5">
      <c r="A3" s="1147" t="str">
        <f>CONCATENATE('Part I-Project Information'!F24,", ", 'Part I-Project Information'!J25," County")</f>
        <v>Atlanta, Fulton County</v>
      </c>
    </row>
    <row r="4" spans="1:6" ht="12" customHeight="1"/>
    <row r="5" spans="1:6" ht="111" customHeight="1">
      <c r="A5" s="1148"/>
      <c r="B5" s="774" t="s">
        <v>1591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sqref="A1:XFD104857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3570</v>
      </c>
      <c r="B22" s="1138" t="s">
        <v>1033</v>
      </c>
      <c r="C22" s="1138"/>
      <c r="D22" s="1138"/>
      <c r="E22" s="1138"/>
      <c r="F22" s="1138"/>
      <c r="G22" s="1138"/>
      <c r="H22" s="1138"/>
      <c r="I22" s="1138"/>
      <c r="J22" s="1138"/>
      <c r="K22" s="1138"/>
      <c r="L22" s="1138"/>
      <c r="M22" s="1138"/>
    </row>
    <row r="23" spans="1:13" ht="165.6" customHeight="1">
      <c r="A23" s="1137" t="s">
        <v>2303</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5" zoomScale="120" workbookViewId="0">
      <selection activeCell="E77" sqref="E7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22256390</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26707682</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24482022</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2971</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8">
        <v>3500</v>
      </c>
      <c r="R31" s="1079"/>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3038</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1580</v>
      </c>
      <c r="R37" s="424">
        <v>500000</v>
      </c>
      <c r="S37" s="434"/>
      <c r="T37" s="434"/>
      <c r="U37" s="434"/>
    </row>
    <row r="38" spans="1:21" s="418" customFormat="1" ht="11.45" customHeight="1">
      <c r="A38" s="243"/>
      <c r="B38" s="243" t="s">
        <v>3128</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3129</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80">
        <v>7.0000000000000007E-2</v>
      </c>
      <c r="R41" s="1080"/>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2917</v>
      </c>
      <c r="C46" s="243"/>
      <c r="D46" s="241"/>
      <c r="E46" s="241"/>
      <c r="F46" s="243"/>
      <c r="G46" s="243"/>
      <c r="H46" s="243"/>
      <c r="I46" s="241"/>
      <c r="J46" s="243" t="s">
        <v>2757</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2738</v>
      </c>
      <c r="G47" s="243"/>
      <c r="H47" s="243" t="s">
        <v>3435</v>
      </c>
      <c r="I47" s="241"/>
      <c r="J47" s="243" t="s">
        <v>1586</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80" t="s">
        <v>3586</v>
      </c>
      <c r="R53" s="1080"/>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80">
        <v>0.02</v>
      </c>
      <c r="R64" s="1080"/>
    </row>
    <row r="65" spans="1:21" s="434" customFormat="1" ht="11.45" customHeight="1">
      <c r="A65" s="243"/>
      <c r="B65" s="243" t="s">
        <v>2796</v>
      </c>
      <c r="C65" s="243"/>
      <c r="D65" s="243"/>
      <c r="E65" s="243"/>
      <c r="F65" s="243"/>
      <c r="G65" s="243"/>
      <c r="H65" s="243"/>
      <c r="J65" s="243" t="s">
        <v>2795</v>
      </c>
      <c r="K65" s="243"/>
      <c r="L65" s="243"/>
      <c r="M65" s="243"/>
      <c r="N65" s="243"/>
      <c r="O65" s="243"/>
      <c r="Q65" s="1080">
        <v>7.0000000000000007E-2</v>
      </c>
      <c r="R65" s="1080"/>
    </row>
    <row r="66" spans="1:21" s="434" customFormat="1" ht="11.45" customHeight="1">
      <c r="A66" s="243"/>
      <c r="B66" s="243" t="s">
        <v>2797</v>
      </c>
      <c r="C66" s="243"/>
      <c r="D66" s="243"/>
      <c r="E66" s="243"/>
      <c r="F66" s="243"/>
      <c r="G66" s="243"/>
      <c r="H66" s="243"/>
      <c r="J66" s="243" t="s">
        <v>2795</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3134</v>
      </c>
      <c r="D93" s="1127">
        <v>63700</v>
      </c>
    </row>
    <row r="94" spans="3:12" ht="9" customHeight="1">
      <c r="C94" s="578" t="s">
        <v>3899</v>
      </c>
      <c r="D94" s="1127">
        <v>47100</v>
      </c>
    </row>
    <row r="95" spans="3:12" ht="9" customHeight="1">
      <c r="C95" s="577" t="s">
        <v>3399</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3757</v>
      </c>
      <c r="D113" s="1127">
        <v>44200</v>
      </c>
    </row>
    <row r="114" spans="3:4" ht="9" customHeight="1">
      <c r="C114" s="578" t="s">
        <v>3760</v>
      </c>
      <c r="D114" s="1127">
        <v>41600</v>
      </c>
    </row>
    <row r="115" spans="3:4" ht="9" customHeight="1">
      <c r="C115" s="578" t="s">
        <v>3763</v>
      </c>
      <c r="D115" s="1127">
        <v>42300</v>
      </c>
    </row>
    <row r="116" spans="3:4" ht="9" customHeight="1">
      <c r="C116" s="578" t="s">
        <v>3815</v>
      </c>
      <c r="D116" s="1127">
        <v>40400</v>
      </c>
    </row>
    <row r="117" spans="3:4" ht="9" customHeight="1">
      <c r="C117" s="578" t="s">
        <v>3818</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3371</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3897</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3274</v>
      </c>
      <c r="D158" s="1127">
        <v>48100</v>
      </c>
    </row>
    <row r="159" spans="3:4" ht="9" customHeight="1">
      <c r="C159" s="578" t="s">
        <v>3276</v>
      </c>
      <c r="D159" s="1127">
        <v>49000</v>
      </c>
    </row>
    <row r="160" spans="3:4" ht="9" customHeight="1">
      <c r="C160" s="577" t="s">
        <v>3278</v>
      </c>
      <c r="D160" s="1127">
        <v>45200</v>
      </c>
    </row>
    <row r="161" spans="3:4" ht="9" customHeight="1">
      <c r="C161" s="577" t="s">
        <v>3281</v>
      </c>
      <c r="D161" s="1127">
        <v>44700</v>
      </c>
    </row>
    <row r="162" spans="3:4" ht="9" customHeight="1">
      <c r="C162" s="578" t="s">
        <v>3283</v>
      </c>
      <c r="D162" s="1127">
        <v>38200</v>
      </c>
    </row>
    <row r="163" spans="3:4" ht="9" customHeight="1">
      <c r="C163" s="578" t="s">
        <v>3285</v>
      </c>
      <c r="D163" s="1127">
        <v>40800</v>
      </c>
    </row>
    <row r="164" spans="3:4" ht="9" customHeight="1">
      <c r="C164" s="578" t="s">
        <v>3287</v>
      </c>
      <c r="D164" s="1127">
        <v>46600</v>
      </c>
    </row>
    <row r="165" spans="3:4" ht="9" customHeight="1">
      <c r="C165" s="578" t="s">
        <v>3289</v>
      </c>
      <c r="D165" s="1127">
        <v>25200</v>
      </c>
    </row>
    <row r="166" spans="3:4" ht="9" customHeight="1">
      <c r="C166" s="578" t="s">
        <v>3291</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3630</v>
      </c>
      <c r="D185" s="1127">
        <v>41100</v>
      </c>
    </row>
    <row r="186" spans="3:4" ht="9" customHeight="1">
      <c r="C186" s="577" t="s">
        <v>3632</v>
      </c>
      <c r="D186" s="1127">
        <v>42000</v>
      </c>
    </row>
    <row r="187" spans="3:4" ht="9" customHeight="1">
      <c r="C187" s="577" t="s">
        <v>3634</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3" workbookViewId="0">
      <selection activeCell="A2223"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 xml:space="preserve">Ashley Auburn Pointe II </v>
      </c>
    </row>
    <row r="3" spans="1:2">
      <c r="A3" s="748" t="str">
        <f>CONCATENATE('Part I-Project Information'!F24,", ", 'Part I-Project Information'!J25," County")</f>
        <v>Atlanta, Fulton County</v>
      </c>
    </row>
    <row r="4" spans="1:2" ht="12" customHeight="1"/>
    <row r="5" spans="1:2" ht="111" customHeight="1">
      <c r="A5" s="748" t="str">
        <f>'Project Narrative'!A5</f>
        <v xml:space="preserve">Auburn Pointe is a Master Planned Community that is transforming the former Grady Homes into a vibrant community that will include multigenerational housing with distinctive and diverse architecture.  The Grady Homes HOPE VI revitalization is a joint effort of The Atlanta Housing Authority and Grady Redevelopment, LLC, a joint-venture of Integral Development LLC and Urban Realty Partners.  The project has become a catalyst for initiating the long anticipated economic resurgence of the neighborhood immediately adjacent to the historic Sweet Auburn District.  Since the revitalization began there has been new private investment in the neighborhood bringing an increase in retail, dining, service, and entertainment options for the residents.  The revitalized Auburn Pointe community will capitalize on the inherent strengths of location, convenient access to diverse transportation, history, and strong public/private partnership in the area to create an exemplary urban neighborhood with unique culture and identity.  </v>
      </c>
      <c r="B5" s="748" t="s">
        <v>1591</v>
      </c>
    </row>
    <row r="6" spans="1:2" ht="6.6" customHeight="1"/>
    <row r="7" spans="1:2" ht="111" customHeight="1">
      <c r="A7" s="748" t="str">
        <f>'Project Narrative'!A7</f>
        <v xml:space="preserve">Auburn Pointe is located in a high profile neighborhood.  It links with Downtown Atlanta’s vibrant shopping, entertainment and employment centers, and state-of-the art educational opportunities. Auburn Pointe is in close proximity to the Georgia State Capitol, State offices, Fulton County offices, the Atlanta Central Business District, Georgia State University, Turner Field, Phillips Arena, and the Martin Luther King Jr. Historical Site.  The community is located near all of Atlanta’s major highways, (I-20 E/W, I-75/85 N/S).  It is adjacent to the MARTA King Memorial train station, and is served by three MARTA bus routes, providing convenient access to the residents.  It is only a block away from Edgewood Avenue, where the new east-west trolley line will run and connect with the Atlanta Beltline. </v>
      </c>
    </row>
    <row r="8" spans="1:2" ht="6.6" customHeight="1"/>
    <row r="9" spans="1:2" ht="111" customHeight="1">
      <c r="A9" s="748" t="str">
        <f>'Project Narrative'!A9</f>
        <v>Ashley Auburn Pointe II is Phase IV of the HOPE VI revitalization plan.  It is the second phase of multifamily development at Auburn Pointe and will be located on two parcels comprised of 5.45 acres. There are currently four on-site phases and one off-site phase in various stages of development.  The original on-site phase, a senior apartment building known as Veranda I, opened in 2008 and remains 100% occupied. Two more on-site senior phases, Veranda II and Veranda III, will be open in June and July 2011.  Ashley Auburn Pointe I, the first on-site phase of 154 multifamily apartments, opened in late 2010.   The non-subsidized units achieved full occupancy by March 2011 and the total project reached 100% occupancy by May.  The subsidized units took slightly longer to occupy due to the process for the reoccupancy of former residents of Grady Homes.  The rapid lease-up of Ashley I demonstrates a strong demand and need for rental housing in the area with a range of affordability levels.  Ashley I has a diverse resident population including young professionals, students, traditional families and multigenerational families. The opening of Ashley I had no impact on the occupancy of the nearby Capitol Gateway, a mixed-income community less than 0.5 miles from Auburn Pointe.  Both phases of the 421-unit community increased occupancy during the same period, up to 94%.</v>
      </c>
    </row>
    <row r="10" spans="1:2" ht="6.6" customHeight="1"/>
    <row r="11" spans="1:2" ht="111" customHeight="1">
      <c r="A11" s="748" t="str">
        <f>'Project Narrative'!A11</f>
        <v xml:space="preserve">Ashley Auburn Pointe II will help meet the need in the neighborhood for safe, affordable, energy efficient rental housing.  It will consist of 150 multi-family residential units, which will include (i) 54-1-bedroom units; (ii) 82-2-bedroom units; and (iii) 14-3-bedroom units. This mixed-income community will incorporate 60% affordable units and 40% market rate units.  The variety of floor plans and affordability levels will allow Ashley Auburn Pointe II to be marketable to a diverse spectrum of residents. The Ashley Auburn Pointe II project is being implemented with strong support by the local community, the City of Atlanta, and the Atlanta Housing Authority.   </v>
      </c>
    </row>
    <row r="12" spans="1:2" ht="6.6" customHeight="1"/>
    <row r="13" spans="1:2" ht="111" customHeight="1">
      <c r="A13" s="748" t="str">
        <f>'Project Narrative'!A13</f>
        <v xml:space="preserve">The tenants of a multifamily community need a variety of amenities suitable to a multigenerational population. Ashley Auburn Pointe II will be rich in amenities.  The units will offer gracious home living while creating an urban environment for downtown living.  EnergyStar refrigerators and dishwashers, in-sink disposals, stoves with powder-based fire suppression canisters, and washers and dryers will be standard appliances in every unit. Units will also feature ceiling fans and programmable thermostats.  The units will be pre-wired for security.  Community amenities for Ashley Auburn Pointe II include a pavilion with barbeque and picnic areas, a well-equipped playground, business center, furnished arts &amp; crafts room, and a recycling center.  Ashley Auburn Pointe II will feature a spacious community room to serve as meeting and event space that leads to a covered exterior gathering space.  </v>
      </c>
    </row>
    <row r="14" spans="1:2" ht="6.6" customHeight="1"/>
    <row r="15" spans="1:2" ht="111" customHeight="1">
      <c r="A15" s="748" t="str">
        <f>'Project Narrative'!A15</f>
        <v xml:space="preserve">Ashley Auburn Pointe II will be designed to meet certification through the EarthCraft Multifamily Program sponsored by the Southface Energy Institute. Through the EarthCraft Multifamily certification process, Ashley Auburn Pointe II will also earn ENERGY STAR certification.  Properties certified by the EarthCraft program meet strict energy efficiency criteria in the planning, construction, and operational phases.  Ashley Auburn Pointe II will use resource efficient design and building materials, careful construction waste management and recycling, and energy efficient building envelopes and systems to lower the environmental impact of construction and to reduce the resource consumption by residents.  
</v>
      </c>
    </row>
    <row r="16" spans="1:2" ht="6.6" customHeight="1"/>
    <row r="17" spans="1:13" ht="111" customHeight="1">
      <c r="A17" s="748" t="str">
        <f>'Project Narrative'!A17</f>
        <v xml:space="preserve">The streetscapes at Auburn Pointe feature various distinctive facades and newly-improved pedestrian-friendly streets.  The public improvements performed in conjunction with revitalization include new water lines and new separated storm and sanitary sewer lines.  The existing streets surrounding Auburn Pointe have been completely rebuilt, and new streets have been installed within the Auburn Pointe community to improve neighborhood connectivity.  The streets improvements included the installation of new sidewalks, curbs and gutters, landscape strips, and pedestrian scale lighting.  Overhead utilities have been buried underground to remove pedestrian obstacles and to reduce service breaks caused by downed lines.  As part of the continued investment in the public infrastructure, the preservation and reactivation of Selena S. Butler Park, the neighborhood park, is a critical part of the Auburn Pointe master plan.  With the addition of Ashley Auburn Pointe II to the community, the neighborhood density will be enough for the City and the Atlanta Housing Authority to partner in the redevelopment of Butler Park. </v>
      </c>
    </row>
    <row r="18" spans="1:13" ht="6.6" customHeight="1"/>
    <row r="19" spans="1:13" ht="111" customHeight="1">
      <c r="A19" s="748" t="str">
        <f>'Project Narrative'!A19</f>
        <v xml:space="preserve">Since the site on which Ashley Auburn Pointe II is being developed once contained housing units as Grady Homes, the project may be eligible for a full or partial impact fee waiver.  That will not be determined until the building permit is issued.  The City of Atlanta sets a cap each year on fee waivers granted, and permits issued after the cap is reached will not be granted waivers.  In addition, the length of time between the demolition of Grady Homes and the construction of Ashley Auburn Pointe II may be too long for a waiver to be granted.  To be conservative, an estimated Impact Fee is included in the Uses of Funds. </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4120</v>
      </c>
      <c r="M32" s="748" t="s">
        <v>2729</v>
      </c>
    </row>
    <row r="33" spans="1:15" ht="12" customHeight="1">
      <c r="E33" s="748" t="s">
        <v>4121</v>
      </c>
      <c r="O33" s="748" t="str">
        <f>'Part I-Project Information'!$O$4</f>
        <v>2011-013</v>
      </c>
    </row>
    <row r="34" spans="1:15" ht="12" customHeight="1"/>
    <row r="35" spans="1:15" ht="13.15" customHeight="1">
      <c r="A35" s="748" t="s">
        <v>950</v>
      </c>
      <c r="C35" s="748" t="s">
        <v>3589</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3132</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3441</v>
      </c>
      <c r="F42" s="748" t="str">
        <f>'Part I-Project Information'!$F$13</f>
        <v>Grady Multifamily II, L.P. c/o Eric Pinckney</v>
      </c>
      <c r="M42" s="748" t="s">
        <v>3057</v>
      </c>
      <c r="N42" s="748" t="str">
        <f>'Part I-Project Information'!N13</f>
        <v>Vice President</v>
      </c>
    </row>
    <row r="43" spans="1:15" ht="13.15" customHeight="1">
      <c r="C43" s="748" t="s">
        <v>3058</v>
      </c>
      <c r="F43" s="748" t="str">
        <f>'Part I-Project Information'!$F$14</f>
        <v>60 Piedmont Avenue</v>
      </c>
      <c r="M43" s="748" t="s">
        <v>2746</v>
      </c>
      <c r="O43" s="748">
        <f>'Part I-Project Information'!O14</f>
        <v>4042241889</v>
      </c>
    </row>
    <row r="44" spans="1:15" ht="13.15" customHeight="1">
      <c r="C44" s="748" t="s">
        <v>953</v>
      </c>
      <c r="F44" s="748" t="str">
        <f>'Part I-Project Information'!$F$15</f>
        <v>Atlanta</v>
      </c>
      <c r="M44" s="748" t="s">
        <v>2833</v>
      </c>
      <c r="O44" s="748">
        <f>'Part I-Project Information'!O15</f>
        <v>4042241899</v>
      </c>
    </row>
    <row r="45" spans="1:15" ht="13.15" customHeight="1">
      <c r="C45" s="748" t="s">
        <v>2830</v>
      </c>
      <c r="F45" s="748" t="str">
        <f>'Part I-Project Information'!$F$16</f>
        <v>GA</v>
      </c>
      <c r="I45" s="748" t="s">
        <v>3353</v>
      </c>
      <c r="J45" s="748">
        <f>'Part I-Project Information'!J16</f>
        <v>303032540</v>
      </c>
      <c r="M45" s="748" t="s">
        <v>3056</v>
      </c>
      <c r="O45" s="748">
        <f>'Part I-Project Information'!O16</f>
        <v>0</v>
      </c>
    </row>
    <row r="46" spans="1:15" ht="13.15" customHeight="1">
      <c r="C46" s="748" t="s">
        <v>2745</v>
      </c>
      <c r="F46" s="748">
        <f>'Part I-Project Information'!F17</f>
        <v>4042241860</v>
      </c>
      <c r="I46" s="748" t="s">
        <v>2744</v>
      </c>
      <c r="J46" s="748">
        <f>'Part I-Project Information'!J17</f>
        <v>0</v>
      </c>
      <c r="K46" s="748" t="s">
        <v>3061</v>
      </c>
      <c r="L46" s="748" t="str">
        <f>'Part I-Project Information'!L17</f>
        <v>epinckney@integral-online.com</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 xml:space="preserve">Ashley Auburn Pointe II </v>
      </c>
      <c r="M51" s="748" t="s">
        <v>3299</v>
      </c>
      <c r="O51" s="748" t="str">
        <f>'Part I-Project Information'!O22</f>
        <v>Yes- w/Master Plan</v>
      </c>
    </row>
    <row r="52" spans="1:16" ht="13.15" customHeight="1">
      <c r="C52" s="748" t="s">
        <v>952</v>
      </c>
      <c r="F52" s="748" t="str">
        <f>'Part I-Project Information'!F23</f>
        <v>100 Bell Street</v>
      </c>
      <c r="M52" s="748" t="s">
        <v>3146</v>
      </c>
      <c r="O52" s="748" t="str">
        <f>'Part I-Project Information'!O23</f>
        <v>No</v>
      </c>
    </row>
    <row r="53" spans="1:16" ht="13.15" customHeight="1">
      <c r="C53" s="748" t="s">
        <v>953</v>
      </c>
      <c r="F53" s="748" t="str">
        <f>'Part I-Project Information'!F24</f>
        <v>Atlanta</v>
      </c>
      <c r="I53" s="748" t="s">
        <v>4122</v>
      </c>
      <c r="J53" s="748">
        <f>'Part I-Project Information'!J24</f>
        <v>303121704</v>
      </c>
      <c r="L53" s="748" t="str">
        <f>IF(AND(NOT(F51=""),NOT(F53="Select from list"),J53=""),"Enter Zip!","")</f>
        <v/>
      </c>
      <c r="M53" s="748" t="s">
        <v>3415</v>
      </c>
      <c r="O53" s="748">
        <f>'Part I-Project Information'!O24</f>
        <v>5.45</v>
      </c>
    </row>
    <row r="54" spans="1:16" ht="13.15" customHeight="1">
      <c r="C54" s="748" t="s">
        <v>3145</v>
      </c>
      <c r="F54" s="748" t="str">
        <f>'Part I-Project Information'!F25</f>
        <v>Yes</v>
      </c>
      <c r="I54" s="748" t="s">
        <v>954</v>
      </c>
      <c r="J54" s="748" t="str">
        <f>'Part I-Project Information'!J25</f>
        <v>Fulton</v>
      </c>
      <c r="M54" s="748" t="s">
        <v>3434</v>
      </c>
      <c r="O54" s="748">
        <f>'Part I-Project Information'!O25</f>
        <v>33</v>
      </c>
    </row>
    <row r="55" spans="1:16" ht="13.15" customHeight="1">
      <c r="C55" s="748" t="s">
        <v>2313</v>
      </c>
      <c r="F55" s="748" t="str">
        <f>'Part I-Project Information'!F26</f>
        <v>No</v>
      </c>
      <c r="I55" s="748" t="s">
        <v>885</v>
      </c>
      <c r="J55" s="748" t="str">
        <f>'Part I-Project Information'!J26</f>
        <v>Atlanta-Sandy Springs-Marietta</v>
      </c>
      <c r="M55" s="748" t="s">
        <v>665</v>
      </c>
      <c r="N55" s="748" t="str">
        <f>'Part I-Project Information'!N26</f>
        <v>Yes</v>
      </c>
      <c r="O55" s="748" t="s">
        <v>666</v>
      </c>
      <c r="P55" s="748" t="str">
        <f>'Part I-Project Information'!P26</f>
        <v>No</v>
      </c>
    </row>
    <row r="56" spans="1:16" ht="3" customHeight="1"/>
    <row r="57" spans="1:16" ht="13.15" customHeight="1">
      <c r="F57" s="748" t="s">
        <v>4123</v>
      </c>
      <c r="H57" s="748" t="s">
        <v>1225</v>
      </c>
      <c r="J57" s="748" t="s">
        <v>1226</v>
      </c>
    </row>
    <row r="58" spans="1:16" ht="13.15" customHeight="1">
      <c r="C58" s="748" t="s">
        <v>955</v>
      </c>
      <c r="F58" s="748">
        <f>'Part I-Project Information'!F29</f>
        <v>5</v>
      </c>
      <c r="H58" s="748">
        <f>'Part I-Project Information'!H29</f>
        <v>36</v>
      </c>
      <c r="J58" s="748">
        <f>'Part I-Project Information'!J29</f>
        <v>56</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Atlanta</v>
      </c>
    </row>
    <row r="62" spans="1:16" ht="13.15" customHeight="1">
      <c r="C62" s="748" t="s">
        <v>974</v>
      </c>
      <c r="F62" s="748" t="str">
        <f>'Part I-Project Information'!F33</f>
        <v>Kasim Reed</v>
      </c>
      <c r="K62" s="748" t="s">
        <v>3057</v>
      </c>
      <c r="L62" s="748" t="str">
        <f>'Part I-Project Information'!L33</f>
        <v>Mayor</v>
      </c>
    </row>
    <row r="63" spans="1:16" ht="13.15" customHeight="1">
      <c r="C63" s="748" t="s">
        <v>3058</v>
      </c>
      <c r="F63" s="748" t="str">
        <f>'Part I-Project Information'!F34</f>
        <v>55 Trinity Avenue</v>
      </c>
      <c r="K63" s="748" t="s">
        <v>953</v>
      </c>
      <c r="L63" s="748" t="str">
        <f>'Part I-Project Information'!L34</f>
        <v>Atlanta</v>
      </c>
    </row>
    <row r="64" spans="1:16" ht="13.15" customHeight="1">
      <c r="C64" s="748" t="s">
        <v>3353</v>
      </c>
      <c r="F64" s="748">
        <f>'Part I-Project Information'!F35</f>
        <v>303030000</v>
      </c>
      <c r="H64" s="748" t="s">
        <v>3059</v>
      </c>
      <c r="I64" s="748">
        <f>'Part I-Project Information'!I35</f>
        <v>4043306100</v>
      </c>
      <c r="L64" s="748" t="s">
        <v>2833</v>
      </c>
      <c r="M64" s="748">
        <f>'Part I-Project Information'!M35</f>
        <v>4046586893</v>
      </c>
    </row>
    <row r="65" spans="1:16" ht="7.15" customHeight="1"/>
    <row r="66" spans="1:16" ht="13.15" customHeight="1">
      <c r="A66" s="748" t="s">
        <v>2825</v>
      </c>
      <c r="C66" s="748" t="s">
        <v>2208</v>
      </c>
      <c r="J66" s="748" t="s">
        <v>4124</v>
      </c>
    </row>
    <row r="67" spans="1:16" ht="3" customHeight="1"/>
    <row r="68" spans="1:16">
      <c r="B68" s="748" t="s">
        <v>3060</v>
      </c>
      <c r="C68" s="748" t="s">
        <v>3436</v>
      </c>
      <c r="F68" s="748" t="str">
        <f>'Part I-Project Information'!F39</f>
        <v>No</v>
      </c>
      <c r="J68" s="748" t="s">
        <v>1971</v>
      </c>
      <c r="L68" s="748" t="s">
        <v>1972</v>
      </c>
    </row>
    <row r="69" spans="1:16" ht="3" customHeight="1"/>
    <row r="70" spans="1:16" ht="13.15" customHeight="1">
      <c r="B70" s="748" t="s">
        <v>3063</v>
      </c>
      <c r="C70" s="748" t="s">
        <v>3598</v>
      </c>
      <c r="J70" s="748" t="s">
        <v>1975</v>
      </c>
      <c r="L70" s="748" t="s">
        <v>1970</v>
      </c>
    </row>
    <row r="71" spans="1:16" ht="13.15" customHeight="1">
      <c r="C71" s="748" t="s">
        <v>3435</v>
      </c>
      <c r="F71" s="748">
        <f>'Part VI-Revenues &amp; Expenses'!$M$75</f>
        <v>150</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3407</v>
      </c>
      <c r="I77" s="748" t="s">
        <v>2130</v>
      </c>
      <c r="J77" s="748" t="s">
        <v>3212</v>
      </c>
      <c r="K77" s="748" t="s">
        <v>3442</v>
      </c>
    </row>
    <row r="78" spans="1:16" ht="13.15" customHeight="1">
      <c r="C78" s="748" t="s">
        <v>3408</v>
      </c>
      <c r="H78" s="748">
        <f>SUM(H79:H80)</f>
        <v>90</v>
      </c>
      <c r="K78" s="748" t="s">
        <v>3443</v>
      </c>
      <c r="P78" s="748">
        <f>'Part VI-Revenues &amp; Expenses'!$M$94</f>
        <v>89270</v>
      </c>
    </row>
    <row r="79" spans="1:16" ht="13.15" customHeight="1">
      <c r="D79" s="748" t="s">
        <v>489</v>
      </c>
      <c r="H79" s="748">
        <f>'Part VI-Revenues &amp; Expenses'!$M$58</f>
        <v>23</v>
      </c>
      <c r="I79" s="748">
        <f>'Part VI-Revenues &amp; Expenses'!$M$66</f>
        <v>0</v>
      </c>
      <c r="K79" s="748" t="s">
        <v>326</v>
      </c>
      <c r="P79" s="748">
        <f>'Part VI-Revenues &amp; Expenses'!$M$95</f>
        <v>57728</v>
      </c>
    </row>
    <row r="80" spans="1:16" ht="13.15" customHeight="1">
      <c r="D80" s="748" t="s">
        <v>2863</v>
      </c>
      <c r="H80" s="748">
        <f>'Part VI-Revenues &amp; Expenses'!$M$57</f>
        <v>67</v>
      </c>
      <c r="I80" s="748">
        <f>'Part VI-Revenues &amp; Expenses'!$M$65</f>
        <v>0</v>
      </c>
      <c r="K80" s="748" t="s">
        <v>3444</v>
      </c>
      <c r="P80" s="748">
        <f>+P78+P79</f>
        <v>146998</v>
      </c>
    </row>
    <row r="81" spans="1:16" ht="13.15" customHeight="1">
      <c r="C81" s="748" t="s">
        <v>327</v>
      </c>
      <c r="H81" s="748">
        <f>'Part VI-Revenues &amp; Expenses'!$M$60</f>
        <v>60</v>
      </c>
      <c r="K81" s="748" t="s">
        <v>2133</v>
      </c>
      <c r="P81" s="748">
        <f>'Part VI-Revenues &amp; Expenses'!$M$97</f>
        <v>0</v>
      </c>
    </row>
    <row r="82" spans="1:16" ht="13.15" customHeight="1">
      <c r="C82" s="748" t="s">
        <v>3649</v>
      </c>
      <c r="H82" s="748">
        <f>+H78+H81</f>
        <v>150</v>
      </c>
      <c r="K82" s="748" t="s">
        <v>2132</v>
      </c>
      <c r="P82" s="748">
        <f>+P80+P81</f>
        <v>146998</v>
      </c>
    </row>
    <row r="83" spans="1:16" ht="13.15" customHeight="1">
      <c r="C83" s="748" t="s">
        <v>3650</v>
      </c>
      <c r="H83" s="748">
        <f>'Part VI-Revenues &amp; Expenses'!$M$62</f>
        <v>0</v>
      </c>
    </row>
    <row r="84" spans="1:16" ht="13.15" customHeight="1">
      <c r="C84" s="748" t="s">
        <v>2824</v>
      </c>
      <c r="H84" s="748">
        <f>+H82+H83</f>
        <v>150</v>
      </c>
    </row>
    <row r="85" spans="1:16" ht="3" customHeight="1"/>
    <row r="86" spans="1:16" ht="13.15" customHeight="1">
      <c r="B86" s="748" t="s">
        <v>2762</v>
      </c>
      <c r="C86" s="748" t="s">
        <v>3437</v>
      </c>
      <c r="D86" s="748" t="s">
        <v>3074</v>
      </c>
      <c r="H86" s="748">
        <f>'Part I-Project Information'!H57</f>
        <v>6</v>
      </c>
      <c r="K86" s="748" t="s">
        <v>1759</v>
      </c>
      <c r="P86" s="748">
        <f>'Part I-Project Information'!P57</f>
        <v>3670</v>
      </c>
    </row>
    <row r="87" spans="1:16" ht="13.15" customHeight="1">
      <c r="D87" s="748" t="s">
        <v>3075</v>
      </c>
      <c r="H87" s="748">
        <f>'Part I-Project Information'!H58</f>
        <v>0</v>
      </c>
      <c r="K87" s="748" t="s">
        <v>325</v>
      </c>
      <c r="P87" s="748">
        <f>+P82+P86</f>
        <v>150668</v>
      </c>
    </row>
    <row r="88" spans="1:16" ht="13.15" customHeight="1">
      <c r="D88" s="748" t="s">
        <v>3076</v>
      </c>
      <c r="H88" s="748">
        <f>+H86+H87</f>
        <v>6</v>
      </c>
    </row>
    <row r="89" spans="1:16" ht="3" customHeight="1"/>
    <row r="90" spans="1:16" ht="13.15" customHeight="1">
      <c r="B90" s="748" t="s">
        <v>2763</v>
      </c>
      <c r="C90" s="748" t="s">
        <v>3599</v>
      </c>
      <c r="H90" s="748">
        <f>'Part I-Project Information'!H61</f>
        <v>216</v>
      </c>
    </row>
    <row r="91" spans="1:16" ht="9" customHeight="1"/>
    <row r="92" spans="1:16" ht="13.15" customHeight="1">
      <c r="A92" s="748" t="s">
        <v>822</v>
      </c>
      <c r="C92" s="748" t="s">
        <v>1836</v>
      </c>
    </row>
    <row r="93" spans="1:16" ht="3" customHeight="1"/>
    <row r="94" spans="1:16" ht="13.15" customHeight="1">
      <c r="B94" s="748" t="s">
        <v>3060</v>
      </c>
      <c r="C94" s="748" t="s">
        <v>2272</v>
      </c>
      <c r="H94" s="748" t="str">
        <f>'Part I-Project Information'!H65</f>
        <v>Family</v>
      </c>
      <c r="K94" s="748" t="s">
        <v>2801</v>
      </c>
      <c r="N94" s="748">
        <f>'Part I-Project Information'!N65</f>
        <v>0</v>
      </c>
    </row>
    <row r="95" spans="1:16" ht="3" customHeight="1"/>
    <row r="96" spans="1:16" ht="13.15" customHeight="1">
      <c r="B96" s="748" t="s">
        <v>3063</v>
      </c>
      <c r="C96" s="748" t="s">
        <v>2121</v>
      </c>
      <c r="G96" s="748" t="s">
        <v>1378</v>
      </c>
      <c r="H96" s="748">
        <f>'Part I-Project Information'!H67</f>
        <v>8</v>
      </c>
      <c r="K96" s="748" t="s">
        <v>812</v>
      </c>
      <c r="P96" s="748">
        <f>IF('Part VI-Revenues &amp; Expenses'!$M$63=0,0,$H96/'Part VI-Revenues &amp; Expenses'!$M$63)</f>
        <v>5.3333333333333337E-2</v>
      </c>
    </row>
    <row r="97" spans="1:16" ht="3" customHeight="1"/>
    <row r="98" spans="1:16" ht="13.15" customHeight="1">
      <c r="B98" s="748" t="s">
        <v>1238</v>
      </c>
      <c r="C98" s="748" t="s">
        <v>2891</v>
      </c>
      <c r="G98" s="748" t="s">
        <v>1378</v>
      </c>
      <c r="H98" s="748">
        <f>'Part I-Project Information'!H69</f>
        <v>3</v>
      </c>
      <c r="K98" s="748" t="s">
        <v>812</v>
      </c>
      <c r="P98" s="748">
        <f>IF('Part VI-Revenues &amp; Expenses'!$M$63=0,0,$H98/'Part VI-Revenues &amp; Expenses'!$M$63)</f>
        <v>0.02</v>
      </c>
    </row>
    <row r="99" spans="1:16" ht="3" customHeight="1"/>
    <row r="100" spans="1:16" ht="13.15" customHeight="1">
      <c r="B100" s="748" t="s">
        <v>3212</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3591</v>
      </c>
    </row>
    <row r="103" spans="1:16" ht="3" customHeight="1"/>
    <row r="104" spans="1:16" ht="13.15" customHeight="1">
      <c r="B104" s="748" t="s">
        <v>3060</v>
      </c>
      <c r="C104" s="748" t="s">
        <v>3590</v>
      </c>
      <c r="H104" s="748" t="str">
        <f>'Part I-Project Information'!H75</f>
        <v>40% of Units at 60% of AMI</v>
      </c>
    </row>
    <row r="105" spans="1:16" ht="3" customHeight="1"/>
    <row r="106" spans="1:16" ht="13.15" customHeight="1">
      <c r="B106" s="748" t="s">
        <v>3063</v>
      </c>
      <c r="C106" s="748" t="s">
        <v>2285</v>
      </c>
      <c r="K106" s="748" t="s">
        <v>1459</v>
      </c>
      <c r="P106" s="748">
        <f>'Part I-Project Information'!P77</f>
        <v>0</v>
      </c>
    </row>
    <row r="107" spans="1:16" ht="9" customHeight="1"/>
    <row r="108" spans="1:16" ht="13.15" customHeight="1">
      <c r="A108" s="748" t="s">
        <v>385</v>
      </c>
      <c r="C108" s="748" t="s">
        <v>3133</v>
      </c>
    </row>
    <row r="109" spans="1:16" ht="3" customHeight="1"/>
    <row r="110" spans="1:16" ht="13.15" customHeight="1">
      <c r="E110" s="748">
        <f>'Part I-Project Information'!E81</f>
        <v>0</v>
      </c>
      <c r="F110" s="748" t="s">
        <v>3913</v>
      </c>
      <c r="H110" s="748">
        <f>'Part I-Project Information'!H81</f>
        <v>0</v>
      </c>
      <c r="I110" s="748" t="s">
        <v>3912</v>
      </c>
      <c r="K110" s="748" t="str">
        <f>'Part I-Project Information'!K81</f>
        <v>Yes</v>
      </c>
      <c r="L110" s="748" t="s">
        <v>144</v>
      </c>
    </row>
    <row r="111" spans="1:16" ht="13.15" customHeight="1">
      <c r="E111" s="748">
        <f>'Part I-Project Information'!E82</f>
        <v>0</v>
      </c>
      <c r="F111" s="748" t="s">
        <v>650</v>
      </c>
      <c r="H111" s="748">
        <f>'Part I-Project Information'!H82</f>
        <v>0</v>
      </c>
      <c r="I111" s="748" t="s">
        <v>3233</v>
      </c>
      <c r="K111" s="748">
        <f>'Part I-Project Information'!K82</f>
        <v>0</v>
      </c>
      <c r="L111" s="748" t="s">
        <v>3234</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3353</v>
      </c>
      <c r="K117" s="748">
        <f>'Part I-Project Information'!K88</f>
        <v>0</v>
      </c>
    </row>
    <row r="118" spans="1:15" ht="13.15" customHeight="1">
      <c r="C118" s="748" t="s">
        <v>3301</v>
      </c>
      <c r="E118" s="748">
        <f>'Part I-Project Information'!E89</f>
        <v>0</v>
      </c>
      <c r="H118" s="748" t="s">
        <v>3057</v>
      </c>
      <c r="I118" s="748">
        <f>'Part I-Project Information'!I89</f>
        <v>0</v>
      </c>
      <c r="L118" s="748" t="s">
        <v>3061</v>
      </c>
      <c r="M118" s="748">
        <f>'Part I-Project Information'!M89</f>
        <v>0</v>
      </c>
    </row>
    <row r="119" spans="1:15" ht="13.15" customHeight="1">
      <c r="C119" s="748" t="s">
        <v>3300</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3257</v>
      </c>
    </row>
    <row r="124" spans="1:15" ht="4.9000000000000004" customHeight="1"/>
    <row r="125" spans="1:15" ht="13.15" customHeight="1">
      <c r="B125" s="748" t="s">
        <v>3060</v>
      </c>
      <c r="C125" s="748" t="s">
        <v>2122</v>
      </c>
      <c r="H125" s="748">
        <f>'Part I-Project Information'!H96</f>
        <v>3</v>
      </c>
    </row>
    <row r="126" spans="1:15" ht="3.6" customHeight="1"/>
    <row r="127" spans="1:15" ht="13.15" customHeight="1">
      <c r="B127" s="748" t="s">
        <v>3063</v>
      </c>
      <c r="C127" s="748" t="s">
        <v>525</v>
      </c>
      <c r="H127" s="748">
        <f>'Part I-Project Information'!H98</f>
        <v>2409882</v>
      </c>
    </row>
    <row r="128" spans="1:15" ht="3.6" customHeight="1"/>
    <row r="129" spans="2:13" ht="13.15" customHeight="1">
      <c r="B129" s="748" t="s">
        <v>1238</v>
      </c>
      <c r="C129" s="748" t="s">
        <v>395</v>
      </c>
    </row>
    <row r="130" spans="2:13" ht="13.15" customHeight="1">
      <c r="C130" s="748" t="s">
        <v>3235</v>
      </c>
      <c r="F130" s="748" t="s">
        <v>1773</v>
      </c>
      <c r="J130" s="748" t="s">
        <v>3235</v>
      </c>
      <c r="M130" s="748" t="s">
        <v>1773</v>
      </c>
    </row>
    <row r="131" spans="2:13" ht="13.15" customHeight="1">
      <c r="C131" s="748" t="str">
        <f>'Part I-Project Information'!C102</f>
        <v>Grady Multifamily II, LP</v>
      </c>
      <c r="F131" s="748" t="str">
        <f>'Part I-Project Information'!F102</f>
        <v>Ashley Auburn Pointe II</v>
      </c>
      <c r="J131" s="748" t="str">
        <f>'Part I-Project Information'!J102</f>
        <v>Atlanta Housing Authority</v>
      </c>
      <c r="M131" s="748" t="str">
        <f>'Part I-Project Information'!M102</f>
        <v>Veranda at Centennial Place</v>
      </c>
    </row>
    <row r="132" spans="2:13" ht="13.15" customHeight="1">
      <c r="C132" s="748" t="str">
        <f>'Part I-Project Information'!C103</f>
        <v>Grady Multifamily GP II, LLC</v>
      </c>
      <c r="F132" s="748" t="str">
        <f>'Part I-Project Information'!F103</f>
        <v>Ashley Auburn Pointe II</v>
      </c>
      <c r="J132" s="748" t="str">
        <f>'Part I-Project Information'!J103</f>
        <v>3644 Memorial Senior LP</v>
      </c>
      <c r="M132" s="748" t="str">
        <f>'Part I-Project Information'!M103</f>
        <v>Veteran Senior Housing - Assisted Living</v>
      </c>
    </row>
    <row r="133" spans="2:13" ht="13.15" customHeight="1">
      <c r="C133" s="748" t="str">
        <f>'Part I-Project Information'!C104</f>
        <v>Grady Revelopment / Integral Development</v>
      </c>
      <c r="F133" s="748" t="str">
        <f>'Part I-Project Information'!F104</f>
        <v>Ashley Auburn Pointe II</v>
      </c>
      <c r="J133" s="748" t="str">
        <f>'Part I-Project Information'!J104</f>
        <v>3644 Memorial Senior GP, LLC</v>
      </c>
      <c r="M133" s="748" t="str">
        <f>'Part I-Project Information'!M104</f>
        <v>Veteran Senior Housing - Assisted Living</v>
      </c>
    </row>
    <row r="134" spans="2:13" ht="13.15" customHeight="1">
      <c r="C134" s="748" t="str">
        <f>'Part I-Project Information'!C105</f>
        <v>Atlanta Housing Authority</v>
      </c>
      <c r="F134" s="748" t="str">
        <f>'Part I-Project Information'!F105</f>
        <v>Ashley Auburn Pointe II</v>
      </c>
      <c r="J134" s="748" t="str">
        <f>'Part I-Project Information'!J105</f>
        <v>Integral Development, LLC</v>
      </c>
      <c r="M134" s="748" t="str">
        <f>'Part I-Project Information'!M105</f>
        <v>Veteran Senior Housing - Assisted Living</v>
      </c>
    </row>
    <row r="135" spans="2:13" ht="13.15" customHeight="1">
      <c r="C135" s="748" t="str">
        <f>'Part I-Project Information'!C106</f>
        <v>Centennial Senior Partnership I, LP</v>
      </c>
      <c r="F135" s="748" t="str">
        <f>'Part I-Project Information'!F106</f>
        <v>Veranda at Centennial Place</v>
      </c>
      <c r="J135" s="748">
        <f>'Part I-Project Information'!J106</f>
        <v>12</v>
      </c>
      <c r="M135" s="748">
        <f>'Part I-Project Information'!M106</f>
        <v>0</v>
      </c>
    </row>
    <row r="136" spans="2:13" ht="13.15" customHeight="1">
      <c r="C136" s="748" t="str">
        <f>'Part I-Project Information'!C107</f>
        <v>Centennial Senior GP I, LLC</v>
      </c>
      <c r="F136" s="748" t="str">
        <f>'Part I-Project Information'!F107</f>
        <v>Veranda at Centennial Place</v>
      </c>
      <c r="J136" s="748">
        <f>'Part I-Project Information'!J107</f>
        <v>13</v>
      </c>
      <c r="M136" s="748">
        <f>'Part I-Project Information'!M107</f>
        <v>0</v>
      </c>
    </row>
    <row r="137" spans="2:13" ht="13.15" customHeight="1">
      <c r="C137" s="748" t="str">
        <f>'Part I-Project Information'!C108</f>
        <v>Integral Development, LLC</v>
      </c>
      <c r="F137" s="748" t="str">
        <f>'Part I-Project Information'!F108</f>
        <v>Veranda at Centennial Place</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1773</v>
      </c>
      <c r="J141" s="748" t="s">
        <v>3235</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3664</v>
      </c>
      <c r="H150" s="748">
        <f>'Part I-Project Information'!H121</f>
        <v>0</v>
      </c>
    </row>
    <row r="151" spans="1:15" ht="3" customHeight="1"/>
    <row r="152" spans="1:15" ht="13.15" customHeight="1">
      <c r="B152" s="748" t="s">
        <v>3060</v>
      </c>
      <c r="C152" s="748" t="s">
        <v>2731</v>
      </c>
      <c r="H152" s="748">
        <f>'Part I-Project Information'!H123</f>
        <v>0</v>
      </c>
    </row>
    <row r="153" spans="1:15" ht="13.15" customHeight="1">
      <c r="C153" s="748" t="s">
        <v>3666</v>
      </c>
      <c r="H153" s="748">
        <f>'Part I-Project Information'!H124</f>
        <v>0</v>
      </c>
    </row>
    <row r="154" spans="1:15" ht="13.15" customHeight="1">
      <c r="C154" s="748" t="s">
        <v>2730</v>
      </c>
      <c r="H154" s="748">
        <f>'Part I-Project Information'!H125</f>
        <v>0</v>
      </c>
    </row>
    <row r="155" spans="1:15" ht="13.15" customHeight="1">
      <c r="C155" s="748" t="s">
        <v>3667</v>
      </c>
      <c r="H155" s="748">
        <f>'Part I-Project Information'!H126</f>
        <v>0</v>
      </c>
      <c r="K155" s="748" t="s">
        <v>3374</v>
      </c>
      <c r="O155" s="748" t="str">
        <f>'Part I-Project Information'!O126</f>
        <v>GA-</v>
      </c>
    </row>
    <row r="156" spans="1:15" ht="13.15" customHeight="1">
      <c r="C156" s="748" t="s">
        <v>3665</v>
      </c>
      <c r="H156" s="748">
        <f>'Part I-Project Information'!H127</f>
        <v>0</v>
      </c>
      <c r="K156" s="748" t="s">
        <v>3375</v>
      </c>
      <c r="O156" s="748" t="str">
        <f>'Part I-Project Information'!O127</f>
        <v>GA-</v>
      </c>
    </row>
    <row r="157" spans="1:15" ht="13.15" customHeight="1">
      <c r="C157" s="748" t="s">
        <v>3272</v>
      </c>
      <c r="H157" s="748">
        <f>'Part I-Project Information'!H128</f>
        <v>0</v>
      </c>
    </row>
    <row r="158" spans="1:15" ht="3" customHeight="1"/>
    <row r="159" spans="1:15" ht="13.15" customHeight="1">
      <c r="B159" s="748" t="s">
        <v>3063</v>
      </c>
      <c r="C159" s="748" t="s">
        <v>3769</v>
      </c>
      <c r="H159" s="748">
        <f>'Part I-Project Information'!H130</f>
        <v>0</v>
      </c>
    </row>
    <row r="160" spans="1:15" ht="3" customHeight="1"/>
    <row r="161" spans="1:16" ht="13.15" customHeight="1">
      <c r="B161" s="748" t="s">
        <v>1238</v>
      </c>
      <c r="C161" s="748" t="s">
        <v>981</v>
      </c>
    </row>
    <row r="162" spans="1:16" ht="13.15" customHeight="1">
      <c r="C162" s="748" t="s">
        <v>4125</v>
      </c>
      <c r="H162" s="748">
        <f>'Part I-Project Information'!H133</f>
        <v>0</v>
      </c>
      <c r="K162" s="748" t="s">
        <v>2286</v>
      </c>
      <c r="O162" s="748">
        <f>'Part I-Project Information'!O133</f>
        <v>0</v>
      </c>
    </row>
    <row r="163" spans="1:16" ht="13.15" customHeight="1">
      <c r="C163" s="748" t="s">
        <v>4126</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3060</v>
      </c>
      <c r="C167" s="748" t="s">
        <v>2864</v>
      </c>
    </row>
    <row r="168" spans="1:16" ht="12.6" customHeight="1">
      <c r="C168" s="748" t="s">
        <v>2278</v>
      </c>
      <c r="K168" s="748" t="str">
        <f>'Part I-Project Information'!K139</f>
        <v>Yes</v>
      </c>
    </row>
    <row r="169" spans="1:16" ht="12.6" customHeight="1">
      <c r="C169" s="748" t="s">
        <v>949</v>
      </c>
      <c r="K169" s="748">
        <f>'Part I-Project Information'!K140</f>
        <v>51</v>
      </c>
      <c r="L169" s="748" t="s">
        <v>2826</v>
      </c>
      <c r="P169" s="748">
        <f>IF('Part VI-Revenues &amp; Expenses'!$M$61=0,0,$K169/'Part VI-Revenues &amp; Expenses'!$M$61)</f>
        <v>0.34</v>
      </c>
    </row>
    <row r="170" spans="1:16" ht="12.6" customHeight="1">
      <c r="C170" s="748" t="s">
        <v>3273</v>
      </c>
      <c r="K170" s="748">
        <f>'Part I-Project Information'!K141</f>
        <v>0</v>
      </c>
      <c r="L170" s="748" t="s">
        <v>2826</v>
      </c>
      <c r="P170" s="748">
        <f>IF('Part VI-Revenues &amp; Expenses'!$M$61=0,0,$K170/'Part VI-Revenues &amp; Expenses'!$M$61)</f>
        <v>0</v>
      </c>
    </row>
    <row r="171" spans="1:16" ht="12.6" customHeight="1">
      <c r="C171" s="748" t="s">
        <v>2827</v>
      </c>
      <c r="E171" s="748" t="str">
        <f>'Part I-Project Information'!E142</f>
        <v>The Housing Authority of the City of Atlanta, GA</v>
      </c>
      <c r="L171" s="748" t="s">
        <v>2828</v>
      </c>
      <c r="M171" s="748" t="str">
        <f>'Part I-Project Information'!M142</f>
        <v>Renee L. Glover</v>
      </c>
    </row>
    <row r="172" spans="1:16" ht="12.6" customHeight="1">
      <c r="C172" s="748" t="s">
        <v>2829</v>
      </c>
      <c r="E172" s="748" t="str">
        <f>'Part I-Project Information'!E143</f>
        <v>230 John Wesley Dobbs</v>
      </c>
      <c r="L172" s="748" t="s">
        <v>2831</v>
      </c>
      <c r="M172" s="748" t="str">
        <f>'Part I-Project Information'!M143</f>
        <v>renee.glover@atlantahousing.org</v>
      </c>
    </row>
    <row r="173" spans="1:16" ht="12.6" customHeight="1">
      <c r="C173" s="748" t="s">
        <v>953</v>
      </c>
      <c r="E173" s="748" t="str">
        <f>'Part I-Project Information'!E144</f>
        <v>Atlanta</v>
      </c>
      <c r="I173" s="748" t="s">
        <v>3353</v>
      </c>
      <c r="J173" s="748">
        <f>'Part I-Project Information'!J144</f>
        <v>303032540</v>
      </c>
      <c r="L173" s="748" t="s">
        <v>2834</v>
      </c>
      <c r="M173" s="748">
        <f>'Part I-Project Information'!M144</f>
        <v>4048177201</v>
      </c>
    </row>
    <row r="174" spans="1:16" ht="12.6" customHeight="1">
      <c r="C174" s="748" t="s">
        <v>2832</v>
      </c>
      <c r="E174" s="748">
        <f>'Part I-Project Information'!E145</f>
        <v>4048924700</v>
      </c>
      <c r="H174" s="748" t="s">
        <v>2833</v>
      </c>
      <c r="I174" s="748">
        <f>'Part I-Project Information'!I145</f>
        <v>4043310100</v>
      </c>
      <c r="L174" s="748" t="s">
        <v>3056</v>
      </c>
      <c r="M174" s="748">
        <f>'Part I-Project Information'!M145</f>
        <v>0</v>
      </c>
    </row>
    <row r="175" spans="1:16" ht="1.9" customHeight="1"/>
    <row r="176" spans="1:16" ht="12.6" customHeight="1">
      <c r="B176" s="748" t="s">
        <v>3063</v>
      </c>
      <c r="C176" s="748" t="s">
        <v>2372</v>
      </c>
      <c r="I176" s="748">
        <f>'Part I-Project Information'!I147</f>
        <v>0</v>
      </c>
      <c r="J176" s="748" t="s">
        <v>1253</v>
      </c>
      <c r="L176" s="748">
        <f>'Part I-Project Information'!L147</f>
        <v>0</v>
      </c>
      <c r="M176" s="748" t="s">
        <v>3470</v>
      </c>
      <c r="P176" s="748">
        <f>'Part I-Project Information'!P147</f>
        <v>0</v>
      </c>
    </row>
    <row r="177" spans="2:16" ht="1.9" customHeight="1"/>
    <row r="178" spans="2:16" ht="12.6" customHeight="1">
      <c r="B178" s="748" t="s">
        <v>1238</v>
      </c>
      <c r="C178" s="748" t="s">
        <v>2785</v>
      </c>
      <c r="I178" s="748">
        <f>'Part I-Project Information'!I149</f>
        <v>0</v>
      </c>
    </row>
    <row r="179" spans="2:16" ht="1.9" customHeight="1"/>
    <row r="180" spans="2:16" ht="12.6" customHeight="1">
      <c r="B180" s="748" t="s">
        <v>3212</v>
      </c>
      <c r="C180" s="748" t="s">
        <v>3055</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 customHeight="1"/>
    <row r="185" spans="2:16" ht="13.15" customHeight="1">
      <c r="B185" s="748" t="s">
        <v>2762</v>
      </c>
      <c r="C185" s="748" t="s">
        <v>2373</v>
      </c>
    </row>
    <row r="186" spans="2:16" ht="12.6" customHeight="1">
      <c r="C186" s="748" t="s">
        <v>3327</v>
      </c>
      <c r="I186" s="748" t="str">
        <f>'Part I-Project Information'!I157</f>
        <v>No</v>
      </c>
      <c r="L186" s="748" t="s">
        <v>3326</v>
      </c>
      <c r="P186" s="748">
        <f>'Part I-Project Information'!P157</f>
        <v>0</v>
      </c>
    </row>
    <row r="187" spans="2:16" ht="12.6" customHeight="1">
      <c r="C187" s="748" t="s">
        <v>3329</v>
      </c>
      <c r="I187" s="748" t="str">
        <f>'Part I-Project Information'!I158</f>
        <v>No</v>
      </c>
      <c r="L187" s="748" t="s">
        <v>2375</v>
      </c>
      <c r="P187" s="748">
        <f>'Part I-Project Information'!P158</f>
        <v>0</v>
      </c>
    </row>
    <row r="188" spans="2:16" ht="12.6" customHeight="1">
      <c r="C188" s="748" t="s">
        <v>1979</v>
      </c>
      <c r="I188" s="748" t="str">
        <f>'Part I-Project Information'!I159</f>
        <v>No</v>
      </c>
      <c r="L188" s="748" t="s">
        <v>2544</v>
      </c>
      <c r="P188" s="748">
        <f>'Part I-Project Information'!P159</f>
        <v>0</v>
      </c>
    </row>
    <row r="189" spans="2:16" ht="12.6" customHeight="1">
      <c r="C189" s="748" t="s">
        <v>2374</v>
      </c>
      <c r="I189" s="748" t="str">
        <f>'Part I-Project Information'!I160</f>
        <v>Yes</v>
      </c>
      <c r="L189" s="748" t="s">
        <v>2289</v>
      </c>
      <c r="P189" s="748">
        <f>'Part I-Project Information'!P160</f>
        <v>0</v>
      </c>
    </row>
    <row r="190" spans="2:16" ht="12.6" customHeight="1">
      <c r="C190" s="748" t="s">
        <v>2376</v>
      </c>
      <c r="I190" s="748" t="str">
        <f>'Part I-Project Information'!I161</f>
        <v>Yes</v>
      </c>
    </row>
    <row r="191" spans="2:16" ht="12.6" customHeight="1">
      <c r="C191" s="748" t="s">
        <v>2844</v>
      </c>
      <c r="I191" s="748" t="str">
        <f>'Part I-Project Information'!I162</f>
        <v>No</v>
      </c>
      <c r="J191" s="748" t="s">
        <v>3373</v>
      </c>
      <c r="O191" s="748">
        <f>'Part I-Project Information'!O162</f>
        <v>0</v>
      </c>
    </row>
    <row r="192" spans="2:16" ht="12.6" customHeight="1">
      <c r="C192" s="748" t="s">
        <v>3409</v>
      </c>
      <c r="E192" s="748">
        <f>'Part I-Project Information'!E163</f>
        <v>0</v>
      </c>
      <c r="I192" s="748">
        <f>'Part I-Project Information'!I163</f>
        <v>0</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3435</v>
      </c>
      <c r="I197" s="748">
        <f>'Part I-Project Information'!I168</f>
        <v>41639</v>
      </c>
    </row>
    <row r="198" spans="1:12" ht="1.9" customHeight="1"/>
    <row r="199" spans="1:12" ht="12" customHeight="1">
      <c r="A199" s="748" t="s">
        <v>2752</v>
      </c>
      <c r="C199" s="748" t="s">
        <v>879</v>
      </c>
      <c r="K199" s="748" t="s">
        <v>3380</v>
      </c>
      <c r="L199" s="748" t="s">
        <v>89</v>
      </c>
    </row>
    <row r="200" spans="1:12" ht="38.450000000000003" customHeight="1">
      <c r="A200" s="748" t="str">
        <f>'Part I-Project Information'!A171</f>
        <v xml:space="preserve">Auburn Pointe is a Master Planned Community as defined in the 2011 QAP.  It is the redevelopment of the former Grady Homes by Grady Redevelopment LLC and the Atlanta Housing Authority.  Ashley II is Phase IV of the HOPE VI redevelopment and the fifth on-site phase. </v>
      </c>
      <c r="K200" s="748">
        <f>'Part I-Project Information'!K171</f>
        <v>0</v>
      </c>
    </row>
    <row r="201" spans="1:12" ht="38.450000000000003" customHeight="1">
      <c r="A201" s="748" t="str">
        <f>'Part I-Project Information'!A172</f>
        <v>Veranda II (08-063) and Veranda III (08-062) at Auburn Pointe and Veranda at UniversityHomes (2010-055) have all received allocations within the last three funding cycles. Construction has begun and completed on Veranda I (06-041) and Ashley I (07-050) at Auburn Pointe.  Veranda II (08-063) has received its CO and Veranda III will have its CO by 7/30/11</v>
      </c>
      <c r="K201" s="748">
        <f>'Part I-Project Information'!K172</f>
        <v>0</v>
      </c>
    </row>
    <row r="202" spans="1:12" ht="38.450000000000003" customHeight="1">
      <c r="A202" s="748" t="str">
        <f>'Part I-Project Information'!A173</f>
        <v>Ashley Auburn Pointe II currently meets the City of Atlanta Zoning under the RG4 Regulation.  RG Sector 4 requires 1.1 parking spaces per dwelling unit.</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2011-013 Ashley Auburn Pointe II , , City of Cairo Development Authority County</v>
      </c>
    </row>
    <row r="206" spans="1:12" ht="12" customHeight="1"/>
    <row r="207" spans="1:12" ht="13.15" customHeight="1">
      <c r="A207" s="748" t="s">
        <v>950</v>
      </c>
      <c r="B207" s="748" t="s">
        <v>2913</v>
      </c>
    </row>
    <row r="208" spans="1:12" ht="8.4499999999999993" customHeight="1"/>
    <row r="209" spans="2:17" ht="12.6" customHeight="1">
      <c r="B209" s="748" t="s">
        <v>3060</v>
      </c>
      <c r="C209" s="748" t="s">
        <v>2909</v>
      </c>
      <c r="H209" s="748" t="str">
        <f>'Part II-Development Team'!H5</f>
        <v>Grady Multifamily II, L.P.</v>
      </c>
      <c r="O209" s="748" t="s">
        <v>3067</v>
      </c>
      <c r="Q209" s="748" t="str">
        <f>'Part II-Development Team'!Q5</f>
        <v>Egbert Perry</v>
      </c>
    </row>
    <row r="210" spans="2:17" ht="12.6" customHeight="1">
      <c r="E210" s="748" t="s">
        <v>1641</v>
      </c>
      <c r="H210" s="748" t="str">
        <f>'Part II-Development Team'!H6</f>
        <v>60 Piedmont Avenue</v>
      </c>
      <c r="O210" s="748" t="s">
        <v>2775</v>
      </c>
      <c r="Q210" s="748" t="str">
        <f>'Part II-Development Team'!Q6</f>
        <v>CEO</v>
      </c>
    </row>
    <row r="211" spans="2:17" ht="12.6" customHeight="1">
      <c r="E211" s="748" t="s">
        <v>953</v>
      </c>
      <c r="H211" s="748" t="str">
        <f>'Part II-Development Team'!H7</f>
        <v>Atlanta</v>
      </c>
      <c r="K211" s="748" t="s">
        <v>1254</v>
      </c>
      <c r="L211" s="748">
        <f>'Part II-Development Team'!L7</f>
        <v>0</v>
      </c>
      <c r="O211" s="748" t="s">
        <v>2834</v>
      </c>
      <c r="Q211" s="748">
        <f>'Part II-Development Team'!Q7</f>
        <v>4042241861</v>
      </c>
    </row>
    <row r="212" spans="2:17" ht="12.6" customHeight="1">
      <c r="E212" s="748" t="s">
        <v>2830</v>
      </c>
      <c r="H212" s="748" t="str">
        <f>'Part II-Development Team'!H8</f>
        <v>GA</v>
      </c>
      <c r="I212" s="748" t="s">
        <v>4127</v>
      </c>
      <c r="J212" s="748">
        <f>'Part II-Development Team'!J8</f>
        <v>303032540</v>
      </c>
      <c r="L212" s="748" t="s">
        <v>4128</v>
      </c>
      <c r="N212" s="748">
        <f>'Part II-Development Team'!N8</f>
        <v>5</v>
      </c>
      <c r="O212" s="748" t="s">
        <v>3056</v>
      </c>
      <c r="Q212" s="748">
        <f>'Part II-Development Team'!Q8</f>
        <v>0</v>
      </c>
    </row>
    <row r="213" spans="2:17" ht="12.6" customHeight="1">
      <c r="E213" s="748" t="s">
        <v>3062</v>
      </c>
      <c r="H213" s="748">
        <f>'Part II-Development Team'!H9</f>
        <v>4042241860</v>
      </c>
      <c r="J213" s="748">
        <f>'Part II-Development Team'!J9</f>
        <v>0</v>
      </c>
      <c r="K213" s="748" t="s">
        <v>2833</v>
      </c>
      <c r="L213" s="748">
        <f>'Part II-Development Team'!L9</f>
        <v>4042241899</v>
      </c>
      <c r="N213" s="748" t="s">
        <v>3061</v>
      </c>
      <c r="O213" s="748" t="str">
        <f>'Part II-Development Team'!O9</f>
        <v>Eperry@integral-online.com</v>
      </c>
    </row>
    <row r="214" spans="2:17" ht="13.15" customHeight="1">
      <c r="E214" s="748" t="s">
        <v>997</v>
      </c>
      <c r="L214" s="748" t="s">
        <v>1214</v>
      </c>
    </row>
    <row r="215" spans="2:17" ht="4.1500000000000004" customHeight="1"/>
    <row r="216" spans="2:17" ht="13.15" customHeight="1">
      <c r="B216" s="748" t="s">
        <v>3063</v>
      </c>
      <c r="C216" s="748" t="s">
        <v>2910</v>
      </c>
      <c r="L216" s="748" t="s">
        <v>1971</v>
      </c>
      <c r="O216" s="748" t="s">
        <v>1972</v>
      </c>
    </row>
    <row r="217" spans="2:17" ht="4.1500000000000004" customHeight="1"/>
    <row r="218" spans="2:17" ht="13.15" customHeight="1">
      <c r="C218" s="748" t="s">
        <v>3064</v>
      </c>
      <c r="D218" s="748" t="s">
        <v>3065</v>
      </c>
      <c r="L218" s="748" t="s">
        <v>1975</v>
      </c>
      <c r="O218" s="748" t="s">
        <v>1970</v>
      </c>
    </row>
    <row r="219" spans="2:17" ht="4.1500000000000004" customHeight="1"/>
    <row r="220" spans="2:17" ht="12.6" customHeight="1">
      <c r="D220" s="748" t="s">
        <v>3213</v>
      </c>
      <c r="E220" s="748" t="s">
        <v>2911</v>
      </c>
      <c r="H220" s="748" t="str">
        <f>'Part II-Development Team'!H16</f>
        <v>Grady Multifamily GP II, LLC</v>
      </c>
      <c r="O220" s="748" t="s">
        <v>3067</v>
      </c>
      <c r="Q220" s="748" t="str">
        <f>'Part II-Development Team'!Q16</f>
        <v>Vicki Lundy Wilbon</v>
      </c>
    </row>
    <row r="221" spans="2:17" ht="12.6" customHeight="1">
      <c r="E221" s="748" t="s">
        <v>1641</v>
      </c>
      <c r="H221" s="748" t="str">
        <f>'Part II-Development Team'!H17</f>
        <v>60 Piedmont Avenue</v>
      </c>
      <c r="O221" s="748" t="s">
        <v>2775</v>
      </c>
      <c r="Q221" s="748" t="str">
        <f>'Part II-Development Team'!Q17</f>
        <v>Vice President</v>
      </c>
    </row>
    <row r="222" spans="2:17" ht="12.6" customHeight="1">
      <c r="E222" s="748" t="s">
        <v>953</v>
      </c>
      <c r="H222" s="748" t="str">
        <f>'Part II-Development Team'!H18</f>
        <v>Atlanta</v>
      </c>
      <c r="O222" s="748" t="s">
        <v>2834</v>
      </c>
      <c r="Q222" s="748">
        <f>'Part II-Development Team'!Q18</f>
        <v>4042241882</v>
      </c>
    </row>
    <row r="223" spans="2:17" ht="12.6" customHeight="1">
      <c r="E223" s="748" t="s">
        <v>2830</v>
      </c>
      <c r="H223" s="748" t="str">
        <f>'Part II-Development Team'!H19</f>
        <v>GA</v>
      </c>
      <c r="I223" s="748" t="s">
        <v>4127</v>
      </c>
      <c r="J223" s="748">
        <f>'Part II-Development Team'!J19</f>
        <v>303032540</v>
      </c>
      <c r="L223" s="748" t="s">
        <v>4128</v>
      </c>
      <c r="N223" s="748">
        <f>'Part II-Development Team'!N19</f>
        <v>5</v>
      </c>
      <c r="O223" s="748" t="s">
        <v>3056</v>
      </c>
      <c r="Q223" s="748">
        <f>'Part II-Development Team'!Q19</f>
        <v>0</v>
      </c>
    </row>
    <row r="224" spans="2:17" ht="12.6" customHeight="1">
      <c r="E224" s="748" t="s">
        <v>3062</v>
      </c>
      <c r="H224" s="748">
        <f>'Part II-Development Team'!H20</f>
        <v>4042241860</v>
      </c>
      <c r="J224" s="748">
        <f>'Part II-Development Team'!J20</f>
        <v>0</v>
      </c>
      <c r="K224" s="748" t="s">
        <v>2833</v>
      </c>
      <c r="L224" s="748">
        <f>'Part II-Development Team'!L20</f>
        <v>4042241899</v>
      </c>
      <c r="N224" s="748" t="s">
        <v>3061</v>
      </c>
      <c r="O224" s="748" t="str">
        <f>'Part II-Development Team'!O20</f>
        <v>Vlwilbon@integral-online.com</v>
      </c>
    </row>
    <row r="225" spans="3:17" ht="4.1500000000000004" customHeight="1"/>
    <row r="226" spans="3:17" ht="12.6" customHeight="1">
      <c r="D226" s="748" t="s">
        <v>3214</v>
      </c>
      <c r="E226" s="748" t="s">
        <v>2912</v>
      </c>
      <c r="H226" s="748" t="str">
        <f>'Part II-Development Team'!H22</f>
        <v>Atlanta Affordable Housing for the Future, Inc.</v>
      </c>
      <c r="O226" s="748" t="s">
        <v>3067</v>
      </c>
      <c r="Q226" s="748" t="str">
        <f>'Part II-Development Team'!Q22</f>
        <v>Renee Glover</v>
      </c>
    </row>
    <row r="227" spans="3:17" ht="12.6" customHeight="1">
      <c r="E227" s="748" t="s">
        <v>1641</v>
      </c>
      <c r="H227" s="748" t="str">
        <f>'Part II-Development Team'!H23</f>
        <v>230 John Wesley Dobbs Ave</v>
      </c>
      <c r="O227" s="748" t="s">
        <v>2775</v>
      </c>
      <c r="Q227" s="748" t="str">
        <f>'Part II-Development Team'!Q23</f>
        <v>Executive Director</v>
      </c>
    </row>
    <row r="228" spans="3:17" ht="12.6" customHeight="1">
      <c r="E228" s="748" t="s">
        <v>953</v>
      </c>
      <c r="H228" s="748" t="str">
        <f>'Part II-Development Team'!H24</f>
        <v>Atlanta</v>
      </c>
      <c r="O228" s="748" t="s">
        <v>2834</v>
      </c>
      <c r="Q228" s="748">
        <f>'Part II-Development Team'!Q24</f>
        <v>4048177201</v>
      </c>
    </row>
    <row r="229" spans="3:17" ht="12.6" customHeight="1">
      <c r="E229" s="748" t="s">
        <v>2830</v>
      </c>
      <c r="H229" s="748" t="str">
        <f>'Part II-Development Team'!H25</f>
        <v>GA</v>
      </c>
      <c r="I229" s="748" t="s">
        <v>3353</v>
      </c>
      <c r="J229" s="748">
        <f>'Part II-Development Team'!J25</f>
        <v>303032540</v>
      </c>
      <c r="O229" s="748" t="s">
        <v>3056</v>
      </c>
      <c r="Q229" s="748">
        <f>'Part II-Development Team'!Q25</f>
        <v>0</v>
      </c>
    </row>
    <row r="230" spans="3:17" ht="12.6" customHeight="1">
      <c r="E230" s="748" t="s">
        <v>3062</v>
      </c>
      <c r="H230" s="748">
        <f>'Part II-Development Team'!H26</f>
        <v>4048924700</v>
      </c>
      <c r="J230" s="748">
        <f>'Part II-Development Team'!J26</f>
        <v>0</v>
      </c>
      <c r="K230" s="748" t="s">
        <v>2833</v>
      </c>
      <c r="L230" s="748">
        <f>'Part II-Development Team'!L26</f>
        <v>0</v>
      </c>
      <c r="N230" s="748" t="s">
        <v>3061</v>
      </c>
      <c r="O230" s="748" t="str">
        <f>'Part II-Development Team'!O26</f>
        <v>Renee.Glover@atlantahousing.org</v>
      </c>
    </row>
    <row r="231" spans="3:17" ht="4.1500000000000004" customHeight="1"/>
    <row r="232" spans="3:17" ht="12.6" customHeight="1">
      <c r="D232" s="748" t="s">
        <v>2761</v>
      </c>
      <c r="E232" s="748" t="s">
        <v>2912</v>
      </c>
      <c r="H232" s="748">
        <f>'Part II-Development Team'!H28</f>
        <v>0</v>
      </c>
      <c r="O232" s="748" t="s">
        <v>3067</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3353</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1239</v>
      </c>
      <c r="H240" s="748" t="str">
        <f>'Part II-Development Team'!H36</f>
        <v>Hudson Financial Capital, LLC</v>
      </c>
      <c r="O240" s="748" t="s">
        <v>3067</v>
      </c>
      <c r="Q240" s="748" t="str">
        <f>'Part II-Development Team'!Q36</f>
        <v>Sam Ganeshan</v>
      </c>
    </row>
    <row r="241" spans="3:17" ht="12.6" customHeight="1">
      <c r="E241" s="748" t="s">
        <v>1641</v>
      </c>
      <c r="H241" s="748" t="str">
        <f>'Part II-Development Team'!H37</f>
        <v>630 Fifth Avenue, Suite 2850</v>
      </c>
      <c r="O241" s="748" t="s">
        <v>2775</v>
      </c>
      <c r="Q241" s="748" t="str">
        <f>'Part II-Development Team'!Q37</f>
        <v>Managing Director</v>
      </c>
    </row>
    <row r="242" spans="3:17" ht="12.6" customHeight="1">
      <c r="E242" s="748" t="s">
        <v>953</v>
      </c>
      <c r="H242" s="748" t="str">
        <f>'Part II-Development Team'!H38</f>
        <v>New York</v>
      </c>
      <c r="O242" s="748" t="s">
        <v>2834</v>
      </c>
      <c r="Q242" s="748">
        <f>'Part II-Development Team'!Q38</f>
        <v>2122184469</v>
      </c>
    </row>
    <row r="243" spans="3:17" ht="12.6" customHeight="1">
      <c r="E243" s="748" t="s">
        <v>2830</v>
      </c>
      <c r="H243" s="748" t="str">
        <f>'Part II-Development Team'!H39</f>
        <v>NY</v>
      </c>
      <c r="I243" s="748" t="s">
        <v>3353</v>
      </c>
      <c r="J243" s="748">
        <f>'Part II-Development Team'!J39</f>
        <v>101110000</v>
      </c>
      <c r="O243" s="748" t="s">
        <v>3056</v>
      </c>
      <c r="Q243" s="748">
        <f>'Part II-Development Team'!Q39</f>
        <v>0</v>
      </c>
    </row>
    <row r="244" spans="3:17" ht="12.6" customHeight="1">
      <c r="E244" s="748" t="s">
        <v>3062</v>
      </c>
      <c r="H244" s="748">
        <f>'Part II-Development Team'!H40</f>
        <v>2122184488</v>
      </c>
      <c r="J244" s="748">
        <f>'Part II-Development Team'!J40</f>
        <v>0</v>
      </c>
      <c r="K244" s="748" t="s">
        <v>2833</v>
      </c>
      <c r="L244" s="748">
        <f>'Part II-Development Team'!L40</f>
        <v>0</v>
      </c>
      <c r="N244" s="748" t="s">
        <v>3061</v>
      </c>
      <c r="O244" s="748" t="str">
        <f>'Part II-Development Team'!O40</f>
        <v>sam.ganeshan@hudsonhousing.com</v>
      </c>
    </row>
    <row r="245" spans="3:17" ht="4.1500000000000004" customHeight="1"/>
    <row r="246" spans="3:17" ht="12.6" customHeight="1">
      <c r="D246" s="748" t="s">
        <v>3214</v>
      </c>
      <c r="E246" s="748" t="s">
        <v>1240</v>
      </c>
      <c r="H246" s="748" t="str">
        <f>'Part II-Development Team'!H42</f>
        <v>Sugar Creek Realty, LLC</v>
      </c>
      <c r="O246" s="748" t="s">
        <v>3067</v>
      </c>
      <c r="Q246" s="748" t="str">
        <f>'Part II-Development Team'!Q42</f>
        <v>Chris Hite</v>
      </c>
    </row>
    <row r="247" spans="3:17" ht="12.6" customHeight="1">
      <c r="E247" s="748" t="s">
        <v>1641</v>
      </c>
      <c r="H247" s="748" t="str">
        <f>'Part II-Development Team'!H43</f>
        <v>17 West Lockwood</v>
      </c>
      <c r="O247" s="748" t="s">
        <v>2775</v>
      </c>
      <c r="Q247" s="748" t="str">
        <f>'Part II-Development Team'!Q43</f>
        <v>Director of State Tax Credits</v>
      </c>
    </row>
    <row r="248" spans="3:17" ht="12.6" customHeight="1">
      <c r="E248" s="748" t="s">
        <v>953</v>
      </c>
      <c r="H248" s="748" t="str">
        <f>'Part II-Development Team'!H44</f>
        <v>St. Louis</v>
      </c>
      <c r="O248" s="748" t="s">
        <v>2834</v>
      </c>
      <c r="Q248" s="748">
        <f>'Part II-Development Team'!Q44</f>
        <v>3149682205</v>
      </c>
    </row>
    <row r="249" spans="3:17" ht="12.6" customHeight="1">
      <c r="E249" s="748" t="s">
        <v>2830</v>
      </c>
      <c r="H249" s="748" t="str">
        <f>'Part II-Development Team'!H45</f>
        <v>MO</v>
      </c>
      <c r="I249" s="748" t="s">
        <v>3353</v>
      </c>
      <c r="J249" s="748">
        <f>'Part II-Development Team'!J45</f>
        <v>63119000</v>
      </c>
      <c r="O249" s="748" t="s">
        <v>3056</v>
      </c>
      <c r="Q249" s="748">
        <f>'Part II-Development Team'!Q45</f>
        <v>3144821700</v>
      </c>
    </row>
    <row r="250" spans="3:17" ht="12.6" customHeight="1">
      <c r="E250" s="748" t="s">
        <v>3062</v>
      </c>
      <c r="H250" s="748">
        <f>'Part II-Development Team'!H46</f>
        <v>3149682205</v>
      </c>
      <c r="J250" s="748">
        <f>'Part II-Development Team'!J46</f>
        <v>158</v>
      </c>
      <c r="K250" s="748" t="s">
        <v>2833</v>
      </c>
      <c r="L250" s="748">
        <f>'Part II-Development Team'!L46</f>
        <v>0</v>
      </c>
      <c r="N250" s="748" t="s">
        <v>3061</v>
      </c>
      <c r="O250" s="748" t="str">
        <f>'Part II-Development Team'!O46</f>
        <v>chite@sugarcreekrealtyllc.com</v>
      </c>
    </row>
    <row r="251" spans="3:17" ht="4.1500000000000004" customHeight="1"/>
    <row r="252" spans="3:17" ht="13.15" customHeight="1">
      <c r="C252" s="748" t="s">
        <v>3822</v>
      </c>
      <c r="D252" s="748" t="s">
        <v>994</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2834</v>
      </c>
      <c r="Q256" s="748">
        <f>'Part II-Development Team'!Q52</f>
        <v>0</v>
      </c>
    </row>
    <row r="257" spans="1:17" ht="12.6" customHeight="1">
      <c r="E257" s="748" t="s">
        <v>2830</v>
      </c>
      <c r="H257" s="748">
        <f>'Part II-Development Team'!H53</f>
        <v>0</v>
      </c>
      <c r="I257" s="748" t="s">
        <v>3353</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1229</v>
      </c>
      <c r="B260" s="748" t="s">
        <v>995</v>
      </c>
    </row>
    <row r="261" spans="1:17" ht="9" customHeight="1"/>
    <row r="262" spans="1:17" ht="13.15" customHeight="1">
      <c r="B262" s="748" t="s">
        <v>3060</v>
      </c>
      <c r="C262" s="748" t="s">
        <v>375</v>
      </c>
      <c r="H262" s="748" t="str">
        <f>'Part II-Development Team'!H58</f>
        <v>Grady Redevelopment LLC</v>
      </c>
      <c r="O262" s="748" t="s">
        <v>3067</v>
      </c>
      <c r="Q262" s="748" t="str">
        <f>'Part II-Development Team'!Q58</f>
        <v>Eric Pinckney</v>
      </c>
    </row>
    <row r="263" spans="1:17" ht="13.15" customHeight="1">
      <c r="E263" s="748" t="s">
        <v>1641</v>
      </c>
      <c r="H263" s="748" t="str">
        <f>'Part II-Development Team'!H59</f>
        <v>60 Piedmont Avenue</v>
      </c>
      <c r="O263" s="748" t="s">
        <v>2775</v>
      </c>
      <c r="Q263" s="748" t="str">
        <f>'Part II-Development Team'!Q59</f>
        <v>Vice President</v>
      </c>
    </row>
    <row r="264" spans="1:17" ht="13.15" customHeight="1">
      <c r="E264" s="748" t="s">
        <v>953</v>
      </c>
      <c r="H264" s="748" t="str">
        <f>'Part II-Development Team'!H60</f>
        <v>Atlanta</v>
      </c>
      <c r="O264" s="748" t="s">
        <v>2834</v>
      </c>
      <c r="Q264" s="748">
        <f>'Part II-Development Team'!Q60</f>
        <v>4042241889</v>
      </c>
    </row>
    <row r="265" spans="1:17" ht="13.15" customHeight="1">
      <c r="E265" s="748" t="s">
        <v>2830</v>
      </c>
      <c r="H265" s="748" t="str">
        <f>'Part II-Development Team'!H61</f>
        <v>GA</v>
      </c>
      <c r="I265" s="748" t="s">
        <v>3353</v>
      </c>
      <c r="J265" s="748">
        <f>'Part II-Development Team'!J61</f>
        <v>303032540</v>
      </c>
      <c r="O265" s="748" t="s">
        <v>3056</v>
      </c>
      <c r="Q265" s="748">
        <f>'Part II-Development Team'!Q61</f>
        <v>4044490062</v>
      </c>
    </row>
    <row r="266" spans="1:17" ht="13.15" customHeight="1">
      <c r="E266" s="748" t="s">
        <v>3062</v>
      </c>
      <c r="H266" s="748">
        <f>'Part II-Development Team'!H62</f>
        <v>4042241860</v>
      </c>
      <c r="J266" s="748">
        <f>'Part II-Development Team'!J62</f>
        <v>0</v>
      </c>
      <c r="K266" s="748" t="s">
        <v>2833</v>
      </c>
      <c r="L266" s="748">
        <f>'Part II-Development Team'!L62</f>
        <v>4042241899</v>
      </c>
      <c r="N266" s="748" t="s">
        <v>3061</v>
      </c>
      <c r="O266" s="748" t="str">
        <f>'Part II-Development Team'!O62</f>
        <v>epinckney@integral-online.com</v>
      </c>
    </row>
    <row r="267" spans="1:17" ht="6.6" customHeight="1"/>
    <row r="268" spans="1:17" ht="13.15" customHeight="1">
      <c r="B268" s="748" t="s">
        <v>3063</v>
      </c>
      <c r="C268" s="748" t="s">
        <v>376</v>
      </c>
      <c r="H268" s="748" t="str">
        <f>'Part II-Development Team'!H64</f>
        <v>The Housing Authority of the City of Atlanta, GA</v>
      </c>
      <c r="O268" s="748" t="s">
        <v>3067</v>
      </c>
      <c r="Q268" s="748" t="str">
        <f>'Part II-Development Team'!Q64</f>
        <v>Renee Glover</v>
      </c>
    </row>
    <row r="269" spans="1:17" ht="13.15" customHeight="1">
      <c r="E269" s="748" t="s">
        <v>1641</v>
      </c>
      <c r="H269" s="748" t="str">
        <f>'Part II-Development Team'!H65</f>
        <v>230 John Wesley Dobbs Ave</v>
      </c>
      <c r="O269" s="748" t="s">
        <v>2775</v>
      </c>
      <c r="Q269" s="748" t="str">
        <f>'Part II-Development Team'!Q65</f>
        <v>Executive Director</v>
      </c>
    </row>
    <row r="270" spans="1:17" ht="13.15" customHeight="1">
      <c r="E270" s="748" t="s">
        <v>953</v>
      </c>
      <c r="H270" s="748" t="str">
        <f>'Part II-Development Team'!H66</f>
        <v>Atlanta</v>
      </c>
      <c r="O270" s="748" t="s">
        <v>2834</v>
      </c>
      <c r="Q270" s="748">
        <f>'Part II-Development Team'!Q66</f>
        <v>4048177201</v>
      </c>
    </row>
    <row r="271" spans="1:17" ht="13.15" customHeight="1">
      <c r="E271" s="748" t="s">
        <v>2830</v>
      </c>
      <c r="H271" s="748" t="str">
        <f>'Part II-Development Team'!H67</f>
        <v>GA</v>
      </c>
      <c r="I271" s="748" t="s">
        <v>3353</v>
      </c>
      <c r="J271" s="748">
        <f>'Part II-Development Team'!J67</f>
        <v>303030000</v>
      </c>
      <c r="O271" s="748" t="s">
        <v>3056</v>
      </c>
      <c r="Q271" s="748">
        <f>'Part II-Development Team'!Q67</f>
        <v>0</v>
      </c>
    </row>
    <row r="272" spans="1:17" ht="13.15" customHeight="1">
      <c r="E272" s="748" t="s">
        <v>3062</v>
      </c>
      <c r="H272" s="748">
        <f>'Part II-Development Team'!H68</f>
        <v>4048924700</v>
      </c>
      <c r="J272" s="748">
        <f>'Part II-Development Team'!J68</f>
        <v>0</v>
      </c>
      <c r="K272" s="748" t="s">
        <v>2833</v>
      </c>
      <c r="L272" s="748">
        <f>'Part II-Development Team'!L68</f>
        <v>4043320100</v>
      </c>
      <c r="N272" s="748" t="s">
        <v>3061</v>
      </c>
      <c r="O272" s="748" t="str">
        <f>'Part II-Development Team'!O68</f>
        <v>Renee.Glover@atlantahousing.org</v>
      </c>
    </row>
    <row r="273" spans="1:17" ht="6.6" customHeight="1"/>
    <row r="274" spans="1:17" ht="13.15" customHeight="1">
      <c r="B274" s="748" t="s">
        <v>1238</v>
      </c>
      <c r="C274" s="748" t="s">
        <v>2279</v>
      </c>
      <c r="H274" s="748">
        <f>'Part II-Development Team'!H70</f>
        <v>0</v>
      </c>
      <c r="O274" s="748" t="s">
        <v>3067</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3353</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377</v>
      </c>
      <c r="H280" s="748">
        <f>'Part II-Development Team'!H76</f>
        <v>0</v>
      </c>
      <c r="O280" s="748" t="s">
        <v>3067</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2834</v>
      </c>
      <c r="Q282" s="748">
        <f>'Part II-Development Team'!Q78</f>
        <v>0</v>
      </c>
    </row>
    <row r="283" spans="1:17" ht="13.15" customHeight="1">
      <c r="E283" s="748" t="s">
        <v>2830</v>
      </c>
      <c r="H283" s="748">
        <f>'Part II-Development Team'!H79</f>
        <v>0</v>
      </c>
      <c r="I283" s="748" t="s">
        <v>3353</v>
      </c>
      <c r="J283" s="748">
        <f>'Part II-Development Team'!J79</f>
        <v>0</v>
      </c>
      <c r="O283" s="748" t="s">
        <v>3056</v>
      </c>
      <c r="Q283" s="748">
        <f>'Part II-Development Team'!Q79</f>
        <v>0</v>
      </c>
    </row>
    <row r="284" spans="1:17" ht="13.15" customHeight="1">
      <c r="E284" s="748" t="s">
        <v>3062</v>
      </c>
      <c r="H284" s="748">
        <f>'Part II-Development Team'!H80</f>
        <v>0</v>
      </c>
      <c r="J284" s="748">
        <f>'Part II-Development Team'!J80</f>
        <v>0</v>
      </c>
      <c r="K284" s="748" t="s">
        <v>2833</v>
      </c>
      <c r="L284" s="748">
        <f>'Part II-Development Team'!L80</f>
        <v>0</v>
      </c>
      <c r="N284" s="748" t="s">
        <v>3061</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3060</v>
      </c>
      <c r="C288" s="748" t="s">
        <v>379</v>
      </c>
      <c r="H288" s="748">
        <f>'Part II-Development Team'!H84</f>
        <v>0</v>
      </c>
      <c r="O288" s="748" t="s">
        <v>3067</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2834</v>
      </c>
      <c r="Q290" s="748">
        <f>'Part II-Development Team'!Q86</f>
        <v>0</v>
      </c>
    </row>
    <row r="291" spans="2:17" ht="13.15" customHeight="1">
      <c r="E291" s="748" t="s">
        <v>2830</v>
      </c>
      <c r="H291" s="748">
        <f>'Part II-Development Team'!H87</f>
        <v>0</v>
      </c>
      <c r="I291" s="748" t="s">
        <v>3353</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380</v>
      </c>
      <c r="H294" s="748" t="str">
        <f>'Part II-Development Team'!H90</f>
        <v>IBG Construction Services LLC</v>
      </c>
      <c r="O294" s="748" t="s">
        <v>3067</v>
      </c>
      <c r="Q294" s="748" t="str">
        <f>'Part II-Development Team'!Q90</f>
        <v>Kenneth Chestnut</v>
      </c>
    </row>
    <row r="295" spans="2:17" ht="13.15" customHeight="1">
      <c r="E295" s="748" t="s">
        <v>1641</v>
      </c>
      <c r="H295" s="748" t="str">
        <f>'Part II-Development Team'!H91</f>
        <v>100 Auburn Avenue</v>
      </c>
      <c r="O295" s="748" t="s">
        <v>2775</v>
      </c>
      <c r="Q295" s="748" t="str">
        <f>'Part II-Development Team'!Q91</f>
        <v>COO</v>
      </c>
    </row>
    <row r="296" spans="2:17" ht="13.15" customHeight="1">
      <c r="E296" s="748" t="s">
        <v>953</v>
      </c>
      <c r="H296" s="748" t="str">
        <f>'Part II-Development Team'!H92</f>
        <v>Atlanta</v>
      </c>
      <c r="O296" s="748" t="s">
        <v>2834</v>
      </c>
      <c r="Q296" s="748">
        <f>'Part II-Development Team'!Q92</f>
        <v>4042241871</v>
      </c>
    </row>
    <row r="297" spans="2:17" ht="13.15" customHeight="1">
      <c r="E297" s="748" t="s">
        <v>2830</v>
      </c>
      <c r="H297" s="748" t="str">
        <f>'Part II-Development Team'!H93</f>
        <v>GA</v>
      </c>
      <c r="I297" s="748" t="s">
        <v>3353</v>
      </c>
      <c r="J297" s="748">
        <f>'Part II-Development Team'!J93</f>
        <v>303030000</v>
      </c>
      <c r="O297" s="748" t="s">
        <v>3056</v>
      </c>
      <c r="Q297" s="748">
        <f>'Part II-Development Team'!Q93</f>
        <v>0</v>
      </c>
    </row>
    <row r="298" spans="2:17" ht="13.15" customHeight="1">
      <c r="E298" s="748" t="s">
        <v>3062</v>
      </c>
      <c r="H298" s="748">
        <f>'Part II-Development Team'!H94</f>
        <v>4042241870</v>
      </c>
      <c r="J298" s="748">
        <f>'Part II-Development Team'!J94</f>
        <v>0</v>
      </c>
      <c r="K298" s="748" t="s">
        <v>2833</v>
      </c>
      <c r="L298" s="748">
        <f>'Part II-Development Team'!L94</f>
        <v>4042245177</v>
      </c>
      <c r="N298" s="748" t="s">
        <v>3061</v>
      </c>
      <c r="O298" s="748" t="str">
        <f>'Part II-Development Team'!O94</f>
        <v>Kchestnut@ibgcs.com</v>
      </c>
    </row>
    <row r="299" spans="2:17" ht="6.6" customHeight="1"/>
    <row r="300" spans="2:17" ht="13.15" customHeight="1">
      <c r="B300" s="748" t="s">
        <v>1238</v>
      </c>
      <c r="C300" s="748" t="s">
        <v>381</v>
      </c>
      <c r="H300" s="748" t="str">
        <f>'Part II-Development Team'!H96</f>
        <v>Integral Property Management LLC</v>
      </c>
      <c r="O300" s="748" t="s">
        <v>3067</v>
      </c>
      <c r="Q300" s="748" t="str">
        <f>'Part II-Development Team'!Q96</f>
        <v>Denise Koehl</v>
      </c>
    </row>
    <row r="301" spans="2:17" ht="13.15" customHeight="1">
      <c r="E301" s="748" t="s">
        <v>1641</v>
      </c>
      <c r="H301" s="748" t="str">
        <f>'Part II-Development Team'!H97</f>
        <v>100 Auburn Avenue</v>
      </c>
      <c r="O301" s="748" t="s">
        <v>2775</v>
      </c>
      <c r="Q301" s="748" t="str">
        <f>'Part II-Development Team'!Q97</f>
        <v>Chief Operating Officer</v>
      </c>
    </row>
    <row r="302" spans="2:17" ht="13.15" customHeight="1">
      <c r="E302" s="748" t="s">
        <v>953</v>
      </c>
      <c r="H302" s="748" t="str">
        <f>'Part II-Development Team'!H98</f>
        <v>Atlanta</v>
      </c>
      <c r="O302" s="748" t="s">
        <v>2834</v>
      </c>
      <c r="Q302" s="748">
        <f>'Part II-Development Team'!Q98</f>
        <v>4045261882</v>
      </c>
    </row>
    <row r="303" spans="2:17" ht="13.15" customHeight="1">
      <c r="E303" s="748" t="s">
        <v>2830</v>
      </c>
      <c r="H303" s="748" t="str">
        <f>'Part II-Development Team'!H99</f>
        <v>GA</v>
      </c>
      <c r="I303" s="748" t="s">
        <v>3353</v>
      </c>
      <c r="J303" s="748">
        <f>'Part II-Development Team'!J99</f>
        <v>303030000</v>
      </c>
      <c r="O303" s="748" t="s">
        <v>3056</v>
      </c>
      <c r="Q303" s="748">
        <f>'Part II-Development Team'!Q99</f>
        <v>0</v>
      </c>
    </row>
    <row r="304" spans="2:17" ht="13.15" customHeight="1">
      <c r="E304" s="748" t="s">
        <v>3062</v>
      </c>
      <c r="H304" s="748">
        <f>'Part II-Development Team'!H100</f>
        <v>4042230588</v>
      </c>
      <c r="J304" s="748">
        <f>'Part II-Development Team'!J100</f>
        <v>0</v>
      </c>
      <c r="K304" s="748" t="s">
        <v>2833</v>
      </c>
      <c r="L304" s="748">
        <f>'Part II-Development Team'!L100</f>
        <v>4042233201</v>
      </c>
      <c r="N304" s="748" t="s">
        <v>3061</v>
      </c>
      <c r="O304" s="748" t="str">
        <f>'Part II-Development Team'!O100</f>
        <v>DKoehl@ims-ms.com</v>
      </c>
    </row>
    <row r="305" spans="2:17" ht="6.6" customHeight="1"/>
    <row r="306" spans="2:17" ht="13.15" customHeight="1">
      <c r="B306" s="748" t="s">
        <v>3212</v>
      </c>
      <c r="C306" s="748" t="s">
        <v>382</v>
      </c>
      <c r="H306" s="748" t="str">
        <f>'Part II-Development Team'!H102</f>
        <v>Arnall, Golden and Gregory</v>
      </c>
      <c r="O306" s="748" t="s">
        <v>3067</v>
      </c>
      <c r="Q306" s="748" t="str">
        <f>'Part II-Development Team'!Q102</f>
        <v>Jonathan Eady</v>
      </c>
    </row>
    <row r="307" spans="2:17" ht="13.15" customHeight="1">
      <c r="E307" s="748" t="s">
        <v>1641</v>
      </c>
      <c r="H307" s="748" t="str">
        <f>'Part II-Development Team'!H103</f>
        <v>171 17th Street</v>
      </c>
      <c r="O307" s="748" t="s">
        <v>2775</v>
      </c>
      <c r="Q307" s="748" t="str">
        <f>'Part II-Development Team'!Q103</f>
        <v>Partner</v>
      </c>
    </row>
    <row r="308" spans="2:17" ht="13.15" customHeight="1">
      <c r="E308" s="748" t="s">
        <v>953</v>
      </c>
      <c r="H308" s="748" t="str">
        <f>'Part II-Development Team'!H104</f>
        <v>Atlanta</v>
      </c>
      <c r="O308" s="748" t="s">
        <v>2834</v>
      </c>
      <c r="Q308" s="748">
        <f>'Part II-Development Team'!Q104</f>
        <v>4048738656</v>
      </c>
    </row>
    <row r="309" spans="2:17" ht="13.15" customHeight="1">
      <c r="E309" s="748" t="s">
        <v>2830</v>
      </c>
      <c r="H309" s="748" t="str">
        <f>'Part II-Development Team'!H105</f>
        <v>GA</v>
      </c>
      <c r="I309" s="748" t="s">
        <v>3353</v>
      </c>
      <c r="J309" s="748">
        <f>'Part II-Development Team'!J105</f>
        <v>303630000</v>
      </c>
      <c r="O309" s="748" t="s">
        <v>3056</v>
      </c>
      <c r="Q309" s="748">
        <f>'Part II-Development Team'!Q105</f>
        <v>0</v>
      </c>
    </row>
    <row r="310" spans="2:17" ht="13.15" customHeight="1">
      <c r="E310" s="748" t="s">
        <v>3062</v>
      </c>
      <c r="H310" s="748">
        <f>'Part II-Development Team'!H106</f>
        <v>4048738500</v>
      </c>
      <c r="J310" s="748">
        <f>'Part II-Development Team'!J106</f>
        <v>0</v>
      </c>
      <c r="K310" s="748" t="s">
        <v>2833</v>
      </c>
      <c r="L310" s="748">
        <f>'Part II-Development Team'!L106</f>
        <v>4048738657</v>
      </c>
      <c r="N310" s="748" t="s">
        <v>3061</v>
      </c>
      <c r="O310" s="748" t="str">
        <f>'Part II-Development Team'!O106</f>
        <v>jonathan.eady@agg.com</v>
      </c>
    </row>
    <row r="311" spans="2:17" ht="6" customHeight="1"/>
    <row r="312" spans="2:17" ht="0.6" customHeight="1"/>
    <row r="313" spans="2:17" ht="13.15" customHeight="1">
      <c r="B313" s="748" t="s">
        <v>2762</v>
      </c>
      <c r="C313" s="748" t="s">
        <v>383</v>
      </c>
      <c r="H313" s="748" t="str">
        <f>'Part II-Development Team'!H109</f>
        <v>Habif, Arogeti &amp; Wynne, L.L.P</v>
      </c>
      <c r="O313" s="748" t="s">
        <v>3067</v>
      </c>
      <c r="Q313" s="748" t="str">
        <f>'Part II-Development Team'!Q109</f>
        <v>Allison Fossyl</v>
      </c>
    </row>
    <row r="314" spans="2:17" ht="13.15" customHeight="1">
      <c r="E314" s="748" t="s">
        <v>1641</v>
      </c>
      <c r="H314" s="748" t="str">
        <f>'Part II-Development Team'!H110</f>
        <v>171 17th Street</v>
      </c>
      <c r="O314" s="748" t="s">
        <v>2775</v>
      </c>
      <c r="Q314" s="748" t="str">
        <f>'Part II-Development Team'!Q110</f>
        <v>Senior Manager</v>
      </c>
    </row>
    <row r="315" spans="2:17" ht="13.15" customHeight="1">
      <c r="E315" s="748" t="s">
        <v>953</v>
      </c>
      <c r="H315" s="748" t="str">
        <f>'Part II-Development Team'!H111</f>
        <v>Atlanta</v>
      </c>
      <c r="O315" s="748" t="s">
        <v>2834</v>
      </c>
      <c r="Q315" s="748">
        <f>'Part II-Development Team'!Q111</f>
        <v>7703537115</v>
      </c>
    </row>
    <row r="316" spans="2:17" ht="13.15" customHeight="1">
      <c r="E316" s="748" t="s">
        <v>2830</v>
      </c>
      <c r="H316" s="748" t="str">
        <f>'Part II-Development Team'!H112</f>
        <v>GA</v>
      </c>
      <c r="I316" s="748" t="s">
        <v>3353</v>
      </c>
      <c r="J316" s="748">
        <f>'Part II-Development Team'!J112</f>
        <v>303630000</v>
      </c>
      <c r="O316" s="748" t="s">
        <v>3056</v>
      </c>
      <c r="Q316" s="748">
        <f>'Part II-Development Team'!Q112</f>
        <v>0</v>
      </c>
    </row>
    <row r="317" spans="2:17" ht="13.15" customHeight="1">
      <c r="E317" s="748" t="s">
        <v>3062</v>
      </c>
      <c r="H317" s="748">
        <f>'Part II-Development Team'!H113</f>
        <v>4048929651</v>
      </c>
      <c r="J317" s="748">
        <f>'Part II-Development Team'!J113</f>
        <v>0</v>
      </c>
      <c r="K317" s="748" t="s">
        <v>2833</v>
      </c>
      <c r="L317" s="748">
        <f>'Part II-Development Team'!L113</f>
        <v>7703513271</v>
      </c>
      <c r="N317" s="748" t="s">
        <v>3061</v>
      </c>
      <c r="O317" s="748" t="str">
        <f>'Part II-Development Team'!O113</f>
        <v xml:space="preserve">alison.fossyl@hawcpa.com </v>
      </c>
    </row>
    <row r="318" spans="2:17" ht="6.6" customHeight="1"/>
    <row r="319" spans="2:17" ht="13.15" customHeight="1">
      <c r="B319" s="748" t="s">
        <v>2763</v>
      </c>
      <c r="C319" s="748" t="s">
        <v>384</v>
      </c>
      <c r="H319" s="748" t="str">
        <f>'Part II-Development Team'!H115</f>
        <v>Geheber Lewis Associates, LLC (formerly Nelson Southeast Operating Company)</v>
      </c>
      <c r="O319" s="748" t="s">
        <v>3067</v>
      </c>
      <c r="Q319" s="748" t="str">
        <f>'Part II-Development Team'!Q115</f>
        <v>Fred Geheber</v>
      </c>
    </row>
    <row r="320" spans="2:17" ht="13.15" customHeight="1">
      <c r="E320" s="748" t="s">
        <v>1641</v>
      </c>
      <c r="H320" s="748" t="str">
        <f>'Part II-Development Team'!H116</f>
        <v>643 11th Street</v>
      </c>
      <c r="O320" s="748" t="s">
        <v>2775</v>
      </c>
      <c r="Q320" s="748" t="str">
        <f>'Part II-Development Team'!Q116</f>
        <v>Principal</v>
      </c>
    </row>
    <row r="321" spans="1:18" ht="13.15" customHeight="1">
      <c r="E321" s="748" t="s">
        <v>953</v>
      </c>
      <c r="H321" s="748" t="str">
        <f>'Part II-Development Team'!H117</f>
        <v>Atlanta</v>
      </c>
      <c r="O321" s="748" t="s">
        <v>2834</v>
      </c>
      <c r="Q321" s="748">
        <f>'Part II-Development Team'!Q117</f>
        <v>4042281958</v>
      </c>
    </row>
    <row r="322" spans="1:18" ht="13.15" customHeight="1">
      <c r="E322" s="748" t="s">
        <v>2830</v>
      </c>
      <c r="H322" s="748" t="str">
        <f>'Part II-Development Team'!H118</f>
        <v>GA</v>
      </c>
      <c r="I322" s="748" t="s">
        <v>3353</v>
      </c>
      <c r="J322" s="748">
        <f>'Part II-Development Team'!J118</f>
        <v>303180000</v>
      </c>
      <c r="O322" s="748" t="s">
        <v>3056</v>
      </c>
      <c r="Q322" s="748">
        <f>'Part II-Development Team'!Q118</f>
        <v>0</v>
      </c>
    </row>
    <row r="323" spans="1:18" ht="13.15" customHeight="1">
      <c r="E323" s="748" t="s">
        <v>3062</v>
      </c>
      <c r="H323" s="748">
        <f>'Part II-Development Team'!H119</f>
        <v>4042281958</v>
      </c>
      <c r="J323" s="748">
        <f>'Part II-Development Team'!J119</f>
        <v>0</v>
      </c>
      <c r="K323" s="748" t="s">
        <v>2833</v>
      </c>
      <c r="L323" s="748">
        <f>'Part II-Development Team'!L119</f>
        <v>0</v>
      </c>
      <c r="N323" s="748" t="s">
        <v>3061</v>
      </c>
      <c r="O323" s="748" t="str">
        <f>'Part II-Development Team'!O119</f>
        <v>fgeheber@GLAATL.com</v>
      </c>
    </row>
    <row r="324" spans="1:18" ht="13.15" customHeight="1"/>
    <row r="325" spans="1:18" ht="13.15" customHeight="1">
      <c r="A325" s="748" t="s">
        <v>2823</v>
      </c>
      <c r="B325" s="748" t="s">
        <v>365</v>
      </c>
    </row>
    <row r="326" spans="1:18" ht="6.6" customHeight="1"/>
    <row r="327" spans="1:18" ht="21.6" customHeight="1">
      <c r="A327" s="748" t="s">
        <v>976</v>
      </c>
      <c r="E327" s="748" t="s">
        <v>4129</v>
      </c>
      <c r="F327" s="748" t="s">
        <v>3600</v>
      </c>
      <c r="G327" s="748" t="s">
        <v>4130</v>
      </c>
      <c r="J327" s="748" t="s">
        <v>4131</v>
      </c>
      <c r="L327" s="748" t="s">
        <v>4132</v>
      </c>
      <c r="N327" s="748" t="s">
        <v>4133</v>
      </c>
      <c r="P327" s="748" t="s">
        <v>3601</v>
      </c>
      <c r="R327" s="748" t="s">
        <v>3602</v>
      </c>
    </row>
    <row r="328" spans="1:18" ht="21.6" customHeight="1"/>
    <row r="329" spans="1:18" ht="21.6" customHeight="1"/>
    <row r="330" spans="1:18" ht="21.6" customHeight="1"/>
    <row r="331" spans="1:18" ht="21.6" customHeight="1"/>
    <row r="332" spans="1:18" ht="13.9" customHeight="1">
      <c r="A332" s="748" t="s">
        <v>3534</v>
      </c>
      <c r="E332" s="748" t="str">
        <f>'Part II-Development Team'!E128</f>
        <v>No</v>
      </c>
      <c r="F332" s="748" t="str">
        <f>'Part II-Development Team'!F128</f>
        <v>Yes</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3524</v>
      </c>
      <c r="E333" s="748" t="str">
        <f>'Part II-Development Team'!E129</f>
        <v>No</v>
      </c>
      <c r="F333" s="748" t="str">
        <f>'Part II-Development Team'!F129</f>
        <v>No</v>
      </c>
      <c r="G333" s="748" t="str">
        <f>'Part II-Development Team'!G129</f>
        <v>No</v>
      </c>
      <c r="J333" s="748" t="str">
        <f>'Part II-Development Team'!J129</f>
        <v>No</v>
      </c>
      <c r="L333" s="748" t="str">
        <f>'Part II-Development Team'!L129</f>
        <v>No</v>
      </c>
      <c r="N333" s="748" t="str">
        <f>'Part II-Development Team'!N129</f>
        <v>No</v>
      </c>
      <c r="P333" s="748" t="str">
        <f>'Part II-Development Team'!P129</f>
        <v>Nonprofit</v>
      </c>
      <c r="R333" s="748">
        <f>'Part II-Development Team'!R129</f>
        <v>1E-4</v>
      </c>
    </row>
    <row r="334" spans="1:18" ht="13.9"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3526</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0.98980000000000001</v>
      </c>
    </row>
    <row r="336" spans="1:18" ht="13.9" customHeight="1">
      <c r="A336" s="748" t="s">
        <v>3527</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3528</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996</v>
      </c>
      <c r="E338" s="748" t="str">
        <f>'Part II-Development Team'!E134</f>
        <v>No</v>
      </c>
      <c r="F338" s="748" t="str">
        <f>'Part II-Development Team'!F134</f>
        <v>Yes</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3529</v>
      </c>
      <c r="E339" s="748" t="str">
        <f>'Part II-Development Team'!E135</f>
        <v>No</v>
      </c>
      <c r="F339" s="748" t="str">
        <f>'Part II-Development Team'!F135</f>
        <v>No</v>
      </c>
      <c r="G339" s="748" t="str">
        <f>'Part II-Development Team'!G135</f>
        <v>No</v>
      </c>
      <c r="J339" s="748" t="str">
        <f>'Part II-Development Team'!J135</f>
        <v>No</v>
      </c>
      <c r="L339" s="748" t="str">
        <f>'Part II-Development Team'!L135</f>
        <v>No</v>
      </c>
      <c r="N339" s="748" t="str">
        <f>'Part II-Development Team'!N135</f>
        <v>No</v>
      </c>
      <c r="P339" s="748" t="str">
        <f>'Part II-Development Team'!P135</f>
        <v>Nonprofit</v>
      </c>
      <c r="R339" s="748">
        <f>'Part II-Development Team'!R135</f>
        <v>0</v>
      </c>
    </row>
    <row r="340" spans="1:18" ht="13.9"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3532</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Yes</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3533</v>
      </c>
      <c r="E344" s="748" t="str">
        <f>'Part II-Development Team'!E140</f>
        <v>No</v>
      </c>
      <c r="F344" s="748" t="str">
        <f>'Part II-Development Team'!F140</f>
        <v>Yes</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 xml:space="preserve">The General Contractor and Management Company have an Identity of Interest with the Managing General Partner and Developer through their affiliation with the Principals of The Integral Group LLC.  </v>
      </c>
      <c r="N349" s="748">
        <f>'Part II-Development Team'!N145</f>
        <v>0</v>
      </c>
    </row>
    <row r="350" spans="1:18" ht="42.6" customHeight="1">
      <c r="A350" s="748" t="str">
        <f>'Part II-Development Team'!A146</f>
        <v>Atlanta Affordable Housing for the Future, Inc. ("AAHFI"), is an affiliate of the Atlanta Housing Authority, and has a 0.01% of the partnership interest as a Special Limited Partner.  It is shown above as "Other GP1"</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2011-013 Ashley Auburn Pointe II , Atlanta, Fulton County</v>
      </c>
    </row>
    <row r="356" spans="1:16">
      <c r="A356" s="748" t="s">
        <v>950</v>
      </c>
      <c r="B356" s="748" t="s">
        <v>3770</v>
      </c>
    </row>
    <row r="358" spans="1:16">
      <c r="B358" s="748" t="str">
        <f>'Part III A-Sources of Funds'!B5</f>
        <v>Yes</v>
      </c>
      <c r="C358" s="748" t="s">
        <v>3652</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3311</v>
      </c>
      <c r="J359" s="748">
        <f>'Part III A-Sources of Funds'!J6</f>
        <v>0</v>
      </c>
      <c r="K359" s="748" t="s">
        <v>846</v>
      </c>
      <c r="M359" s="748" t="str">
        <f>'Part III A-Sources of Funds'!M6</f>
        <v>Yes</v>
      </c>
      <c r="N359" s="748" t="s">
        <v>844</v>
      </c>
    </row>
    <row r="360" spans="1:16">
      <c r="B360" s="748">
        <f>'Part III A-Sources of Funds'!B7</f>
        <v>0</v>
      </c>
      <c r="C360" s="748" t="s">
        <v>2836</v>
      </c>
      <c r="E360" s="748">
        <f>'Part III A-Sources of Funds'!E7</f>
        <v>0</v>
      </c>
      <c r="F360" s="748" t="s">
        <v>3310</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3914</v>
      </c>
      <c r="E361" s="748">
        <f>'Part III A-Sources of Funds'!E8</f>
        <v>0</v>
      </c>
      <c r="F361" s="748" t="s">
        <v>3915</v>
      </c>
      <c r="H361" s="748" t="str">
        <f>'Part III A-Sources of Funds'!H8</f>
        <v>Yes</v>
      </c>
      <c r="I361" s="748" t="s">
        <v>3653</v>
      </c>
      <c r="J361" s="748">
        <f>'Part III A-Sources of Funds'!J8</f>
        <v>0</v>
      </c>
      <c r="K361" s="748" t="s">
        <v>874</v>
      </c>
      <c r="M361" s="748">
        <f>'Part III A-Sources of Funds'!M8</f>
        <v>0</v>
      </c>
      <c r="N361" s="748" t="s">
        <v>3232</v>
      </c>
    </row>
    <row r="362" spans="1:16">
      <c r="B362" s="748" t="s">
        <v>310</v>
      </c>
    </row>
    <row r="364" spans="1:16">
      <c r="A364" s="748" t="s">
        <v>1229</v>
      </c>
      <c r="B364" s="748" t="s">
        <v>3494</v>
      </c>
    </row>
    <row r="366" spans="1:16">
      <c r="B366" s="748" t="s">
        <v>2927</v>
      </c>
      <c r="H366" s="748" t="s">
        <v>1997</v>
      </c>
      <c r="L366" s="748" t="s">
        <v>3068</v>
      </c>
      <c r="N366" s="748" t="s">
        <v>2257</v>
      </c>
      <c r="P366" s="748" t="s">
        <v>2536</v>
      </c>
    </row>
    <row r="367" spans="1:16">
      <c r="B367" s="748" t="s">
        <v>2347</v>
      </c>
      <c r="H367" s="748" t="str">
        <f>'Part III A-Sources of Funds'!H14</f>
        <v>Oppenheimer Multifamily 221(d)4</v>
      </c>
      <c r="L367" s="748">
        <f>'Part III A-Sources of Funds'!L14</f>
        <v>3700000</v>
      </c>
      <c r="N367" s="748">
        <f>'Part III A-Sources of Funds'!N14</f>
        <v>0.06</v>
      </c>
      <c r="P367" s="748">
        <f>'Part III A-Sources of Funds'!P14</f>
        <v>13</v>
      </c>
    </row>
    <row r="368" spans="1:16">
      <c r="B368" s="748" t="s">
        <v>2348</v>
      </c>
      <c r="H368" s="748" t="str">
        <f>'Part III A-Sources of Funds'!H15</f>
        <v>Atlanta Housing Authority Loan</v>
      </c>
      <c r="L368" s="748">
        <f>'Part III A-Sources of Funds'!L15</f>
        <v>5500000</v>
      </c>
      <c r="N368" s="748">
        <f>'Part III A-Sources of Funds'!N15</f>
        <v>4.9099999999999998E-2</v>
      </c>
      <c r="P368" s="748">
        <f>'Part III A-Sources of Funds'!P15</f>
        <v>24</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3332</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Hudson Housing Capital</v>
      </c>
      <c r="L373" s="748">
        <f>'Part III A-Sources of Funds'!L20</f>
        <v>4589505</v>
      </c>
    </row>
    <row r="374" spans="1:17">
      <c r="B374" s="748" t="s">
        <v>1385</v>
      </c>
      <c r="H374" s="748" t="str">
        <f>'Part III A-Sources of Funds'!H21</f>
        <v>Sugar Creek Realty LLC</v>
      </c>
      <c r="L374" s="748">
        <f>'Part III A-Sources of Funds'!L21</f>
        <v>1416627</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15206132</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15206132</v>
      </c>
    </row>
    <row r="380" spans="1:17">
      <c r="B380" s="748" t="s">
        <v>3261</v>
      </c>
      <c r="L380" s="748">
        <f>L378-L379</f>
        <v>0</v>
      </c>
    </row>
    <row r="382" spans="1:17">
      <c r="A382" s="748" t="s">
        <v>1231</v>
      </c>
      <c r="B382" s="748" t="s">
        <v>1382</v>
      </c>
    </row>
    <row r="383" spans="1:17">
      <c r="J383" s="748" t="s">
        <v>3195</v>
      </c>
      <c r="K383" s="748" t="s">
        <v>1995</v>
      </c>
      <c r="L383" s="748" t="s">
        <v>2000</v>
      </c>
      <c r="M383" s="748" t="s">
        <v>40</v>
      </c>
      <c r="Q383" s="748" t="s">
        <v>3491</v>
      </c>
    </row>
    <row r="384" spans="1:17">
      <c r="B384" s="748" t="s">
        <v>2927</v>
      </c>
      <c r="E384" s="748" t="s">
        <v>1997</v>
      </c>
      <c r="H384" s="748" t="s">
        <v>719</v>
      </c>
      <c r="J384" s="748" t="s">
        <v>2843</v>
      </c>
      <c r="K384" s="748" t="s">
        <v>3331</v>
      </c>
      <c r="L384" s="748" t="s">
        <v>3331</v>
      </c>
      <c r="O384" s="748" t="s">
        <v>84</v>
      </c>
    </row>
    <row r="385" spans="2:19">
      <c r="B385" s="748" t="str">
        <f>IF(OR(E385 = "Neither",E385 = "&lt;&lt;Select applicable option&gt;&gt;"), "N/A","Mortgage A")</f>
        <v>Mortgage A</v>
      </c>
      <c r="E385" s="748" t="str">
        <f>'Part III A-Sources of Funds'!E32</f>
        <v>HUD Insured Loan</v>
      </c>
      <c r="H385" s="748">
        <f>'Part III A-Sources of Funds'!H32</f>
        <v>3700000</v>
      </c>
      <c r="J385" s="748">
        <f>'Part III A-Sources of Funds'!J32</f>
        <v>6.0000000000000005E-2</v>
      </c>
      <c r="K385" s="748">
        <f>'Part III A-Sources of Funds'!K32</f>
        <v>40</v>
      </c>
      <c r="L385" s="748">
        <f>'Part III A-Sources of Funds'!L32</f>
        <v>40</v>
      </c>
      <c r="M385" s="748">
        <f>'Part III A-Sources of Funds'!M32</f>
        <v>244294.8564282002</v>
      </c>
      <c r="O385" s="748" t="str">
        <f>'Part III A-Sources of Funds'!O32</f>
        <v>Amortizing</v>
      </c>
      <c r="Q385" s="748" t="str">
        <f>'Part III A-Sources of Funds'!Q32</f>
        <v>n/a</v>
      </c>
    </row>
    <row r="386" spans="2:19">
      <c r="B386" s="748" t="str">
        <f>IF(OR(E385 = "Neither",E385 = "&lt;&lt;Select applicable option&gt;&gt;"), "Mortgage A","Mortgage B")</f>
        <v>Mortgage B</v>
      </c>
      <c r="E386" s="748" t="str">
        <f>'Part III A-Sources of Funds'!E33</f>
        <v>Atlanta Housing Authority</v>
      </c>
      <c r="H386" s="748">
        <f>'Part III A-Sources of Funds'!H33</f>
        <v>5500000</v>
      </c>
      <c r="J386" s="748">
        <f>'Part III A-Sources of Funds'!J33</f>
        <v>0.01</v>
      </c>
      <c r="K386" s="748">
        <f>'Part III A-Sources of Funds'!K33</f>
        <v>53</v>
      </c>
      <c r="L386" s="748">
        <f>'Part III A-Sources of Funds'!L33</f>
        <v>0</v>
      </c>
      <c r="M386" s="748" t="str">
        <f>'Part III A-Sources of Funds'!M33</f>
        <v/>
      </c>
      <c r="O386" s="748" t="str">
        <f>'Part III A-Sources of Funds'!O33</f>
        <v>Cash Flow</v>
      </c>
      <c r="Q386" s="748">
        <f>'Part III A-Sources of Funds'!Q33</f>
        <v>0</v>
      </c>
    </row>
    <row r="387" spans="2:19">
      <c r="B387" s="748" t="str">
        <f>IF(OR(E385 = "Neither",E385 = "&lt;&lt;Select applicable option&gt;&gt;"), "Mortgage B","Mortgage C")</f>
        <v>Mortgage C</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5.8634444444444447E-2</v>
      </c>
      <c r="E390" s="748" t="str">
        <f>'Part III A-Sources of Funds'!E37</f>
        <v>Grady Redevelopment LLC</v>
      </c>
      <c r="H390" s="748">
        <f>'Part III A-Sources of Funds'!H37</f>
        <v>105542</v>
      </c>
      <c r="J390" s="748">
        <f>'Part III A-Sources of Funds'!J37</f>
        <v>4.0500000000000001E-2</v>
      </c>
      <c r="K390" s="748">
        <f>'Part III A-Sources of Funds'!K37</f>
        <v>15</v>
      </c>
      <c r="L390" s="748">
        <f>'Part III A-Sources of Funds'!L37</f>
        <v>0</v>
      </c>
      <c r="M390" s="748" t="str">
        <f>'Part III A-Sources of Funds'!M37</f>
        <v/>
      </c>
      <c r="O390" s="748">
        <f>'Part III A-Sources of Funds'!O37</f>
        <v>0</v>
      </c>
      <c r="Q390" s="748">
        <f>'Part III A-Sources of Funds'!Q37</f>
        <v>0</v>
      </c>
    </row>
    <row r="391" spans="2:19">
      <c r="B391" s="748" t="s">
        <v>3332</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3864</v>
      </c>
    </row>
    <row r="393" spans="2:19">
      <c r="B393" s="748" t="s">
        <v>1384</v>
      </c>
      <c r="E393" s="748" t="str">
        <f>'Part III A-Sources of Funds'!E40</f>
        <v>Hudson Housing Capital</v>
      </c>
      <c r="H393" s="748">
        <f>'Part III A-Sources of Funds'!H40</f>
        <v>7284928</v>
      </c>
      <c r="J393" s="748">
        <f>'Part IV-Uses of Funds'!$J$165*10*'Part IV-Uses of Funds'!$N$158</f>
        <v>7360000</v>
      </c>
      <c r="L393" s="748">
        <f>H393-J393</f>
        <v>-75072</v>
      </c>
      <c r="M393" s="748" t="s">
        <v>2537</v>
      </c>
      <c r="S393" s="748">
        <f>H393/H403</f>
        <v>0.38564036971358345</v>
      </c>
    </row>
    <row r="394" spans="2:19">
      <c r="B394" s="748" t="s">
        <v>1385</v>
      </c>
      <c r="E394" s="748" t="str">
        <f>'Part III A-Sources of Funds'!E41</f>
        <v>Sugar Creek Realty LLC</v>
      </c>
      <c r="H394" s="748">
        <f>'Part III A-Sources of Funds'!H41</f>
        <v>2300000</v>
      </c>
      <c r="J394" s="748">
        <f>'Part IV-Uses of Funds'!$J$165*10*'Part IV-Uses of Funds'!$Q$158</f>
        <v>2300000</v>
      </c>
      <c r="L394" s="748">
        <f>H394-J394</f>
        <v>0</v>
      </c>
      <c r="S394" s="748">
        <f>H394/H403</f>
        <v>0.12175451155333888</v>
      </c>
    </row>
    <row r="395" spans="2:19">
      <c r="B395" s="748" t="s">
        <v>2120</v>
      </c>
      <c r="E395" s="748">
        <f>'Part III A-Sources of Funds'!E42</f>
        <v>0</v>
      </c>
      <c r="H395" s="748">
        <f>'Part III A-Sources of Funds'!H42</f>
        <v>0</v>
      </c>
      <c r="M395" s="748" t="s">
        <v>3022</v>
      </c>
      <c r="N395" s="748" t="s">
        <v>3023</v>
      </c>
      <c r="O395" s="748">
        <v>8</v>
      </c>
      <c r="P395" s="748">
        <v>9</v>
      </c>
      <c r="Q395" s="748">
        <v>10</v>
      </c>
      <c r="S395" s="748">
        <f>SUM(S393:S394)</f>
        <v>0.50739488126692234</v>
      </c>
    </row>
    <row r="396" spans="2:19">
      <c r="B396" s="748" t="s">
        <v>824</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18890470</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18890470.428214099</v>
      </c>
      <c r="M403" s="748">
        <v>26</v>
      </c>
      <c r="N403" s="748">
        <v>27</v>
      </c>
      <c r="O403" s="748">
        <v>28</v>
      </c>
      <c r="P403" s="748">
        <v>29</v>
      </c>
      <c r="Q403" s="748">
        <v>30</v>
      </c>
    </row>
    <row r="404" spans="1:17">
      <c r="B404" s="748" t="s">
        <v>2276</v>
      </c>
      <c r="H404" s="748">
        <f>H402-H403</f>
        <v>-0.42821409925818443</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 xml:space="preserve">The applicant has applied for funding for an FHA 221(d)4 loan through Oppenheimer Multifamily.  A copy of the letter from Oppenheimer outlining the terms is included in Tab 5, Financing Commitments. </v>
      </c>
      <c r="K408" s="748">
        <f>'Part III A-Sources of Funds'!K55</f>
        <v>0</v>
      </c>
    </row>
    <row r="409" spans="1:17">
      <c r="A409" s="748" t="str">
        <f>'Part III A-Sources of Funds'!A56</f>
        <v>The terms of the Deferred Developer Fee are in the Development Services Agreement between Grady Redevelopment, LLC and Grady Multifamily II, LP. A copy of the agreement is included in Tab 5.</v>
      </c>
      <c r="K409" s="748">
        <f>'Part III A-Sources of Funds'!K56</f>
        <v>0</v>
      </c>
    </row>
    <row r="410" spans="1:17">
      <c r="A410" s="748" t="str">
        <f>'Part III A-Sources of Funds'!A57</f>
        <v xml:space="preserve">The Federal Equity Contribution is calculated using the investor's ownership percentage of 98.98% as shown in the organizational chart and in the letter from Hudson Housing Capital located in Tab 5. </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2011-013 Ashley Auburn Pointe II , Atlanta, Fulton County</v>
      </c>
    </row>
    <row r="415" spans="1:17" ht="10.9" customHeight="1"/>
    <row r="416" spans="1:17" ht="14.45"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745</v>
      </c>
      <c r="C419" s="748">
        <v>0</v>
      </c>
      <c r="D419" s="748" t="s">
        <v>746</v>
      </c>
    </row>
    <row r="420" spans="1:5">
      <c r="B420" s="748" t="s">
        <v>3751</v>
      </c>
      <c r="C420" s="748">
        <f>'Part III B-USDA 538 Loan'!C7</f>
        <v>0</v>
      </c>
      <c r="D420" s="748" t="s">
        <v>2659</v>
      </c>
    </row>
    <row r="421" spans="1:5" ht="13.15" customHeight="1">
      <c r="A421" s="748" t="s">
        <v>3739</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2011-013 Ashley Auburn Pointe II , Atlanta, Fulton County</v>
      </c>
      <c r="G471" s="748" t="str">
        <f>CONCATENATE('Part I-Project Information'!$O$4," ",'Part I-Project Information'!$F$22,", ",'Part I-Project Information'!$F$24,", ",'Part I-Project Information'!$J$25," County")</f>
        <v>2011-013 Ashley Auburn Pointe II , Atlanta, Fulton County</v>
      </c>
    </row>
    <row r="472" spans="1:12">
      <c r="A472" s="748" t="s">
        <v>3743</v>
      </c>
      <c r="G472" s="748" t="s">
        <v>3743</v>
      </c>
    </row>
    <row r="473" spans="1:12" ht="6" customHeight="1"/>
    <row r="474" spans="1:12">
      <c r="A474" s="748" t="s">
        <v>3744</v>
      </c>
      <c r="B474" s="748" t="s">
        <v>3745</v>
      </c>
      <c r="C474" s="748" t="s">
        <v>1994</v>
      </c>
      <c r="D474" s="748" t="s">
        <v>3746</v>
      </c>
      <c r="E474" s="748" t="s">
        <v>3747</v>
      </c>
      <c r="F474" s="748" t="s">
        <v>3753</v>
      </c>
      <c r="G474" s="748" t="s">
        <v>3744</v>
      </c>
      <c r="H474" s="748" t="s">
        <v>3745</v>
      </c>
      <c r="I474" s="748" t="s">
        <v>1994</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2011-013 Ashley Auburn Pointe II , Atlanta, Fulton County</v>
      </c>
    </row>
    <row r="961" spans="1:5" ht="15.6" customHeight="1">
      <c r="A961" s="748" t="s">
        <v>278</v>
      </c>
    </row>
    <row r="963" spans="1:5" ht="13.15" customHeight="1">
      <c r="A963" s="748" t="s">
        <v>3385</v>
      </c>
      <c r="D963" s="748">
        <f>'Part III C-HUD Insured Loan'!D5</f>
        <v>3700000</v>
      </c>
      <c r="E963" s="748" t="s">
        <v>1552</v>
      </c>
    </row>
    <row r="965" spans="1:5">
      <c r="A965" s="748" t="s">
        <v>3735</v>
      </c>
      <c r="C965" s="748" t="s">
        <v>3736</v>
      </c>
      <c r="D965" s="748">
        <f>'Part III C-HUD Insured Loan'!D7</f>
        <v>5.7500000000000002E-2</v>
      </c>
    </row>
    <row r="966" spans="1:5">
      <c r="C966" s="748" t="s">
        <v>3737</v>
      </c>
      <c r="D966" s="748">
        <f>'Part III C-HUD Insured Loan'!D8</f>
        <v>1.25E-3</v>
      </c>
    </row>
    <row r="967" spans="1:5">
      <c r="C967" s="748" t="s">
        <v>3738</v>
      </c>
      <c r="D967" s="748">
        <f>'Part III C-HUD Insured Loan'!D9</f>
        <v>1.25E-3</v>
      </c>
    </row>
    <row r="968" spans="1:5">
      <c r="C968" s="748" t="s">
        <v>3751</v>
      </c>
      <c r="D968" s="748">
        <f>D965+D966+D967</f>
        <v>6.0000000000000005E-2</v>
      </c>
    </row>
    <row r="970" spans="1:5">
      <c r="A970" s="748" t="s">
        <v>2741</v>
      </c>
      <c r="D970" s="748">
        <f>'Part III C-HUD Insured Loan'!D12</f>
        <v>4.4999999999999997E-3</v>
      </c>
      <c r="E970" s="748" t="s">
        <v>3231</v>
      </c>
    </row>
    <row r="972" spans="1:5">
      <c r="A972" s="748" t="s">
        <v>3740</v>
      </c>
      <c r="D972" s="748">
        <f>'Part III C-HUD Insured Loan'!D14</f>
        <v>40</v>
      </c>
      <c r="E972" s="748" t="s">
        <v>3741</v>
      </c>
    </row>
    <row r="974" spans="1:5">
      <c r="A974" s="748" t="s">
        <v>3742</v>
      </c>
      <c r="D974" s="748">
        <f>'Part III C-HUD Insured Loan'!D16</f>
        <v>40</v>
      </c>
      <c r="E974" s="748" t="s">
        <v>3741</v>
      </c>
    </row>
    <row r="976" spans="1:5">
      <c r="A976" s="748" t="s">
        <v>1525</v>
      </c>
      <c r="D976" s="748">
        <f>PMT(D968/12,D974*12,-D963,0,0)*12</f>
        <v>244294.8564282002</v>
      </c>
      <c r="E976" s="748" t="s">
        <v>2245</v>
      </c>
    </row>
    <row r="978" spans="1:6">
      <c r="A978" s="748" t="s">
        <v>2246</v>
      </c>
      <c r="D978" s="748">
        <f>D976/12</f>
        <v>20357.904702350017</v>
      </c>
      <c r="E978" s="748" t="s">
        <v>2245</v>
      </c>
    </row>
    <row r="982" spans="1:6" ht="18" customHeight="1">
      <c r="A982" s="748" t="s">
        <v>2742</v>
      </c>
    </row>
    <row r="984" spans="1:6">
      <c r="C984" s="748" t="s">
        <v>3384</v>
      </c>
      <c r="F984" s="748" t="s">
        <v>3384</v>
      </c>
    </row>
    <row r="985" spans="1:6">
      <c r="A985" s="748" t="s">
        <v>3753</v>
      </c>
      <c r="B985" s="748" t="s">
        <v>1646</v>
      </c>
      <c r="D985" s="748" t="s">
        <v>3753</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2011-013 Ashley Auburn Pointe II , Atlanta, Fulton County</v>
      </c>
    </row>
    <row r="1009" spans="1:6">
      <c r="A1009" s="748" t="s">
        <v>3743</v>
      </c>
    </row>
    <row r="1010" spans="1:6" ht="5.45" customHeight="1"/>
    <row r="1011" spans="1:6">
      <c r="A1011" s="748" t="s">
        <v>3744</v>
      </c>
      <c r="B1011" s="748" t="s">
        <v>3745</v>
      </c>
      <c r="C1011" s="748" t="s">
        <v>1994</v>
      </c>
      <c r="D1011" s="748" t="s">
        <v>3746</v>
      </c>
      <c r="E1011" s="748" t="s">
        <v>3747</v>
      </c>
      <c r="F1011" s="748" t="s">
        <v>3753</v>
      </c>
    </row>
    <row r="1012" spans="1:6" ht="3.6" customHeight="1"/>
    <row r="1013" spans="1:6">
      <c r="A1013" s="748" t="s">
        <v>3748</v>
      </c>
      <c r="E1013" s="748">
        <f>D963</f>
        <v>3700000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2011-013 Ashley Auburn Pointe II ,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9000</v>
      </c>
      <c r="J1504" s="748">
        <f>'Part IV-Uses of Funds'!J8</f>
        <v>9000</v>
      </c>
      <c r="M1504" s="748">
        <f>'Part IV-Uses of Funds'!M8</f>
        <v>0</v>
      </c>
      <c r="P1504" s="748">
        <f>'Part IV-Uses of Funds'!P8</f>
        <v>0</v>
      </c>
      <c r="S1504" s="748">
        <f>'Part IV-Uses of Funds'!S8</f>
        <v>0</v>
      </c>
    </row>
    <row r="1505" spans="1:21" ht="12.6" customHeight="1">
      <c r="B1505" s="748" t="s">
        <v>671</v>
      </c>
      <c r="G1505" s="748">
        <f>'Part IV-Uses of Funds'!G9</f>
        <v>6500</v>
      </c>
      <c r="J1505" s="748">
        <f>'Part IV-Uses of Funds'!J9</f>
        <v>6500</v>
      </c>
      <c r="M1505" s="748">
        <f>'Part IV-Uses of Funds'!M9</f>
        <v>0</v>
      </c>
      <c r="P1505" s="748">
        <f>'Part IV-Uses of Funds'!P9</f>
        <v>0</v>
      </c>
      <c r="S1505" s="748">
        <f>'Part IV-Uses of Funds'!S9</f>
        <v>0</v>
      </c>
    </row>
    <row r="1506" spans="1:21" ht="12.6" customHeight="1">
      <c r="B1506" s="748" t="s">
        <v>717</v>
      </c>
      <c r="G1506" s="748">
        <f>'Part IV-Uses of Funds'!G10</f>
        <v>20000</v>
      </c>
      <c r="J1506" s="748">
        <f>'Part IV-Uses of Funds'!J10</f>
        <v>20000</v>
      </c>
      <c r="M1506" s="748">
        <f>'Part IV-Uses of Funds'!M10</f>
        <v>0</v>
      </c>
      <c r="P1506" s="748">
        <f>'Part IV-Uses of Funds'!P10</f>
        <v>0</v>
      </c>
      <c r="S1506" s="748">
        <f>'Part IV-Uses of Funds'!S10</f>
        <v>0</v>
      </c>
    </row>
    <row r="1507" spans="1:21" ht="12.6" customHeight="1">
      <c r="B1507" s="748" t="s">
        <v>718</v>
      </c>
      <c r="G1507" s="748">
        <f>'Part IV-Uses of Funds'!G11</f>
        <v>30000</v>
      </c>
      <c r="J1507" s="748">
        <f>'Part IV-Uses of Funds'!J11</f>
        <v>30000</v>
      </c>
      <c r="M1507" s="748">
        <f>'Part IV-Uses of Funds'!M11</f>
        <v>0</v>
      </c>
      <c r="P1507" s="748">
        <f>'Part IV-Uses of Funds'!P11</f>
        <v>0</v>
      </c>
      <c r="S1507" s="748">
        <f>'Part IV-Uses of Funds'!S11</f>
        <v>0</v>
      </c>
    </row>
    <row r="1508" spans="1:21" ht="12.6" customHeight="1">
      <c r="B1508" s="748" t="s">
        <v>3779</v>
      </c>
      <c r="G1508" s="748">
        <f>'Part IV-Uses of Funds'!G12</f>
        <v>30000</v>
      </c>
      <c r="J1508" s="748">
        <f>'Part IV-Uses of Funds'!J12</f>
        <v>30000</v>
      </c>
      <c r="M1508" s="748">
        <f>'Part IV-Uses of Funds'!M12</f>
        <v>0</v>
      </c>
      <c r="P1508" s="748">
        <f>'Part IV-Uses of Funds'!P12</f>
        <v>0</v>
      </c>
      <c r="S1508" s="748">
        <f>'Part IV-Uses of Funds'!S12</f>
        <v>0</v>
      </c>
    </row>
    <row r="1509" spans="1:21" ht="12.6" customHeight="1">
      <c r="B1509" s="748" t="s">
        <v>248</v>
      </c>
      <c r="G1509" s="748">
        <f>'Part IV-Uses of Funds'!G13</f>
        <v>5000</v>
      </c>
      <c r="J1509" s="748">
        <f>'Part IV-Uses of Funds'!J13</f>
        <v>5000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Masterplanning</v>
      </c>
      <c r="G1510" s="748">
        <f>'Part IV-Uses of Funds'!G14</f>
        <v>15695</v>
      </c>
      <c r="J1510" s="748">
        <f>'Part IV-Uses of Funds'!J14</f>
        <v>15695</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AHA PreDev Loan Fee, Prepaid Const. Int., Insp Fee, &amp; Loan Fees</v>
      </c>
      <c r="G1511" s="748">
        <f>'Part IV-Uses of Funds'!G15</f>
        <v>402956</v>
      </c>
      <c r="J1511" s="748">
        <f>'Part IV-Uses of Funds'!J15</f>
        <v>25055</v>
      </c>
      <c r="M1511" s="748">
        <f>'Part IV-Uses of Funds'!M15</f>
        <v>0</v>
      </c>
      <c r="P1511" s="748">
        <f>'Part IV-Uses of Funds'!P15</f>
        <v>0</v>
      </c>
      <c r="S1511" s="748">
        <f>'Part IV-Uses of Funds'!S15</f>
        <v>377901</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f>'Part IV-Uses of Funds'!C16</f>
        <v>0</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519151</v>
      </c>
      <c r="J1513" s="748">
        <f>SUM(J1504:K1512)</f>
        <v>141250</v>
      </c>
      <c r="M1513" s="748">
        <f>SUM(M1504:N1512)</f>
        <v>0</v>
      </c>
      <c r="P1513" s="748">
        <f>SUM(P1504:Q1512)</f>
        <v>0</v>
      </c>
      <c r="S1513" s="748">
        <f>SUM(S1504:T1512)</f>
        <v>377901</v>
      </c>
    </row>
    <row r="1514" spans="1:21" ht="13.15" customHeight="1">
      <c r="B1514" s="748" t="s">
        <v>3305</v>
      </c>
      <c r="O1514" s="748" t="str">
        <f>B1514</f>
        <v>ACQUISITION</v>
      </c>
    </row>
    <row r="1515" spans="1:21" ht="12.6" customHeight="1">
      <c r="B1515" s="748" t="s">
        <v>3306</v>
      </c>
      <c r="G1515" s="748">
        <f>'Part IV-Uses of Funds'!G19</f>
        <v>0</v>
      </c>
      <c r="S1515" s="748">
        <f>'Part IV-Uses of Funds'!S19</f>
        <v>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0</v>
      </c>
      <c r="M1519" s="748">
        <f>SUM(M1517:N1518)</f>
        <v>0</v>
      </c>
      <c r="S1519" s="748">
        <f>SUM(S1515:T1518)</f>
        <v>0</v>
      </c>
    </row>
    <row r="1520" spans="1:21" ht="13.15" customHeight="1">
      <c r="B1520" s="748" t="s">
        <v>1751</v>
      </c>
      <c r="O1520" s="748" t="str">
        <f>B1520</f>
        <v>LAND IMPROVEMENTS</v>
      </c>
    </row>
    <row r="1521" spans="2:19" ht="12.6" customHeight="1">
      <c r="B1521" s="748" t="s">
        <v>1752</v>
      </c>
      <c r="G1521" s="748">
        <f>'Part IV-Uses of Funds'!G25</f>
        <v>1400815</v>
      </c>
      <c r="J1521" s="748">
        <f>'Part IV-Uses of Funds'!J25</f>
        <v>1120652</v>
      </c>
      <c r="M1521" s="748">
        <f>'Part IV-Uses of Funds'!M25</f>
        <v>0</v>
      </c>
      <c r="P1521" s="748">
        <f>'Part IV-Uses of Funds'!P25</f>
        <v>0</v>
      </c>
      <c r="S1521" s="748">
        <f>'Part IV-Uses of Funds'!S25</f>
        <v>280163</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1400815</v>
      </c>
      <c r="J1523" s="748">
        <f>SUM(J1521:K1522)</f>
        <v>1120652</v>
      </c>
      <c r="M1523" s="748">
        <f>M1521</f>
        <v>0</v>
      </c>
      <c r="P1523" s="748">
        <f>P1521</f>
        <v>0</v>
      </c>
      <c r="S1523" s="748">
        <f>SUM(S1521:T1522)</f>
        <v>280163</v>
      </c>
    </row>
    <row r="1524" spans="2:19" ht="13.15" customHeight="1">
      <c r="B1524" s="748" t="s">
        <v>1754</v>
      </c>
      <c r="O1524" s="748" t="str">
        <f>B1524</f>
        <v>STRUCTURES</v>
      </c>
    </row>
    <row r="1525" spans="2:19" ht="12.6" customHeight="1">
      <c r="B1525" s="748" t="s">
        <v>1755</v>
      </c>
      <c r="G1525" s="748">
        <f>'Part IV-Uses of Funds'!G29</f>
        <v>9947021</v>
      </c>
      <c r="J1525" s="748">
        <f>'Part IV-Uses of Funds'!J29</f>
        <v>9947021</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9947021</v>
      </c>
      <c r="J1528" s="748">
        <f>SUM(J1525:K1527)</f>
        <v>9947021</v>
      </c>
      <c r="M1528" s="748">
        <f>SUM(M1525:N1527)</f>
        <v>0</v>
      </c>
      <c r="P1528" s="748">
        <f>SUM(P1525:Q1527)</f>
        <v>0</v>
      </c>
      <c r="S1528" s="748">
        <f>SUM(S1525:T1527)</f>
        <v>0</v>
      </c>
    </row>
    <row r="1529" spans="2:19" ht="13.15"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680870</v>
      </c>
      <c r="J1530" s="748">
        <f>'Part IV-Uses of Funds'!J34</f>
        <v>680870</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907827</v>
      </c>
      <c r="J1531" s="748">
        <f>'Part IV-Uses of Funds'!J35</f>
        <v>907827</v>
      </c>
      <c r="M1531" s="748">
        <f>'Part IV-Uses of Funds'!M35</f>
        <v>0</v>
      </c>
      <c r="P1531" s="748">
        <f>'Part IV-Uses of Funds'!P35</f>
        <v>0</v>
      </c>
      <c r="S1531" s="748">
        <f>'Part IV-Uses of Funds'!S35</f>
        <v>0</v>
      </c>
    </row>
    <row r="1532" spans="2:19" ht="12.6" customHeight="1">
      <c r="B1532" s="748" t="s">
        <v>3131</v>
      </c>
      <c r="F1532" s="748" t="s">
        <v>249</v>
      </c>
      <c r="G1532" s="748">
        <f>SUM(G1530:H1531)</f>
        <v>1588697</v>
      </c>
      <c r="J1532" s="748">
        <f>SUM(J1530:K1531)</f>
        <v>1588697</v>
      </c>
      <c r="M1532" s="748">
        <f>SUM(M1530:N1531)</f>
        <v>0</v>
      </c>
      <c r="P1532" s="748">
        <f>SUM(P1530:Q1531)</f>
        <v>0</v>
      </c>
      <c r="S1532" s="748">
        <f>SUM(S1530:T1531)</f>
        <v>0</v>
      </c>
    </row>
    <row r="1533" spans="2:19" ht="6" customHeight="1"/>
    <row r="1534" spans="2:19" ht="12.6" customHeight="1">
      <c r="B1534" s="748" t="s">
        <v>1760</v>
      </c>
      <c r="D1534" s="748">
        <f>B1535/'Part VI-Revenues &amp; Expenses'!$M$63</f>
        <v>86243.55333333333</v>
      </c>
      <c r="F1534" s="748" t="s">
        <v>2110</v>
      </c>
    </row>
    <row r="1535" spans="2:19" ht="12.6" customHeight="1">
      <c r="B1535" s="748">
        <f>G1523+G1528+G1532</f>
        <v>12936533</v>
      </c>
      <c r="D1535" s="748">
        <f>B1535/'Part VI-Revenues &amp; Expenses'!$M$98</f>
        <v>88.004823194873396</v>
      </c>
      <c r="F1535" s="748" t="s">
        <v>1337</v>
      </c>
    </row>
    <row r="1536" spans="2:19" ht="6" customHeight="1"/>
    <row r="1537" spans="1:21" ht="13.15" customHeight="1">
      <c r="B1537" s="748" t="s">
        <v>1758</v>
      </c>
      <c r="O1537" s="748" t="str">
        <f>B1537</f>
        <v>CONSTRUCTION CONTINGENCY</v>
      </c>
    </row>
    <row r="1538" spans="1:21" ht="12.6" customHeight="1">
      <c r="B1538" s="748" t="s">
        <v>3038</v>
      </c>
      <c r="F1538" s="748" t="e">
        <f>G1538/$B$39</f>
        <v>#DIV/0!</v>
      </c>
      <c r="G1538" s="748">
        <f>'Part IV-Uses of Funds'!G42</f>
        <v>500000</v>
      </c>
      <c r="J1538" s="748">
        <f>'Part IV-Uses of Funds'!J42</f>
        <v>500000</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3495</v>
      </c>
      <c r="G1544" s="748">
        <f>'Part IV-Uses of Funds'!G48</f>
        <v>129500</v>
      </c>
      <c r="J1544" s="748">
        <f>'Part IV-Uses of Funds'!J48</f>
        <v>2056</v>
      </c>
      <c r="M1544" s="748">
        <f>'Part IV-Uses of Funds'!M48</f>
        <v>0</v>
      </c>
      <c r="P1544" s="748">
        <f>'Part IV-Uses of Funds'!P48</f>
        <v>0</v>
      </c>
      <c r="S1544" s="748">
        <f>'Part IV-Uses of Funds'!S48</f>
        <v>127444</v>
      </c>
    </row>
    <row r="1545" spans="1:21" ht="13.15" customHeight="1">
      <c r="B1545" s="748" t="s">
        <v>3496</v>
      </c>
      <c r="G1545" s="748">
        <f>'Part IV-Uses of Funds'!G49</f>
        <v>185000</v>
      </c>
      <c r="J1545" s="748">
        <f>'Part IV-Uses of Funds'!J49</f>
        <v>68735</v>
      </c>
      <c r="M1545" s="748">
        <f>'Part IV-Uses of Funds'!M49</f>
        <v>0</v>
      </c>
      <c r="P1545" s="748">
        <f>'Part IV-Uses of Funds'!P49</f>
        <v>0</v>
      </c>
      <c r="S1545" s="748">
        <f>'Part IV-Uses of Funds'!S49</f>
        <v>116265</v>
      </c>
    </row>
    <row r="1546" spans="1:21" ht="13.15" customHeight="1">
      <c r="B1546" s="748" t="s">
        <v>3497</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1092</v>
      </c>
      <c r="G1547" s="748">
        <f>'Part IV-Uses of Funds'!G51</f>
        <v>0</v>
      </c>
      <c r="J1547" s="748">
        <f>'Part IV-Uses of Funds'!J51</f>
        <v>0</v>
      </c>
      <c r="M1547" s="748">
        <f>'Part IV-Uses of Funds'!M51</f>
        <v>0</v>
      </c>
      <c r="P1547" s="748">
        <f>'Part IV-Uses of Funds'!P51</f>
        <v>0</v>
      </c>
      <c r="S1547" s="748">
        <f>'Part IV-Uses of Funds'!S51</f>
        <v>0</v>
      </c>
    </row>
    <row r="1548" spans="1:21" ht="13.15" customHeight="1">
      <c r="B1548" s="748" t="s">
        <v>3498</v>
      </c>
      <c r="G1548" s="748">
        <f>'Part IV-Uses of Funds'!G52</f>
        <v>90155</v>
      </c>
      <c r="J1548" s="748">
        <f>'Part IV-Uses of Funds'!J52</f>
        <v>58155</v>
      </c>
      <c r="M1548" s="748">
        <f>'Part IV-Uses of Funds'!M52</f>
        <v>0</v>
      </c>
      <c r="P1548" s="748">
        <f>'Part IV-Uses of Funds'!P52</f>
        <v>0</v>
      </c>
      <c r="S1548" s="748">
        <f>'Part IV-Uses of Funds'!S52</f>
        <v>32000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94860</v>
      </c>
      <c r="J1550" s="748">
        <f>'Part IV-Uses of Funds'!J54</f>
        <v>94860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GC Cost Certification</v>
      </c>
      <c r="G1551" s="748">
        <f>'Part IV-Uses of Funds'!G55</f>
        <v>12500</v>
      </c>
      <c r="J1551" s="748">
        <f>'Part IV-Uses of Funds'!J55</f>
        <v>12500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512015</v>
      </c>
      <c r="J1552" s="748">
        <f>SUM(J1544:K1551)</f>
        <v>236306</v>
      </c>
      <c r="M1552" s="748">
        <f>SUM(M1544:N1551)</f>
        <v>0</v>
      </c>
      <c r="P1552" s="748">
        <f>SUM(P1544:Q1551)</f>
        <v>0</v>
      </c>
      <c r="S1552" s="748">
        <f>SUM(S1544:T1551)</f>
        <v>275709</v>
      </c>
    </row>
    <row r="1553" spans="1:21" ht="13.15" customHeight="1">
      <c r="B1553" s="748" t="s">
        <v>704</v>
      </c>
      <c r="O1553" s="748" t="str">
        <f>B1553</f>
        <v>PROFESSIONAL SERVICES</v>
      </c>
    </row>
    <row r="1554" spans="1:21" ht="13.15" customHeight="1">
      <c r="B1554" s="748" t="s">
        <v>705</v>
      </c>
      <c r="G1554" s="748">
        <f>'Part IV-Uses of Funds'!G58</f>
        <v>374120</v>
      </c>
      <c r="J1554" s="748">
        <f>'Part IV-Uses of Funds'!J58</f>
        <v>374120</v>
      </c>
      <c r="M1554" s="748">
        <f>'Part IV-Uses of Funds'!M58</f>
        <v>0</v>
      </c>
      <c r="P1554" s="748">
        <f>'Part IV-Uses of Funds'!P58</f>
        <v>0</v>
      </c>
      <c r="S1554" s="748">
        <f>'Part IV-Uses of Funds'!S58</f>
        <v>0</v>
      </c>
    </row>
    <row r="1555" spans="1:21" ht="13.15" customHeight="1">
      <c r="B1555" s="748" t="s">
        <v>706</v>
      </c>
      <c r="G1555" s="748">
        <f>'Part IV-Uses of Funds'!G59</f>
        <v>93530</v>
      </c>
      <c r="J1555" s="748">
        <f>'Part IV-Uses of Funds'!J59</f>
        <v>93530</v>
      </c>
      <c r="M1555" s="748">
        <f>'Part IV-Uses of Funds'!M59</f>
        <v>0</v>
      </c>
      <c r="P1555" s="748">
        <f>'Part IV-Uses of Funds'!P59</f>
        <v>0</v>
      </c>
      <c r="S1555" s="748">
        <f>'Part IV-Uses of Funds'!S59</f>
        <v>0</v>
      </c>
    </row>
    <row r="1556" spans="1:21" ht="13.15" customHeight="1">
      <c r="B1556" s="748" t="s">
        <v>1761</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1762</v>
      </c>
      <c r="G1557" s="748">
        <f>'Part IV-Uses of Funds'!G61</f>
        <v>30000</v>
      </c>
      <c r="J1557" s="748">
        <f>'Part IV-Uses of Funds'!J61</f>
        <v>30000</v>
      </c>
      <c r="M1557" s="748">
        <f>'Part IV-Uses of Funds'!M61</f>
        <v>0</v>
      </c>
      <c r="P1557" s="748">
        <f>'Part IV-Uses of Funds'!P61</f>
        <v>0</v>
      </c>
      <c r="S1557" s="748">
        <f>'Part IV-Uses of Funds'!S61</f>
        <v>0</v>
      </c>
    </row>
    <row r="1558" spans="1:21" ht="13.15" customHeight="1">
      <c r="B1558" s="748" t="s">
        <v>1763</v>
      </c>
      <c r="G1558" s="748">
        <f>'Part IV-Uses of Funds'!G62</f>
        <v>7200</v>
      </c>
      <c r="J1558" s="748">
        <f>'Part IV-Uses of Funds'!J62</f>
        <v>7200</v>
      </c>
      <c r="M1558" s="748">
        <f>'Part IV-Uses of Funds'!M62</f>
        <v>0</v>
      </c>
      <c r="P1558" s="748">
        <f>'Part IV-Uses of Funds'!P62</f>
        <v>0</v>
      </c>
      <c r="S1558" s="748">
        <f>'Part IV-Uses of Funds'!S62</f>
        <v>0</v>
      </c>
    </row>
    <row r="1559" spans="1:21" ht="13.15" customHeight="1">
      <c r="B1559" s="748" t="s">
        <v>1764</v>
      </c>
      <c r="G1559" s="748">
        <f>'Part IV-Uses of Funds'!G63</f>
        <v>28000</v>
      </c>
      <c r="J1559" s="748">
        <f>'Part IV-Uses of Funds'!J63</f>
        <v>28000</v>
      </c>
      <c r="M1559" s="748">
        <f>'Part IV-Uses of Funds'!M63</f>
        <v>0</v>
      </c>
      <c r="P1559" s="748">
        <f>'Part IV-Uses of Funds'!P63</f>
        <v>0</v>
      </c>
      <c r="S1559" s="748">
        <f>'Part IV-Uses of Funds'!S63</f>
        <v>0</v>
      </c>
    </row>
    <row r="1560" spans="1:21" ht="13.15" customHeight="1">
      <c r="B1560" s="748" t="s">
        <v>707</v>
      </c>
      <c r="G1560" s="748">
        <f>'Part IV-Uses of Funds'!G64</f>
        <v>90662</v>
      </c>
      <c r="J1560" s="748">
        <f>'Part IV-Uses of Funds'!J64</f>
        <v>90662</v>
      </c>
      <c r="M1560" s="748">
        <f>'Part IV-Uses of Funds'!M64</f>
        <v>0</v>
      </c>
      <c r="P1560" s="748">
        <f>'Part IV-Uses of Funds'!P64</f>
        <v>0</v>
      </c>
      <c r="S1560" s="748">
        <f>'Part IV-Uses of Funds'!S64</f>
        <v>0</v>
      </c>
    </row>
    <row r="1561" spans="1:21" ht="13.15" customHeight="1">
      <c r="B1561" s="748" t="s">
        <v>708</v>
      </c>
      <c r="G1561" s="748">
        <f>'Part IV-Uses of Funds'!G65</f>
        <v>200000</v>
      </c>
      <c r="J1561" s="748">
        <f>'Part IV-Uses of Funds'!J65</f>
        <v>52381</v>
      </c>
      <c r="M1561" s="748">
        <f>'Part IV-Uses of Funds'!M65</f>
        <v>0</v>
      </c>
      <c r="P1561" s="748">
        <f>'Part IV-Uses of Funds'!P65</f>
        <v>0</v>
      </c>
      <c r="S1561" s="748">
        <f>'Part IV-Uses of Funds'!S65</f>
        <v>147619</v>
      </c>
    </row>
    <row r="1562" spans="1:21" ht="13.15" customHeight="1">
      <c r="B1562" s="748" t="s">
        <v>3141</v>
      </c>
      <c r="G1562" s="748">
        <f>'Part IV-Uses of Funds'!G66</f>
        <v>38000</v>
      </c>
      <c r="J1562" s="748">
        <f>'Part IV-Uses of Funds'!J66</f>
        <v>38000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Additional Professional Fees - Noise Study</v>
      </c>
      <c r="G1563" s="748">
        <f>'Part IV-Uses of Funds'!G67</f>
        <v>4800</v>
      </c>
      <c r="J1563" s="748">
        <f>'Part IV-Uses of Funds'!J67</f>
        <v>4800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866312</v>
      </c>
      <c r="J1564" s="748">
        <f>SUM(J1554:K1563)</f>
        <v>718693</v>
      </c>
      <c r="M1564" s="748">
        <f>SUM(M1554:N1563)</f>
        <v>0</v>
      </c>
      <c r="P1564" s="748">
        <f>SUM(P1554:Q1563)</f>
        <v>0</v>
      </c>
      <c r="S1564" s="748">
        <f>SUM(S1554:T1563)</f>
        <v>147619</v>
      </c>
    </row>
    <row r="1565" spans="1:21" ht="13.15" customHeight="1">
      <c r="B1565" s="748" t="s">
        <v>1953</v>
      </c>
      <c r="O1565" s="748" t="str">
        <f>B1565</f>
        <v>LOCAL GOVERNMENT FEES</v>
      </c>
    </row>
    <row r="1566" spans="1:21" ht="13.15" customHeight="1">
      <c r="B1566" s="748" t="s">
        <v>1954</v>
      </c>
      <c r="G1566" s="748">
        <f>'Part IV-Uses of Funds'!G70</f>
        <v>66075</v>
      </c>
      <c r="J1566" s="748">
        <f>'Part IV-Uses of Funds'!J70</f>
        <v>66075</v>
      </c>
      <c r="M1566" s="748">
        <f>'Part IV-Uses of Funds'!M70</f>
        <v>0</v>
      </c>
      <c r="P1566" s="748">
        <f>'Part IV-Uses of Funds'!P70</f>
        <v>0</v>
      </c>
      <c r="S1566" s="748">
        <f>'Part IV-Uses of Funds'!S70</f>
        <v>0</v>
      </c>
    </row>
    <row r="1567" spans="1:21" ht="13.15" customHeight="1">
      <c r="B1567" s="748" t="s">
        <v>1955</v>
      </c>
      <c r="G1567" s="748">
        <f>'Part IV-Uses of Funds'!G71</f>
        <v>131946</v>
      </c>
      <c r="J1567" s="748">
        <f>'Part IV-Uses of Funds'!J71</f>
        <v>131946</v>
      </c>
      <c r="M1567" s="748">
        <f>'Part IV-Uses of Funds'!M71</f>
        <v>0</v>
      </c>
      <c r="P1567" s="748">
        <f>'Part IV-Uses of Funds'!P71</f>
        <v>0</v>
      </c>
      <c r="S1567" s="748">
        <f>'Part IV-Uses of Funds'!S71</f>
        <v>0</v>
      </c>
    </row>
    <row r="1568" spans="1:21" ht="13.15" customHeight="1">
      <c r="B1568" s="748" t="s">
        <v>1956</v>
      </c>
      <c r="D1568" s="748" t="s">
        <v>2111</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1957</v>
      </c>
      <c r="D1569" s="748" t="s">
        <v>2111</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198021</v>
      </c>
      <c r="J1570" s="748">
        <f>SUM(J1566:K1569)</f>
        <v>198021</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0</v>
      </c>
      <c r="S1572" s="748">
        <f>'Part IV-Uses of Funds'!S76</f>
        <v>0</v>
      </c>
    </row>
    <row r="1573" spans="1:21" ht="13.15" customHeight="1">
      <c r="B1573" s="748" t="s">
        <v>1959</v>
      </c>
      <c r="G1573" s="748">
        <f>'Part IV-Uses of Funds'!G77</f>
        <v>0</v>
      </c>
      <c r="S1573" s="748">
        <f>'Part IV-Uses of Funds'!S77</f>
        <v>0</v>
      </c>
    </row>
    <row r="1574" spans="1:21" ht="13.15" customHeight="1">
      <c r="B1574" s="748" t="s">
        <v>1960</v>
      </c>
      <c r="G1574" s="748">
        <f>'Part IV-Uses of Funds'!G78</f>
        <v>75000</v>
      </c>
      <c r="J1574" s="748">
        <f>'Part IV-Uses of Funds'!J78</f>
        <v>75000</v>
      </c>
      <c r="M1574" s="748">
        <f>'Part IV-Uses of Funds'!M78</f>
        <v>0</v>
      </c>
      <c r="P1574" s="748">
        <f>'Part IV-Uses of Funds'!P78</f>
        <v>0</v>
      </c>
      <c r="S1574" s="748">
        <f>'Part IV-Uses of Funds'!S78</f>
        <v>0</v>
      </c>
    </row>
    <row r="1575" spans="1:21" ht="13.15" customHeight="1">
      <c r="B1575" s="748" t="s">
        <v>1961</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FHA &amp; Other Financing Fees</v>
      </c>
      <c r="G1578" s="748">
        <f>'Part IV-Uses of Funds'!G82</f>
        <v>80400</v>
      </c>
      <c r="J1578" s="748">
        <f>'Part IV-Uses of Funds'!J82</f>
        <v>19483</v>
      </c>
      <c r="M1578" s="748">
        <f>'Part IV-Uses of Funds'!M82</f>
        <v>0</v>
      </c>
      <c r="P1578" s="748">
        <f>'Part IV-Uses of Funds'!P82</f>
        <v>0</v>
      </c>
      <c r="S1578" s="748">
        <f>'Part IV-Uses of Funds'!S82</f>
        <v>60917</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165400</v>
      </c>
      <c r="J1579" s="748">
        <f>SUM(J1574:K1578)</f>
        <v>104483</v>
      </c>
      <c r="M1579" s="748">
        <f>SUM(M1574:N1578)</f>
        <v>0</v>
      </c>
      <c r="P1579" s="748">
        <f>SUM(P1574:Q1578)</f>
        <v>0</v>
      </c>
      <c r="S1579" s="748">
        <f>SUM(S1572:T1578)</f>
        <v>60917</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64400</v>
      </c>
      <c r="S1588" s="748">
        <f>'Part IV-Uses of Funds'!S92</f>
        <v>64400</v>
      </c>
    </row>
    <row r="1589" spans="1:21" ht="12.6" customHeight="1">
      <c r="B1589" s="748" t="s">
        <v>1244</v>
      </c>
      <c r="E1589" s="748">
        <f>'Part VI-Revenues &amp; Expenses'!$M$63*'DCA Underwriting Assumptions'!$Q$44</f>
        <v>105000</v>
      </c>
      <c r="G1589" s="748">
        <f>'Part IV-Uses of Funds'!G93</f>
        <v>105000</v>
      </c>
      <c r="S1589" s="748">
        <f>'Part IV-Uses of Funds'!S93</f>
        <v>105000</v>
      </c>
    </row>
    <row r="1590" spans="1:21" ht="12.6" customHeight="1">
      <c r="B1590" s="748" t="s">
        <v>715</v>
      </c>
      <c r="G1590" s="748">
        <f>'Part IV-Uses of Funds'!G94</f>
        <v>2700</v>
      </c>
      <c r="S1590" s="748">
        <f>'Part IV-Uses of Funds'!S94</f>
        <v>2700</v>
      </c>
    </row>
    <row r="1591" spans="1:21" ht="12.6" customHeight="1">
      <c r="B1591" s="748" t="s">
        <v>3552</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179100</v>
      </c>
      <c r="S1594" s="748">
        <f>SUM(S1585:T1593)</f>
        <v>179100</v>
      </c>
    </row>
    <row r="1595" spans="1:21" ht="13.15" customHeight="1">
      <c r="B1595" s="748" t="s">
        <v>3439</v>
      </c>
      <c r="O1595" s="748" t="str">
        <f>B1595</f>
        <v>EQUITY COSTS</v>
      </c>
    </row>
    <row r="1596" spans="1:21" ht="12.6" customHeight="1">
      <c r="B1596" s="748" t="s">
        <v>370</v>
      </c>
      <c r="G1596" s="748">
        <f>'Part IV-Uses of Funds'!G100</f>
        <v>20000</v>
      </c>
      <c r="S1596" s="748">
        <f>'Part IV-Uses of Funds'!S100</f>
        <v>20000</v>
      </c>
    </row>
    <row r="1597" spans="1:21" ht="12.6" customHeight="1">
      <c r="B1597" s="748" t="s">
        <v>372</v>
      </c>
      <c r="G1597" s="748">
        <f>'Part IV-Uses of Funds'!G101</f>
        <v>0</v>
      </c>
      <c r="S1597" s="748">
        <f>'Part IV-Uses of Funds'!S101</f>
        <v>0</v>
      </c>
    </row>
    <row r="1598" spans="1:21" ht="12.6" customHeight="1">
      <c r="B1598" s="748" t="s">
        <v>3614</v>
      </c>
      <c r="G1598" s="748">
        <f>'Part IV-Uses of Funds'!G102</f>
        <v>40000</v>
      </c>
      <c r="S1598" s="748">
        <f>'Part IV-Uses of Funds'!S102</f>
        <v>40000</v>
      </c>
    </row>
    <row r="1599" spans="1:21" ht="12.6" customHeight="1">
      <c r="A1599" s="748" t="str">
        <f>IF(AND(G1599&gt;0,OR(C1599="",C1599="&lt;Enter detailed description here; use Comments section if needed&gt;")),"X","")</f>
        <v/>
      </c>
      <c r="B1599" s="748" t="s">
        <v>1230</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60000</v>
      </c>
      <c r="S1600" s="748">
        <f>SUM(S1596:T1599)</f>
        <v>60000</v>
      </c>
    </row>
    <row r="1601" spans="1:21" ht="13.15" customHeight="1">
      <c r="B1601" s="748" t="s">
        <v>373</v>
      </c>
      <c r="O1601" s="748" t="str">
        <f>B1601</f>
        <v>DEVELOPER'S FEE</v>
      </c>
    </row>
    <row r="1602" spans="1:21" ht="12.6" customHeight="1">
      <c r="B1602" s="748" t="s">
        <v>2915</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1800000</v>
      </c>
      <c r="J1604" s="748">
        <f>'Part IV-Uses of Funds'!J108</f>
        <v>1800000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1800000</v>
      </c>
      <c r="J1605" s="748">
        <f>SUM(J1602:K1604)</f>
        <v>1800000</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100000</v>
      </c>
      <c r="S1607" s="748">
        <f>'Part IV-Uses of Funds'!S111</f>
        <v>100000</v>
      </c>
    </row>
    <row r="1608" spans="1:21" ht="12.6" customHeight="1">
      <c r="B1608" s="748" t="s">
        <v>2287</v>
      </c>
      <c r="G1608" s="748">
        <f>'Part IV-Uses of Funds'!G112</f>
        <v>199597</v>
      </c>
      <c r="S1608" s="748">
        <f>'Part IV-Uses of Funds'!S112</f>
        <v>199597</v>
      </c>
    </row>
    <row r="1609" spans="1:21" ht="12.6" customHeight="1">
      <c r="B1609" s="748" t="s">
        <v>1028</v>
      </c>
      <c r="G1609" s="748">
        <f>'Part IV-Uses of Funds'!G113</f>
        <v>521341.4282140992</v>
      </c>
      <c r="S1609" s="748">
        <f>'Part IV-Uses of Funds'!S113</f>
        <v>521341.4282140992</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1233.3333333333333</v>
      </c>
      <c r="G1611" s="748">
        <f>'Part IV-Uses of Funds'!G115</f>
        <v>185000</v>
      </c>
      <c r="J1611" s="748">
        <f>'Part IV-Uses of Funds'!J115</f>
        <v>185000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Working Capital (4% of 1st Mortgage Loan)</v>
      </c>
      <c r="G1612" s="748">
        <f>'Part IV-Uses of Funds'!G116</f>
        <v>148000</v>
      </c>
      <c r="J1612" s="748">
        <f>'Part IV-Uses of Funds'!J116</f>
        <v>0</v>
      </c>
      <c r="M1612" s="748">
        <f>'Part IV-Uses of Funds'!M116</f>
        <v>0</v>
      </c>
      <c r="P1612" s="748">
        <f>'Part IV-Uses of Funds'!P116</f>
        <v>0</v>
      </c>
      <c r="S1612" s="748">
        <f>'Part IV-Uses of Funds'!S116</f>
        <v>148000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1153938.4282140993</v>
      </c>
      <c r="J1613" s="748">
        <f>SUM(J1611:K1612)</f>
        <v>185000</v>
      </c>
      <c r="M1613" s="748">
        <f>SUM(M1611:N1612)</f>
        <v>0</v>
      </c>
      <c r="P1613" s="748">
        <f>SUM(P1611:Q1612)</f>
        <v>0</v>
      </c>
      <c r="S1613" s="748">
        <f>SUM(S1607:T1612)</f>
        <v>968938.42821409926</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18890470.428214099</v>
      </c>
      <c r="J1619" s="748">
        <f>J1513+J1519+J1523+J1528+J1532+J1538+J1552+J1564+J1570+J1579+J1594+J1600+J1605+J1613+J1617</f>
        <v>16540123</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2350347.4282140993</v>
      </c>
    </row>
    <row r="1620" spans="1:19" ht="3" customHeight="1"/>
    <row r="1621" spans="1:19" ht="13.9" customHeight="1">
      <c r="B1621" s="748" t="s">
        <v>3895</v>
      </c>
      <c r="D1621" s="748">
        <f>IF(AND($T$155 = "Yes", 'Part IX A-Scoring Criteria'!$O$176 &gt; 0),'DCA Underwriting Assumptions'!$R$13, IF(AND('Part IV-Uses of Funds'!$T$156="Yes", 'Part IX A-Scoring Criteria'!$O$74&gt;0),'DCA Underwriting Assumptions'!$R$12, 'DCA Underwriting Assumptions'!$R$11))</f>
        <v>22256390</v>
      </c>
      <c r="F1621" s="748" t="s">
        <v>1038</v>
      </c>
      <c r="G1621" s="748">
        <f>G1619/'Part VI-Revenues &amp; Expenses'!$M$63</f>
        <v>125936.46952142732</v>
      </c>
      <c r="J1621" s="748" t="s">
        <v>1039</v>
      </c>
      <c r="M1621" s="748">
        <f>G1619/'Part VI-Revenues &amp; Expenses'!$M$98</f>
        <v>128.50834996540158</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3487</v>
      </c>
    </row>
    <row r="1636" spans="1:19" ht="13.9" customHeight="1">
      <c r="B1636" s="748" t="s">
        <v>2821</v>
      </c>
      <c r="J1636" s="748">
        <f>J1619</f>
        <v>16540123</v>
      </c>
      <c r="M1636" s="748">
        <f>M1619</f>
        <v>0</v>
      </c>
      <c r="P1636" s="748">
        <f>P1619</f>
        <v>0</v>
      </c>
    </row>
    <row r="1637" spans="1:19" ht="13.9" customHeight="1">
      <c r="B1637" s="748" t="s">
        <v>3343</v>
      </c>
      <c r="J1637" s="748">
        <f>J1633</f>
        <v>0</v>
      </c>
      <c r="P1637" s="748">
        <f>P1633</f>
        <v>0</v>
      </c>
    </row>
    <row r="1638" spans="1:19" ht="13.9" customHeight="1">
      <c r="B1638" s="748" t="s">
        <v>3344</v>
      </c>
      <c r="J1638" s="748">
        <f>J1636-J1637</f>
        <v>16540123</v>
      </c>
      <c r="M1638" s="748">
        <f>M1636</f>
        <v>0</v>
      </c>
      <c r="P1638" s="748">
        <f>P1636-P1637</f>
        <v>0</v>
      </c>
    </row>
    <row r="1639" spans="1:19" ht="13.9" customHeight="1">
      <c r="B1639" s="748" t="s">
        <v>2228</v>
      </c>
      <c r="G1639" s="748" t="s">
        <v>2734</v>
      </c>
      <c r="H1639" s="748" t="str">
        <f>'Part IV-Uses of Funds'!H143</f>
        <v>DDA/QCT</v>
      </c>
      <c r="J1639" s="748">
        <f>'Part IV-Uses of Funds'!J143</f>
        <v>1.3</v>
      </c>
      <c r="P1639" s="748">
        <f>'Part IV-Uses of Funds'!P143</f>
        <v>0</v>
      </c>
    </row>
    <row r="1640" spans="1:19" ht="13.9" customHeight="1">
      <c r="B1640" s="748" t="s">
        <v>3150</v>
      </c>
      <c r="J1640" s="748">
        <f>J1638*J1639</f>
        <v>21502159.900000002</v>
      </c>
      <c r="M1640" s="748">
        <f>+M1638</f>
        <v>0</v>
      </c>
      <c r="P1640" s="748">
        <f>P1638*P1639</f>
        <v>0</v>
      </c>
    </row>
    <row r="1641" spans="1:19" ht="13.9" customHeight="1">
      <c r="B1641" s="748" t="s">
        <v>3839</v>
      </c>
      <c r="J1641" s="748">
        <f>MIN('Part VI-Revenues &amp; Expenses'!$M$59/'Part VI-Revenues &amp; Expenses'!$M$61,'Part VI-Revenues &amp; Expenses'!$M$94/'Part VI-Revenues &amp; Expenses'!$M$96)</f>
        <v>0.6</v>
      </c>
      <c r="M1641" s="748">
        <f>MIN('Part VI-Revenues &amp; Expenses'!$M$59/'Part VI-Revenues &amp; Expenses'!$M$61,'Part VI-Revenues &amp; Expenses'!$M$94/'Part VI-Revenues &amp; Expenses'!$M$96)</f>
        <v>0.6</v>
      </c>
      <c r="P1641" s="748">
        <f>MIN('Part VI-Revenues &amp; Expenses'!$M$59/'Part VI-Revenues &amp; Expenses'!$M$61,'Part VI-Revenues &amp; Expenses'!$M$94/'Part VI-Revenues &amp; Expenses'!$M$96)</f>
        <v>0.6</v>
      </c>
    </row>
    <row r="1642" spans="1:19" ht="13.9" customHeight="1">
      <c r="B1642" s="748" t="s">
        <v>3137</v>
      </c>
      <c r="J1642" s="748">
        <f>J1640*J1641</f>
        <v>12901295.940000001</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3840</v>
      </c>
      <c r="J1644" s="748">
        <f>J1642*J1643</f>
        <v>1161116.6346</v>
      </c>
      <c r="M1644" s="748">
        <f>M1642*M1643</f>
        <v>0</v>
      </c>
      <c r="P1644" s="748">
        <f>P1642*P1643</f>
        <v>0</v>
      </c>
    </row>
    <row r="1645" spans="1:19" ht="13.9" customHeight="1">
      <c r="B1645" s="748" t="s">
        <v>2143</v>
      </c>
      <c r="J1645" s="748">
        <f>J1644+M1644+P1644</f>
        <v>1161116.6346</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18890470.428214099</v>
      </c>
      <c r="M1648" s="748" t="s">
        <v>3644</v>
      </c>
    </row>
    <row r="1649" spans="1:20" ht="13.9" customHeight="1">
      <c r="B1649" s="748" t="s">
        <v>3603</v>
      </c>
      <c r="J1649" s="748">
        <f>'Part IV-Uses of Funds'!J153</f>
        <v>18890470</v>
      </c>
    </row>
    <row r="1650" spans="1:20" ht="13.9" customHeight="1">
      <c r="B1650" s="748" t="s">
        <v>341</v>
      </c>
      <c r="J1650" s="749">
        <f>'Part III A-Sources of Funds'!$H$49-'Part III A-Sources of Funds'!$H$37-'Part III A-Sources of Funds'!$H$40-'Part III A-Sources of Funds'!$H$41</f>
        <v>9200000</v>
      </c>
      <c r="T1650" s="748" t="s">
        <v>344</v>
      </c>
    </row>
    <row r="1651" spans="1:20" ht="13.9" customHeight="1">
      <c r="B1651" s="748" t="s">
        <v>3356</v>
      </c>
      <c r="J1651" s="748">
        <f>+J1649-J1650</f>
        <v>9690470</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969047</v>
      </c>
      <c r="N1653" s="748" t="s">
        <v>1988</v>
      </c>
      <c r="Q1653" s="748" t="s">
        <v>2830</v>
      </c>
    </row>
    <row r="1654" spans="1:20" ht="13.9" customHeight="1">
      <c r="B1654" s="748" t="s">
        <v>4134</v>
      </c>
      <c r="J1654" s="748">
        <f>N1654+Q1654</f>
        <v>1.05</v>
      </c>
      <c r="M1654" s="748" t="s">
        <v>1989</v>
      </c>
      <c r="N1654" s="748">
        <f>'Part IV-Uses of Funds'!N158</f>
        <v>0.8</v>
      </c>
      <c r="P1654" s="748" t="s">
        <v>945</v>
      </c>
      <c r="Q1654" s="748">
        <f>'Part IV-Uses of Funds'!Q158</f>
        <v>0.25</v>
      </c>
    </row>
    <row r="1655" spans="1:20" ht="13.9" customHeight="1">
      <c r="B1655" s="748" t="s">
        <v>2144</v>
      </c>
      <c r="J1655" s="748">
        <f>IF(J1654=0,"",J1653/J1654)</f>
        <v>922901.90476190473</v>
      </c>
    </row>
    <row r="1656" spans="1:20" ht="9" customHeight="1"/>
    <row r="1657" spans="1:20" ht="16.149999999999999" customHeight="1">
      <c r="B1657" s="748" t="s">
        <v>3604</v>
      </c>
      <c r="J1657" s="748">
        <f>+MIN(J1645,J1655,'DCA Underwriting Assumptions'!$R$6)</f>
        <v>922901.90476190473</v>
      </c>
    </row>
    <row r="1658" spans="1:20" ht="9.6" customHeight="1"/>
    <row r="1659" spans="1:20" ht="16.149999999999999" customHeight="1">
      <c r="B1659" s="748" t="s">
        <v>3605</v>
      </c>
      <c r="J1659" s="748">
        <f>'Part IV-Uses of Funds'!J163</f>
        <v>920000</v>
      </c>
      <c r="M1659" s="748" t="str">
        <f>IF(J1659&gt;J1657,"ALLOCATION CANNOT EXCEED MAXIMUM - REVISE ALLOCATION!","")</f>
        <v/>
      </c>
    </row>
    <row r="1660" spans="1:20" ht="9.6" customHeight="1"/>
    <row r="1661" spans="1:20" ht="16.149999999999999" customHeight="1">
      <c r="A1661" s="748" t="s">
        <v>2823</v>
      </c>
      <c r="B1661" s="748" t="s">
        <v>3606</v>
      </c>
      <c r="J1661" s="748">
        <f>+MIN(J1657,J1659)</f>
        <v>920000</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Construction hard costs were generated by our affiliate, IBG Construction Services, Inc (IBG).  IBG has years of General Contracting and Construction Management experience on similar projects with DCA.  They have estimated the construction cost using design specification assumptions based upon similar projects and requirements per the 2011 Architectural Manaual.  Pricing is based on current market conditions.  The Construction Cost estimate is included in Tab 8.</v>
      </c>
      <c r="K1665" s="748">
        <f>'Part IV-Uses of Funds'!K169</f>
        <v>0</v>
      </c>
    </row>
    <row r="1666" spans="1:12" ht="107.45" customHeight="1">
      <c r="A1666" s="748" t="str">
        <f>'Part IV-Uses of Funds'!A170</f>
        <v>Other Predevelopment costs include the financing costs of the second mortgage and predevelopment loans provided by the Atlanta Housing Authority.  The costs include a $10,000 predevelopment loan fee, $110,000 in financing fees,  $269,956 in construction interest, and $13,000 in inspection fees. A copy of the commitment letter is included in Tab 5.</v>
      </c>
      <c r="K1666" s="748">
        <f>'Part IV-Uses of Funds'!K170</f>
        <v>0</v>
      </c>
    </row>
    <row r="1667" spans="1:12" ht="107.45" customHeight="1">
      <c r="A1667" s="748" t="str">
        <f>'Part IV-Uses of Funds'!A171</f>
        <v>Construction Loan Fee includes 2.00% of financing fee and 1.5% of placement fee. Permanent FHA fees are included under "Other Permanent Financing Fees" and include FHA MIP, Exam, and Inspection Fees at 0.90%, 0.30%, and 0.50%, respectively, in addition to $15,000 of architectural review. These fees are stated in the Loan Commitment Letter from Oppenheimer Multifamily in Tab 5.  Construction Insurance includes Builder's Risk and first year Permanent Premiums, which are based on a quote from McGriff Seibels Williams located in Tab 8.  A $2700 Front End Analysis Fee is included per Q&amp;A#5 response #15 since an identity of interest exists with the contractor.</v>
      </c>
      <c r="K1667" s="748">
        <f>'Part IV-Uses of Funds'!K171</f>
        <v>0</v>
      </c>
    </row>
    <row r="1668" spans="1:12" ht="107.45" customHeight="1">
      <c r="A1668" s="748" t="str">
        <f>'Part IV-Uses of Funds'!A172</f>
        <v xml:space="preserve">LOCAL GOVERNMENT FEES includes an amount for Impact Fee.  The project may be eligible for a full or partial waiver but that will not be determined until the permit is issued. The budget does not include Construction Real Estate Taxes because the land is owned by AHA and is therefore exempt under O.C.G.A § 8-3-8 during the construction and permanent period.   A narrative is included in Tab 8.  Under PROFESSIONAL SERVICES, Accounting includes 10% Test, Cost/Basis Certification, Annual Audit/Tax Return, and  DSCR certification.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2011-013 Ashley Auburn Pointe II , ,  County</v>
      </c>
    </row>
    <row r="1675" spans="1:12">
      <c r="F1675" s="748" t="s">
        <v>806</v>
      </c>
      <c r="I1675" s="748" t="str">
        <f>VLOOKUP('Part I-Project Information'!$J$25,'Part I-Project Information'!$C$183:$D$342,2)</f>
        <v>Middle</v>
      </c>
    </row>
    <row r="1677" spans="1:12">
      <c r="A1677" s="748" t="s">
        <v>950</v>
      </c>
      <c r="B1677" s="748" t="s">
        <v>3351</v>
      </c>
      <c r="F1677" s="748" t="s">
        <v>3805</v>
      </c>
      <c r="I1677" s="748" t="str">
        <f>'Part V-Utility Allowances'!I5</f>
        <v>Atlanta Housing Autority</v>
      </c>
    </row>
    <row r="1678" spans="1:12">
      <c r="F1678" s="748" t="s">
        <v>972</v>
      </c>
      <c r="I1678" s="748">
        <f>'Part V-Utility Allowances'!I6</f>
        <v>40360</v>
      </c>
      <c r="K1678" s="748" t="s">
        <v>833</v>
      </c>
      <c r="L1678" s="748" t="str">
        <f>'Part V-Utility Allowances'!L6</f>
        <v>3+ Story</v>
      </c>
    </row>
    <row r="1680" spans="1:12">
      <c r="F1680" s="748" t="s">
        <v>942</v>
      </c>
      <c r="I1680" s="748" t="s">
        <v>258</v>
      </c>
    </row>
    <row r="1681" spans="1:13">
      <c r="B1681" s="748" t="s">
        <v>1380</v>
      </c>
      <c r="D1681" s="748" t="s">
        <v>2361</v>
      </c>
      <c r="F1681" s="748" t="s">
        <v>978</v>
      </c>
      <c r="G1681" s="748" t="s">
        <v>2904</v>
      </c>
      <c r="I1681" s="748">
        <v>0</v>
      </c>
      <c r="J1681" s="748">
        <v>1</v>
      </c>
      <c r="K1681" s="748">
        <v>2</v>
      </c>
      <c r="L1681" s="748">
        <v>3</v>
      </c>
      <c r="M1681" s="748">
        <v>4</v>
      </c>
    </row>
    <row r="1682" spans="1:13">
      <c r="B1682" s="748" t="s">
        <v>2906</v>
      </c>
      <c r="D1682" s="748" t="str">
        <f>'Part V-Utility Allowances'!D10</f>
        <v>Electric</v>
      </c>
      <c r="F1682" s="748" t="str">
        <f>'Part V-Utility Allowances'!F10</f>
        <v>X</v>
      </c>
      <c r="G1682" s="748">
        <f>'Part V-Utility Allowances'!G10</f>
        <v>0</v>
      </c>
      <c r="I1682" s="748">
        <f>'Part V-Utility Allowances'!I10</f>
        <v>0</v>
      </c>
      <c r="J1682" s="748">
        <f>'Part V-Utility Allowances'!J10</f>
        <v>6</v>
      </c>
      <c r="K1682" s="748">
        <f>'Part V-Utility Allowances'!K10</f>
        <v>8</v>
      </c>
      <c r="L1682" s="748">
        <f>'Part V-Utility Allowances'!L10</f>
        <v>10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8</v>
      </c>
      <c r="K1683" s="748">
        <f>'Part V-Utility Allowances'!K11</f>
        <v>14</v>
      </c>
      <c r="L1683" s="748">
        <f>'Part V-Utility Allowances'!L11</f>
        <v>20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8</v>
      </c>
      <c r="K1684" s="748">
        <f>'Part V-Utility Allowances'!K12</f>
        <v>10</v>
      </c>
      <c r="L1684" s="748">
        <f>'Part V-Utility Allowances'!L12</f>
        <v>12</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16</v>
      </c>
      <c r="K1685" s="748">
        <f>'Part V-Utility Allowances'!K13</f>
        <v>22</v>
      </c>
      <c r="L1685" s="748">
        <f>'Part V-Utility Allowances'!L13</f>
        <v>29</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33</v>
      </c>
      <c r="K1686" s="748">
        <f>'Part V-Utility Allowances'!K14</f>
        <v>41</v>
      </c>
      <c r="L1686" s="748">
        <f>'Part V-Utility Allowances'!L14</f>
        <v>49</v>
      </c>
      <c r="M1686" s="748">
        <f>'Part V-Utility Allowances'!M14</f>
        <v>0</v>
      </c>
    </row>
    <row r="1687" spans="1:13">
      <c r="B1687" s="748" t="s">
        <v>2072</v>
      </c>
      <c r="D1687" s="748" t="s">
        <v>3350</v>
      </c>
      <c r="E1687" s="748" t="str">
        <f>'Part V-Utility Allowances'!E15</f>
        <v>Yes</v>
      </c>
      <c r="F1687" s="748" t="str">
        <f>'Part V-Utility Allowances'!F15</f>
        <v>X</v>
      </c>
      <c r="G1687" s="748">
        <f>'Part V-Utility Allowances'!G15</f>
        <v>0</v>
      </c>
      <c r="I1687" s="748">
        <f>'Part V-Utility Allowances'!I15</f>
        <v>0</v>
      </c>
      <c r="J1687" s="748">
        <f>'Part V-Utility Allowances'!J15</f>
        <v>115</v>
      </c>
      <c r="K1687" s="748">
        <f>'Part V-Utility Allowances'!K15</f>
        <v>157</v>
      </c>
      <c r="L1687" s="748">
        <f>'Part V-Utility Allowances'!L15</f>
        <v>200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186</v>
      </c>
      <c r="K1689" s="748">
        <f>SUM(K1682:K1688)</f>
        <v>252</v>
      </c>
      <c r="L1689" s="748">
        <f>SUM(L1682:L1688)</f>
        <v>320</v>
      </c>
      <c r="M1689" s="748">
        <f>SUM(M1682:M1688)</f>
        <v>0</v>
      </c>
    </row>
    <row r="1691" spans="1:13">
      <c r="A1691" s="748" t="s">
        <v>1229</v>
      </c>
      <c r="B1691" s="748" t="s">
        <v>3352</v>
      </c>
      <c r="F1691" s="748" t="s">
        <v>3805</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t="str">
        <f>'Part V-Utility Allowances'!B36</f>
        <v>Lights include Other Electric (include Base Charge), Range/Microwave, and Refrigerator</v>
      </c>
    </row>
    <row r="1709" spans="2:13">
      <c r="B1709" s="748" t="str">
        <f>'Part V-Utility Allowances'!B37</f>
        <v>The utility allowances are applied to the tenant portion of the rent.</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2011-013 Ashley Auburn Pointe II , ,  County</v>
      </c>
    </row>
    <row r="1717" spans="1:219" ht="12" customHeight="1"/>
    <row r="1718" spans="1:219" ht="12.6" customHeight="1">
      <c r="A1718" s="748" t="s">
        <v>950</v>
      </c>
      <c r="B1718" s="748" t="s">
        <v>3571</v>
      </c>
      <c r="D1718" s="748" t="s">
        <v>328</v>
      </c>
      <c r="N1718" s="748" t="s">
        <v>886</v>
      </c>
      <c r="O1718" s="748" t="str">
        <f>'Part I-Project Information'!$J$26</f>
        <v>Atlanta-Sandy Springs-Marietta</v>
      </c>
      <c r="EY1718" s="748" t="s">
        <v>716</v>
      </c>
      <c r="EZ1718" s="748" t="s">
        <v>3686</v>
      </c>
      <c r="FA1718" s="748" t="s">
        <v>3687</v>
      </c>
      <c r="FB1718" s="748" t="s">
        <v>3688</v>
      </c>
      <c r="FC1718" s="748" t="s">
        <v>3689</v>
      </c>
      <c r="FI1718" s="748" t="s">
        <v>716</v>
      </c>
      <c r="FJ1718" s="748" t="s">
        <v>3686</v>
      </c>
      <c r="FK1718" s="748" t="s">
        <v>3687</v>
      </c>
      <c r="FL1718" s="748" t="s">
        <v>3688</v>
      </c>
      <c r="FM1718" s="748" t="s">
        <v>3689</v>
      </c>
      <c r="FN1718" s="748" t="s">
        <v>716</v>
      </c>
      <c r="FO1718" s="748" t="s">
        <v>3686</v>
      </c>
      <c r="FP1718" s="748" t="s">
        <v>3687</v>
      </c>
      <c r="FQ1718" s="748" t="s">
        <v>3688</v>
      </c>
      <c r="FR1718" s="748" t="s">
        <v>3689</v>
      </c>
      <c r="FS1718" s="748" t="s">
        <v>716</v>
      </c>
      <c r="FT1718" s="748" t="s">
        <v>3686</v>
      </c>
      <c r="FU1718" s="748" t="s">
        <v>3687</v>
      </c>
      <c r="FV1718" s="748" t="s">
        <v>3688</v>
      </c>
      <c r="FW1718" s="748" t="s">
        <v>3689</v>
      </c>
      <c r="FX1718" s="748" t="s">
        <v>716</v>
      </c>
      <c r="FY1718" s="748" t="s">
        <v>3686</v>
      </c>
      <c r="FZ1718" s="748" t="s">
        <v>3687</v>
      </c>
      <c r="GA1718" s="748" t="s">
        <v>3688</v>
      </c>
      <c r="GB1718" s="748" t="s">
        <v>3689</v>
      </c>
      <c r="GC1718" s="748" t="s">
        <v>716</v>
      </c>
      <c r="GD1718" s="748" t="s">
        <v>3686</v>
      </c>
      <c r="GE1718" s="748" t="s">
        <v>3687</v>
      </c>
      <c r="GF1718" s="748" t="s">
        <v>3688</v>
      </c>
      <c r="GG1718" s="748" t="s">
        <v>3689</v>
      </c>
      <c r="GH1718" s="748" t="s">
        <v>716</v>
      </c>
      <c r="GI1718" s="748" t="s">
        <v>3686</v>
      </c>
      <c r="GJ1718" s="748" t="s">
        <v>3687</v>
      </c>
      <c r="GK1718" s="748" t="s">
        <v>3688</v>
      </c>
      <c r="GL1718" s="748" t="s">
        <v>3689</v>
      </c>
    </row>
    <row r="1719" spans="1:219" ht="12.6" customHeight="1">
      <c r="T1719" s="748" t="s">
        <v>1513</v>
      </c>
      <c r="U1719" s="748" t="s">
        <v>1247</v>
      </c>
      <c r="V1719" s="748" t="s">
        <v>1248</v>
      </c>
      <c r="W1719" s="748" t="s">
        <v>1249</v>
      </c>
      <c r="X1719" s="748" t="s">
        <v>1250</v>
      </c>
      <c r="Y1719" s="748" t="s">
        <v>1514</v>
      </c>
      <c r="Z1719" s="748" t="s">
        <v>3452</v>
      </c>
      <c r="AA1719" s="748" t="s">
        <v>3453</v>
      </c>
      <c r="AB1719" s="748" t="s">
        <v>3454</v>
      </c>
      <c r="AC1719" s="748" t="s">
        <v>3455</v>
      </c>
      <c r="AD1719" s="748" t="s">
        <v>1515</v>
      </c>
      <c r="AE1719" s="748" t="s">
        <v>3456</v>
      </c>
      <c r="AF1719" s="748" t="s">
        <v>3457</v>
      </c>
      <c r="AG1719" s="748" t="s">
        <v>3458</v>
      </c>
      <c r="AH1719" s="748" t="s">
        <v>3459</v>
      </c>
      <c r="AI1719" s="748" t="s">
        <v>152</v>
      </c>
      <c r="AJ1719" s="748" t="s">
        <v>3460</v>
      </c>
      <c r="AK1719" s="748" t="s">
        <v>3461</v>
      </c>
      <c r="AL1719" s="748" t="s">
        <v>3462</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3676</v>
      </c>
      <c r="BS1719" s="748" t="s">
        <v>3677</v>
      </c>
      <c r="BT1719" s="748" t="s">
        <v>3678</v>
      </c>
      <c r="BU1719" s="748" t="s">
        <v>3679</v>
      </c>
      <c r="BV1719" s="748" t="s">
        <v>3680</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3675</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3321</v>
      </c>
      <c r="EK1719" s="748" t="s">
        <v>3322</v>
      </c>
      <c r="EL1719" s="748" t="s">
        <v>3323</v>
      </c>
      <c r="EM1719" s="748" t="s">
        <v>2213</v>
      </c>
      <c r="EN1719" s="748" t="s">
        <v>2214</v>
      </c>
      <c r="EO1719" s="748" t="s">
        <v>29</v>
      </c>
      <c r="EP1719" s="748" t="s">
        <v>30</v>
      </c>
      <c r="EQ1719" s="748" t="s">
        <v>31</v>
      </c>
      <c r="ER1719" s="748" t="s">
        <v>32</v>
      </c>
      <c r="ES1719" s="748" t="s">
        <v>33</v>
      </c>
      <c r="GM1719" s="748" t="s">
        <v>2528</v>
      </c>
      <c r="GN1719" s="748" t="s">
        <v>3811</v>
      </c>
      <c r="GO1719" s="748" t="s">
        <v>3812</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1658</v>
      </c>
    </row>
    <row r="1721" spans="1:219" ht="13.15" customHeight="1">
      <c r="B1721" s="748" t="s">
        <v>2839</v>
      </c>
      <c r="G1721" s="748" t="str">
        <f>'Part VI-Revenues &amp; Expenses'!G6</f>
        <v>No</v>
      </c>
      <c r="J1721" s="748" t="s">
        <v>3645</v>
      </c>
      <c r="P1721" s="748">
        <f>VLOOKUP('Part I-Project Information'!$J$26,'DCA Underwriting Assumptions'!$C$77:$D$187,2)</f>
        <v>68300</v>
      </c>
    </row>
    <row r="1722" spans="1:219" ht="13.9" customHeight="1">
      <c r="A1722" s="748" t="str">
        <f>IF(A1763&gt;0,"Finish!","")</f>
        <v/>
      </c>
      <c r="J1722" s="748" t="s">
        <v>3646</v>
      </c>
    </row>
    <row r="1723" spans="1:219" ht="13.9" customHeight="1">
      <c r="B1723" s="748" t="s">
        <v>2212</v>
      </c>
      <c r="C1723" s="748" t="s">
        <v>228</v>
      </c>
      <c r="D1723" s="748" t="s">
        <v>839</v>
      </c>
      <c r="E1723" s="748" t="s">
        <v>2210</v>
      </c>
      <c r="F1723" s="748" t="s">
        <v>2210</v>
      </c>
      <c r="G1723" s="748" t="s">
        <v>3617</v>
      </c>
      <c r="H1723" s="748" t="s">
        <v>3615</v>
      </c>
      <c r="I1723" s="748" t="s">
        <v>1380</v>
      </c>
      <c r="J1723" s="748" t="s">
        <v>4135</v>
      </c>
      <c r="K1723" s="748" t="s">
        <v>186</v>
      </c>
      <c r="M1723" s="748" t="s">
        <v>3572</v>
      </c>
      <c r="N1723" s="748" t="s">
        <v>825</v>
      </c>
      <c r="O1723" s="748" t="s">
        <v>487</v>
      </c>
      <c r="P1723" s="748" t="s">
        <v>1665</v>
      </c>
      <c r="ET1723" s="748" t="s">
        <v>2187</v>
      </c>
      <c r="EU1723" s="748" t="s">
        <v>3686</v>
      </c>
      <c r="EV1723" s="748" t="s">
        <v>3687</v>
      </c>
      <c r="EW1723" s="748" t="s">
        <v>3688</v>
      </c>
      <c r="EX1723" s="748" t="s">
        <v>3689</v>
      </c>
      <c r="EY1723" s="748" t="s">
        <v>3776</v>
      </c>
      <c r="EZ1723" s="748" t="s">
        <v>3776</v>
      </c>
      <c r="FA1723" s="748" t="s">
        <v>3776</v>
      </c>
      <c r="FB1723" s="748" t="s">
        <v>3776</v>
      </c>
      <c r="FC1723" s="748" t="s">
        <v>3776</v>
      </c>
      <c r="FD1723" s="748" t="s">
        <v>716</v>
      </c>
      <c r="FE1723" s="748" t="s">
        <v>3686</v>
      </c>
      <c r="FF1723" s="748" t="s">
        <v>3687</v>
      </c>
      <c r="FG1723" s="748" t="s">
        <v>3688</v>
      </c>
      <c r="FH1723" s="748" t="s">
        <v>3689</v>
      </c>
      <c r="FI1723" s="748" t="s">
        <v>3778</v>
      </c>
      <c r="FJ1723" s="748" t="s">
        <v>3778</v>
      </c>
      <c r="FK1723" s="748" t="s">
        <v>3778</v>
      </c>
      <c r="FL1723" s="748" t="s">
        <v>3778</v>
      </c>
      <c r="FM1723" s="748" t="s">
        <v>3778</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3616</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3775</v>
      </c>
      <c r="EV1724" s="748" t="s">
        <v>3775</v>
      </c>
      <c r="EW1724" s="748" t="s">
        <v>3775</v>
      </c>
      <c r="EX1724" s="748" t="s">
        <v>3775</v>
      </c>
      <c r="FD1724" s="748" t="s">
        <v>3777</v>
      </c>
      <c r="FE1724" s="748" t="s">
        <v>3777</v>
      </c>
      <c r="FF1724" s="748" t="s">
        <v>3777</v>
      </c>
      <c r="FG1724" s="748" t="s">
        <v>3777</v>
      </c>
      <c r="FH1724" s="748" t="s">
        <v>3777</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10</v>
      </c>
      <c r="F1725" s="748">
        <f>'Part VI-Revenues &amp; Expenses'!F10</f>
        <v>756</v>
      </c>
      <c r="G1725" s="748">
        <f>'Part VI-Revenues &amp; Expenses'!G10</f>
        <v>641</v>
      </c>
      <c r="H1725" s="748">
        <f>'Part VI-Revenues &amp; Expenses'!H10</f>
        <v>0</v>
      </c>
      <c r="I1725" s="748">
        <f>'Part VI-Revenues &amp; Expenses'!I10</f>
        <v>0</v>
      </c>
      <c r="J1725" s="748" t="str">
        <f>'Part VI-Revenues &amp; Expenses'!J10</f>
        <v>PHA Oper Sub</v>
      </c>
      <c r="K1725" s="748">
        <f>MAX(0,H1725-I1725)</f>
        <v>0</v>
      </c>
      <c r="L1725" s="748">
        <f t="shared" ref="L1725:L1762" si="99">MAX(0,E1725*K1725)</f>
        <v>0</v>
      </c>
      <c r="M1725" s="748" t="str">
        <f>'Part VI-Revenues &amp; Expenses'!M10</f>
        <v>No</v>
      </c>
      <c r="N1725" s="748" t="str">
        <f>'Part VI-Revenues &amp; Expenses'!N10</f>
        <v>3+ Story</v>
      </c>
      <c r="O1725" s="748" t="str">
        <f>'Part VI-Revenues &amp; Expenses'!O10</f>
        <v>New Construction</v>
      </c>
      <c r="P1725" s="748">
        <f>'Part VI-Revenues &amp; Expenses'!P10</f>
        <v>0</v>
      </c>
      <c r="Q1725" s="748">
        <f>'Part VI-Revenues &amp; Expenses'!Q10</f>
        <v>0</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10</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7560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7560</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10</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10</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10</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11</v>
      </c>
      <c r="F1726" s="748">
        <f>'Part VI-Revenues &amp; Expenses'!F11</f>
        <v>1079</v>
      </c>
      <c r="G1726" s="748">
        <f>'Part VI-Revenues &amp; Expenses'!G11</f>
        <v>768</v>
      </c>
      <c r="H1726" s="748">
        <f>'Part VI-Revenues &amp; Expenses'!H11</f>
        <v>0</v>
      </c>
      <c r="I1726" s="748">
        <f>'Part VI-Revenues &amp; Expenses'!I11</f>
        <v>0</v>
      </c>
      <c r="J1726" s="748" t="str">
        <f>'Part VI-Revenues &amp; Expenses'!J11</f>
        <v>PHA Oper Sub</v>
      </c>
      <c r="K1726" s="748">
        <f t="shared" ref="K1726:K1742" si="271">MAX(0,H1726-I1726)</f>
        <v>0</v>
      </c>
      <c r="L1726" s="748">
        <f t="shared" si="99"/>
        <v>0</v>
      </c>
      <c r="M1726" s="748" t="str">
        <f>'Part VI-Revenues &amp; Expenses'!M11</f>
        <v>No</v>
      </c>
      <c r="N1726" s="748" t="str">
        <f>'Part VI-Revenues &amp; Expenses'!N11</f>
        <v>3+ Story</v>
      </c>
      <c r="O1726" s="748" t="str">
        <f>'Part VI-Revenues &amp; Expenses'!O11</f>
        <v>New Construction</v>
      </c>
      <c r="P1726" s="748">
        <f>'Part VI-Revenues &amp; Expenses'!P11</f>
        <v>0</v>
      </c>
      <c r="Q1726" s="748">
        <f>'Part VI-Revenues &amp; Expenses'!Q11</f>
        <v>0</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11</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f t="shared" ref="BJ1726:BJ1762" si="294">IF(OR(AND($C1726=2,$J1726="PHA Oper Sub",$B1726="50% AMI",NOT($M1726="Common")),AND($C1726=2,$J1726="PHA Oper Sub",$B1726="HOME 50% AMI",NOT($M1726="Common"))),$E1726,"")</f>
        <v>11</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11869</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f t="shared" si="147"/>
        <v>11869</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11</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11</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11</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2</v>
      </c>
      <c r="E1727" s="748">
        <f>'Part VI-Revenues &amp; Expenses'!E12</f>
        <v>2</v>
      </c>
      <c r="F1727" s="748">
        <f>'Part VI-Revenues &amp; Expenses'!F12</f>
        <v>1264</v>
      </c>
      <c r="G1727" s="748">
        <f>'Part VI-Revenues &amp; Expenses'!G12</f>
        <v>888</v>
      </c>
      <c r="H1727" s="748">
        <f>'Part VI-Revenues &amp; Expenses'!H12</f>
        <v>0</v>
      </c>
      <c r="I1727" s="748">
        <f>'Part VI-Revenues &amp; Expenses'!I12</f>
        <v>0</v>
      </c>
      <c r="J1727" s="748" t="str">
        <f>'Part VI-Revenues &amp; Expenses'!J12</f>
        <v>PHA Oper Sub</v>
      </c>
      <c r="K1727" s="748">
        <f t="shared" si="271"/>
        <v>0</v>
      </c>
      <c r="L1727" s="748">
        <f t="shared" si="99"/>
        <v>0</v>
      </c>
      <c r="M1727" s="748" t="str">
        <f>'Part VI-Revenues &amp; Expenses'!M12</f>
        <v>No</v>
      </c>
      <c r="N1727" s="748" t="str">
        <f>'Part VI-Revenues &amp; Expenses'!N12</f>
        <v>3+ Story</v>
      </c>
      <c r="O1727" s="748" t="str">
        <f>'Part VI-Revenues &amp; Expenses'!O12</f>
        <v>New Construction</v>
      </c>
      <c r="P1727" s="748">
        <f>'Part VI-Revenues &amp; Expenses'!P12</f>
        <v>0</v>
      </c>
      <c r="Q1727" s="748">
        <f>'Part VI-Revenues &amp; Expenses'!Q12</f>
        <v>0</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2</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f t="shared" si="295"/>
        <v>2</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2528</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f t="shared" si="148"/>
        <v>2528</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2</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2</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f t="shared" si="243"/>
        <v>2</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1</v>
      </c>
      <c r="D1729" s="748">
        <f>'Part VI-Revenues &amp; Expenses'!D14</f>
        <v>1</v>
      </c>
      <c r="E1729" s="748">
        <f>'Part VI-Revenues &amp; Expenses'!E14</f>
        <v>12</v>
      </c>
      <c r="F1729" s="748">
        <f>'Part VI-Revenues &amp; Expenses'!F14</f>
        <v>756</v>
      </c>
      <c r="G1729" s="748">
        <f>'Part VI-Revenues &amp; Expenses'!G14</f>
        <v>769</v>
      </c>
      <c r="H1729" s="748">
        <f>'Part VI-Revenues &amp; Expenses'!H14</f>
        <v>0</v>
      </c>
      <c r="I1729" s="748">
        <f>'Part VI-Revenues &amp; Expenses'!I14</f>
        <v>0</v>
      </c>
      <c r="J1729" s="748" t="str">
        <f>'Part VI-Revenues &amp; Expenses'!J14</f>
        <v>PHA Oper Sub</v>
      </c>
      <c r="K1729" s="748">
        <f t="shared" si="271"/>
        <v>0</v>
      </c>
      <c r="L1729" s="748">
        <f t="shared" si="99"/>
        <v>0</v>
      </c>
      <c r="M1729" s="748" t="str">
        <f>'Part VI-Revenues &amp; Expenses'!M14</f>
        <v>No</v>
      </c>
      <c r="N1729" s="748" t="str">
        <f>'Part VI-Revenues &amp; Expenses'!N14</f>
        <v>3+ Story</v>
      </c>
      <c r="O1729" s="748" t="str">
        <f>'Part VI-Revenues &amp; Expenses'!O14</f>
        <v>New Construction</v>
      </c>
      <c r="P1729" s="748">
        <f>'Part VI-Revenues &amp; Expenses'!P14</f>
        <v>0</v>
      </c>
      <c r="Q1729" s="748">
        <f>'Part VI-Revenues &amp; Expenses'!Q14</f>
        <v>0</v>
      </c>
      <c r="R1729" s="748">
        <f>'Part VI-Revenues &amp; Expenses'!R14</f>
        <v>0</v>
      </c>
      <c r="T1729" s="748" t="str">
        <f t="shared" si="100"/>
        <v/>
      </c>
      <c r="U1729" s="748">
        <f t="shared" si="101"/>
        <v>12</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f t="shared" si="298"/>
        <v>12</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f t="shared" si="126"/>
        <v>9072</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f t="shared" si="146"/>
        <v>9072</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f t="shared" si="156"/>
        <v>12</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12</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f t="shared" si="241"/>
        <v>12</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2</v>
      </c>
      <c r="D1730" s="748">
        <f>'Part VI-Revenues &amp; Expenses'!D15</f>
        <v>2</v>
      </c>
      <c r="E1730" s="748">
        <f>'Part VI-Revenues &amp; Expenses'!E15</f>
        <v>12</v>
      </c>
      <c r="F1730" s="748">
        <f>'Part VI-Revenues &amp; Expenses'!F15</f>
        <v>1079</v>
      </c>
      <c r="G1730" s="748">
        <f>'Part VI-Revenues &amp; Expenses'!G15</f>
        <v>922</v>
      </c>
      <c r="H1730" s="748">
        <f>'Part VI-Revenues &amp; Expenses'!H15</f>
        <v>0</v>
      </c>
      <c r="I1730" s="748">
        <f>'Part VI-Revenues &amp; Expenses'!I15</f>
        <v>0</v>
      </c>
      <c r="J1730" s="748" t="str">
        <f>'Part VI-Revenues &amp; Expenses'!J15</f>
        <v>PHA Oper Sub</v>
      </c>
      <c r="K1730" s="748">
        <f t="shared" si="271"/>
        <v>0</v>
      </c>
      <c r="L1730" s="748">
        <f t="shared" si="99"/>
        <v>0</v>
      </c>
      <c r="M1730" s="748" t="str">
        <f>'Part VI-Revenues &amp; Expenses'!M15</f>
        <v>No</v>
      </c>
      <c r="N1730" s="748" t="str">
        <f>'Part VI-Revenues &amp; Expenses'!N15</f>
        <v>3+ Story</v>
      </c>
      <c r="O1730" s="748" t="str">
        <f>'Part VI-Revenues &amp; Expenses'!O15</f>
        <v>New Construction</v>
      </c>
      <c r="P1730" s="748">
        <f>'Part VI-Revenues &amp; Expenses'!P15</f>
        <v>0</v>
      </c>
      <c r="Q1730" s="748">
        <f>'Part VI-Revenues &amp; Expenses'!Q15</f>
        <v>0</v>
      </c>
      <c r="R1730" s="748">
        <f>'Part VI-Revenues &amp; Expenses'!R15</f>
        <v>0</v>
      </c>
      <c r="T1730" s="748" t="str">
        <f t="shared" si="100"/>
        <v/>
      </c>
      <c r="U1730" s="748" t="str">
        <f t="shared" si="101"/>
        <v/>
      </c>
      <c r="V1730" s="748">
        <f t="shared" si="102"/>
        <v>12</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f t="shared" si="299"/>
        <v>12</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12948</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f t="shared" si="147"/>
        <v>12948</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f t="shared" si="157"/>
        <v>12</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12</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12</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60% AMI</v>
      </c>
      <c r="C1731" s="748">
        <f>'Part VI-Revenues &amp; Expenses'!C16</f>
        <v>3</v>
      </c>
      <c r="D1731" s="748">
        <f>'Part VI-Revenues &amp; Expenses'!D16</f>
        <v>2</v>
      </c>
      <c r="E1731" s="748">
        <f>'Part VI-Revenues &amp; Expenses'!E16</f>
        <v>4</v>
      </c>
      <c r="F1731" s="748">
        <f>'Part VI-Revenues &amp; Expenses'!F16</f>
        <v>1264</v>
      </c>
      <c r="G1731" s="748">
        <f>'Part VI-Revenues &amp; Expenses'!G16</f>
        <v>1065</v>
      </c>
      <c r="H1731" s="748">
        <f>'Part VI-Revenues &amp; Expenses'!H16</f>
        <v>0</v>
      </c>
      <c r="I1731" s="748">
        <f>'Part VI-Revenues &amp; Expenses'!I16</f>
        <v>0</v>
      </c>
      <c r="J1731" s="748" t="str">
        <f>'Part VI-Revenues &amp; Expenses'!J16</f>
        <v>PHA Oper Sub</v>
      </c>
      <c r="K1731" s="748">
        <f t="shared" si="271"/>
        <v>0</v>
      </c>
      <c r="L1731" s="748">
        <f t="shared" si="99"/>
        <v>0</v>
      </c>
      <c r="M1731" s="748" t="str">
        <f>'Part VI-Revenues &amp; Expenses'!M16</f>
        <v>No</v>
      </c>
      <c r="N1731" s="748" t="str">
        <f>'Part VI-Revenues &amp; Expenses'!N16</f>
        <v>3+ Story</v>
      </c>
      <c r="O1731" s="748" t="str">
        <f>'Part VI-Revenues &amp; Expenses'!O16</f>
        <v>New Construction</v>
      </c>
      <c r="P1731" s="748">
        <f>'Part VI-Revenues &amp; Expenses'!P16</f>
        <v>0</v>
      </c>
      <c r="Q1731" s="748">
        <f>'Part VI-Revenues &amp; Expenses'!Q16</f>
        <v>0</v>
      </c>
      <c r="R1731" s="748">
        <f>'Part VI-Revenues &amp; Expenses'!R16</f>
        <v>0</v>
      </c>
      <c r="T1731" s="748" t="str">
        <f t="shared" si="100"/>
        <v/>
      </c>
      <c r="U1731" s="748" t="str">
        <f t="shared" si="101"/>
        <v/>
      </c>
      <c r="V1731" s="748" t="str">
        <f t="shared" si="102"/>
        <v/>
      </c>
      <c r="W1731" s="748">
        <f t="shared" si="103"/>
        <v>4</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f t="shared" si="300"/>
        <v>4</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f t="shared" si="128"/>
        <v>5056</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f t="shared" si="148"/>
        <v>5056</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f t="shared" si="158"/>
        <v>4</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f t="shared" si="203"/>
        <v>4</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f t="shared" si="243"/>
        <v>4</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t="str">
        <f>'Part VI-Revenues &amp; Expenses'!B18</f>
        <v>60% AMI</v>
      </c>
      <c r="C1733" s="748">
        <f>'Part VI-Revenues &amp; Expenses'!C18</f>
        <v>1</v>
      </c>
      <c r="D1733" s="748">
        <f>'Part VI-Revenues &amp; Expenses'!D18</f>
        <v>1</v>
      </c>
      <c r="E1733" s="748">
        <f>'Part VI-Revenues &amp; Expenses'!E18</f>
        <v>8</v>
      </c>
      <c r="F1733" s="748">
        <f>'Part VI-Revenues &amp; Expenses'!F18</f>
        <v>756</v>
      </c>
      <c r="G1733" s="748">
        <f>'Part VI-Revenues &amp; Expenses'!G18</f>
        <v>769</v>
      </c>
      <c r="H1733" s="748">
        <f>'Part VI-Revenues &amp; Expenses'!H18</f>
        <v>769</v>
      </c>
      <c r="I1733" s="748">
        <f>'Part VI-Revenues &amp; Expenses'!I18</f>
        <v>186</v>
      </c>
      <c r="J1733" s="748">
        <f>'Part VI-Revenues &amp; Expenses'!J18</f>
        <v>0</v>
      </c>
      <c r="K1733" s="748">
        <f t="shared" si="271"/>
        <v>583</v>
      </c>
      <c r="L1733" s="748">
        <f t="shared" si="99"/>
        <v>4664</v>
      </c>
      <c r="M1733" s="748" t="str">
        <f>'Part VI-Revenues &amp; Expenses'!M18</f>
        <v>No</v>
      </c>
      <c r="N1733" s="748" t="str">
        <f>'Part VI-Revenues &amp; Expenses'!N18</f>
        <v>3+ Story</v>
      </c>
      <c r="O1733" s="748" t="str">
        <f>'Part VI-Revenues &amp; Expenses'!O18</f>
        <v>New Construction</v>
      </c>
      <c r="P1733" s="748">
        <f>'Part VI-Revenues &amp; Expenses'!P18</f>
        <v>30760</v>
      </c>
      <c r="Q1733" s="748">
        <f>'Part VI-Revenues &amp; Expenses'!Q18</f>
        <v>0.60048804294777935</v>
      </c>
      <c r="R1733" s="748">
        <f>'Part VI-Revenues &amp; Expenses'!R18</f>
        <v>0</v>
      </c>
      <c r="T1733" s="748" t="str">
        <f t="shared" si="100"/>
        <v/>
      </c>
      <c r="U1733" s="748">
        <f t="shared" si="101"/>
        <v>8</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f t="shared" si="126"/>
        <v>6048</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f t="shared" si="156"/>
        <v>8</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f t="shared" si="201"/>
        <v>8</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f t="shared" si="241"/>
        <v>8</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t="str">
        <f>'Part VI-Revenues &amp; Expenses'!B19</f>
        <v>60% AMI</v>
      </c>
      <c r="C1734" s="748">
        <f>'Part VI-Revenues &amp; Expenses'!C19</f>
        <v>2</v>
      </c>
      <c r="D1734" s="748">
        <f>'Part VI-Revenues &amp; Expenses'!D19</f>
        <v>2</v>
      </c>
      <c r="E1734" s="748">
        <f>'Part VI-Revenues &amp; Expenses'!E19</f>
        <v>27</v>
      </c>
      <c r="F1734" s="748">
        <f>'Part VI-Revenues &amp; Expenses'!F19</f>
        <v>1079</v>
      </c>
      <c r="G1734" s="748">
        <f>'Part VI-Revenues &amp; Expenses'!G19</f>
        <v>922</v>
      </c>
      <c r="H1734" s="748">
        <f>'Part VI-Revenues &amp; Expenses'!H19</f>
        <v>922</v>
      </c>
      <c r="I1734" s="748">
        <f>'Part VI-Revenues &amp; Expenses'!I19</f>
        <v>252</v>
      </c>
      <c r="J1734" s="748">
        <f>'Part VI-Revenues &amp; Expenses'!J19</f>
        <v>0</v>
      </c>
      <c r="K1734" s="748">
        <f t="shared" si="271"/>
        <v>670</v>
      </c>
      <c r="L1734" s="748">
        <f t="shared" si="99"/>
        <v>18090</v>
      </c>
      <c r="M1734" s="748" t="str">
        <f>'Part VI-Revenues &amp; Expenses'!M19</f>
        <v>No</v>
      </c>
      <c r="N1734" s="748" t="str">
        <f>'Part VI-Revenues &amp; Expenses'!N19</f>
        <v>3+ Story</v>
      </c>
      <c r="O1734" s="748" t="str">
        <f>'Part VI-Revenues &amp; Expenses'!O19</f>
        <v>New Construction</v>
      </c>
      <c r="P1734" s="748">
        <f>'Part VI-Revenues &amp; Expenses'!P19</f>
        <v>36880</v>
      </c>
      <c r="Q1734" s="748">
        <f>'Part VI-Revenues &amp; Expenses'!Q19</f>
        <v>0.59996746380348143</v>
      </c>
      <c r="R1734" s="748">
        <f>'Part VI-Revenues &amp; Expenses'!R19</f>
        <v>0</v>
      </c>
      <c r="T1734" s="748" t="str">
        <f t="shared" si="100"/>
        <v/>
      </c>
      <c r="U1734" s="748" t="str">
        <f t="shared" si="101"/>
        <v/>
      </c>
      <c r="V1734" s="748">
        <f t="shared" si="102"/>
        <v>27</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f t="shared" si="127"/>
        <v>29133</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f t="shared" si="157"/>
        <v>27</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f t="shared" si="202"/>
        <v>27</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f t="shared" si="242"/>
        <v>27</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t="str">
        <f>'Part VI-Revenues &amp; Expenses'!B20</f>
        <v>60% AMI</v>
      </c>
      <c r="C1735" s="748">
        <f>'Part VI-Revenues &amp; Expenses'!C20</f>
        <v>3</v>
      </c>
      <c r="D1735" s="748">
        <f>'Part VI-Revenues &amp; Expenses'!D20</f>
        <v>2</v>
      </c>
      <c r="E1735" s="748">
        <f>'Part VI-Revenues &amp; Expenses'!E20</f>
        <v>4</v>
      </c>
      <c r="F1735" s="748">
        <f>'Part VI-Revenues &amp; Expenses'!F20</f>
        <v>1264</v>
      </c>
      <c r="G1735" s="748">
        <f>'Part VI-Revenues &amp; Expenses'!G20</f>
        <v>1065</v>
      </c>
      <c r="H1735" s="748">
        <f>'Part VI-Revenues &amp; Expenses'!H20</f>
        <v>1065</v>
      </c>
      <c r="I1735" s="748">
        <f>'Part VI-Revenues &amp; Expenses'!I20</f>
        <v>320</v>
      </c>
      <c r="J1735" s="748">
        <f>'Part VI-Revenues &amp; Expenses'!J20</f>
        <v>0</v>
      </c>
      <c r="K1735" s="748">
        <f t="shared" si="271"/>
        <v>745</v>
      </c>
      <c r="L1735" s="748">
        <f t="shared" si="99"/>
        <v>2980</v>
      </c>
      <c r="M1735" s="748" t="str">
        <f>'Part VI-Revenues &amp; Expenses'!M20</f>
        <v>No</v>
      </c>
      <c r="N1735" s="748" t="str">
        <f>'Part VI-Revenues &amp; Expenses'!N20</f>
        <v>3+ Story</v>
      </c>
      <c r="O1735" s="748" t="str">
        <f>'Part VI-Revenues &amp; Expenses'!O20</f>
        <v>New Construction</v>
      </c>
      <c r="P1735" s="748">
        <f>'Part VI-Revenues &amp; Expenses'!P20</f>
        <v>42600</v>
      </c>
      <c r="Q1735" s="748">
        <f>'Part VI-Revenues &amp; Expenses'!Q20</f>
        <v>0.5997296992904606</v>
      </c>
      <c r="R1735" s="748">
        <f>'Part VI-Revenues &amp; Expenses'!R20</f>
        <v>0</v>
      </c>
      <c r="T1735" s="748" t="str">
        <f t="shared" si="100"/>
        <v/>
      </c>
      <c r="U1735" s="748" t="str">
        <f t="shared" si="101"/>
        <v/>
      </c>
      <c r="V1735" s="748" t="str">
        <f t="shared" si="102"/>
        <v/>
      </c>
      <c r="W1735" s="748">
        <f t="shared" si="103"/>
        <v>4</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f t="shared" si="128"/>
        <v>5056</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f t="shared" si="158"/>
        <v>4</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f t="shared" si="203"/>
        <v>4</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f t="shared" si="243"/>
        <v>4</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t="str">
        <f>'Part VI-Revenues &amp; Expenses'!B22</f>
        <v>Unrestricted</v>
      </c>
      <c r="C1737" s="748">
        <f>'Part VI-Revenues &amp; Expenses'!C22</f>
        <v>1</v>
      </c>
      <c r="D1737" s="748">
        <f>'Part VI-Revenues &amp; Expenses'!D22</f>
        <v>1</v>
      </c>
      <c r="E1737" s="748">
        <f>'Part VI-Revenues &amp; Expenses'!E22</f>
        <v>24</v>
      </c>
      <c r="F1737" s="748">
        <f>'Part VI-Revenues &amp; Expenses'!F22</f>
        <v>756</v>
      </c>
      <c r="G1737" s="748" t="str">
        <f>'Part VI-Revenues &amp; Expenses'!G22</f>
        <v>No</v>
      </c>
      <c r="H1737" s="748">
        <f>'Part VI-Revenues &amp; Expenses'!H22</f>
        <v>825</v>
      </c>
      <c r="I1737" s="748">
        <f>'Part VI-Revenues &amp; Expenses'!I22</f>
        <v>0</v>
      </c>
      <c r="J1737" s="748">
        <f>'Part VI-Revenues &amp; Expenses'!J22</f>
        <v>0</v>
      </c>
      <c r="K1737" s="748">
        <f t="shared" si="271"/>
        <v>825</v>
      </c>
      <c r="L1737" s="748">
        <f t="shared" si="99"/>
        <v>19800</v>
      </c>
      <c r="M1737" s="748" t="str">
        <f>'Part VI-Revenues &amp; Expenses'!M22</f>
        <v>No</v>
      </c>
      <c r="N1737" s="748" t="str">
        <f>'Part VI-Revenues &amp; Expenses'!N22</f>
        <v>3+ Story</v>
      </c>
      <c r="O1737" s="748" t="str">
        <f>'Part VI-Revenues &amp; Expenses'!O22</f>
        <v>New Construction</v>
      </c>
      <c r="P1737" s="748">
        <f>'Part VI-Revenues &amp; Expenses'!P22</f>
        <v>33000</v>
      </c>
      <c r="Q1737" s="748">
        <f>'Part VI-Revenues &amp; Expenses'!Q22</f>
        <v>0.64421669106881407</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f t="shared" si="116"/>
        <v>24</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f t="shared" si="141"/>
        <v>18144</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f t="shared" si="161"/>
        <v>24</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f t="shared" si="201"/>
        <v>24</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f t="shared" si="241"/>
        <v>24</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t="str">
        <f>'Part VI-Revenues &amp; Expenses'!B23</f>
        <v>Unrestricted</v>
      </c>
      <c r="C1738" s="748">
        <f>'Part VI-Revenues &amp; Expenses'!C23</f>
        <v>2</v>
      </c>
      <c r="D1738" s="748">
        <f>'Part VI-Revenues &amp; Expenses'!D23</f>
        <v>2</v>
      </c>
      <c r="E1738" s="748">
        <f>'Part VI-Revenues &amp; Expenses'!E23</f>
        <v>32</v>
      </c>
      <c r="F1738" s="748">
        <f>'Part VI-Revenues &amp; Expenses'!F23</f>
        <v>1079</v>
      </c>
      <c r="G1738" s="748" t="str">
        <f>'Part VI-Revenues &amp; Expenses'!G23</f>
        <v>No</v>
      </c>
      <c r="H1738" s="748">
        <f>'Part VI-Revenues &amp; Expenses'!H23</f>
        <v>1050</v>
      </c>
      <c r="I1738" s="748">
        <f>'Part VI-Revenues &amp; Expenses'!I23</f>
        <v>0</v>
      </c>
      <c r="J1738" s="748">
        <f>'Part VI-Revenues &amp; Expenses'!J23</f>
        <v>0</v>
      </c>
      <c r="K1738" s="748">
        <f t="shared" si="271"/>
        <v>1050</v>
      </c>
      <c r="L1738" s="748">
        <f t="shared" si="99"/>
        <v>33600</v>
      </c>
      <c r="M1738" s="748" t="str">
        <f>'Part VI-Revenues &amp; Expenses'!M23</f>
        <v>No</v>
      </c>
      <c r="N1738" s="748" t="str">
        <f>'Part VI-Revenues &amp; Expenses'!N23</f>
        <v>3+ Story</v>
      </c>
      <c r="O1738" s="748" t="str">
        <f>'Part VI-Revenues &amp; Expenses'!O23</f>
        <v>New Construction</v>
      </c>
      <c r="P1738" s="748">
        <f>'Part VI-Revenues &amp; Expenses'!P23</f>
        <v>42000</v>
      </c>
      <c r="Q1738" s="748">
        <f>'Part VI-Revenues &amp; Expenses'!Q23</f>
        <v>0.68326012689116644</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f t="shared" si="117"/>
        <v>32</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f t="shared" si="142"/>
        <v>34528</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f t="shared" si="162"/>
        <v>32</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f t="shared" si="202"/>
        <v>32</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f t="shared" si="242"/>
        <v>32</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t="str">
        <f>'Part VI-Revenues &amp; Expenses'!B24</f>
        <v>Unrestricted</v>
      </c>
      <c r="C1739" s="748">
        <f>'Part VI-Revenues &amp; Expenses'!C24</f>
        <v>3</v>
      </c>
      <c r="D1739" s="748">
        <f>'Part VI-Revenues &amp; Expenses'!D24</f>
        <v>3</v>
      </c>
      <c r="E1739" s="748">
        <f>'Part VI-Revenues &amp; Expenses'!E24</f>
        <v>4</v>
      </c>
      <c r="F1739" s="748">
        <f>'Part VI-Revenues &amp; Expenses'!F24</f>
        <v>1264</v>
      </c>
      <c r="G1739" s="748" t="str">
        <f>'Part VI-Revenues &amp; Expenses'!G24</f>
        <v>No</v>
      </c>
      <c r="H1739" s="748">
        <f>'Part VI-Revenues &amp; Expenses'!H24</f>
        <v>1300</v>
      </c>
      <c r="I1739" s="748">
        <f>'Part VI-Revenues &amp; Expenses'!I24</f>
        <v>0</v>
      </c>
      <c r="J1739" s="748">
        <f>'Part VI-Revenues &amp; Expenses'!J24</f>
        <v>0</v>
      </c>
      <c r="K1739" s="748">
        <f t="shared" si="271"/>
        <v>1300</v>
      </c>
      <c r="L1739" s="748">
        <f t="shared" si="99"/>
        <v>5200</v>
      </c>
      <c r="M1739" s="748" t="str">
        <f>'Part VI-Revenues &amp; Expenses'!M24</f>
        <v>No</v>
      </c>
      <c r="N1739" s="748" t="str">
        <f>'Part VI-Revenues &amp; Expenses'!N24</f>
        <v>3+ Story</v>
      </c>
      <c r="O1739" s="748" t="str">
        <f>'Part VI-Revenues &amp; Expenses'!O24</f>
        <v>New Construction</v>
      </c>
      <c r="P1739" s="748">
        <f>'Part VI-Revenues &amp; Expenses'!P24</f>
        <v>52000</v>
      </c>
      <c r="Q1739" s="748">
        <f>'Part VI-Revenues &amp; Expenses'!Q24</f>
        <v>0.7320644216691069</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f t="shared" si="118"/>
        <v>4</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f t="shared" si="143"/>
        <v>5056</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f t="shared" si="163"/>
        <v>4</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f t="shared" si="203"/>
        <v>4</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f t="shared" si="243"/>
        <v>4</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150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146998</v>
      </c>
      <c r="K1763" s="748" t="s">
        <v>2002</v>
      </c>
      <c r="L1763" s="748">
        <f>SUM(L1725:L1762)</f>
        <v>84334</v>
      </c>
      <c r="T1763" s="748">
        <f t="shared" ref="T1763:CE1763" si="304">SUM(T1725:T1762)</f>
        <v>0</v>
      </c>
      <c r="U1763" s="748">
        <f t="shared" si="304"/>
        <v>20</v>
      </c>
      <c r="V1763" s="748">
        <f t="shared" si="304"/>
        <v>39</v>
      </c>
      <c r="W1763" s="748">
        <f t="shared" si="304"/>
        <v>8</v>
      </c>
      <c r="X1763" s="748">
        <f t="shared" si="304"/>
        <v>0</v>
      </c>
      <c r="Y1763" s="748">
        <f t="shared" si="304"/>
        <v>0</v>
      </c>
      <c r="Z1763" s="748">
        <f t="shared" si="304"/>
        <v>10</v>
      </c>
      <c r="AA1763" s="748">
        <f t="shared" si="304"/>
        <v>11</v>
      </c>
      <c r="AB1763" s="748">
        <f t="shared" si="304"/>
        <v>2</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24</v>
      </c>
      <c r="AK1763" s="748">
        <f t="shared" si="304"/>
        <v>32</v>
      </c>
      <c r="AL1763" s="748">
        <f t="shared" si="304"/>
        <v>4</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11</v>
      </c>
      <c r="BK1763" s="748">
        <f t="shared" si="304"/>
        <v>2</v>
      </c>
      <c r="BL1763" s="748">
        <f t="shared" si="304"/>
        <v>0</v>
      </c>
      <c r="BM1763" s="748">
        <f t="shared" si="304"/>
        <v>0</v>
      </c>
      <c r="BN1763" s="748">
        <f t="shared" si="304"/>
        <v>12</v>
      </c>
      <c r="BO1763" s="748">
        <f t="shared" si="304"/>
        <v>12</v>
      </c>
      <c r="BP1763" s="748">
        <f t="shared" si="304"/>
        <v>4</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15120</v>
      </c>
      <c r="BY1763" s="748">
        <f t="shared" si="304"/>
        <v>42081</v>
      </c>
      <c r="BZ1763" s="748">
        <f t="shared" si="304"/>
        <v>10112</v>
      </c>
      <c r="CA1763" s="748">
        <f t="shared" si="304"/>
        <v>0</v>
      </c>
      <c r="CB1763" s="748">
        <f t="shared" si="304"/>
        <v>0</v>
      </c>
      <c r="CC1763" s="748">
        <f t="shared" si="304"/>
        <v>7560</v>
      </c>
      <c r="CD1763" s="748">
        <f t="shared" si="304"/>
        <v>11869</v>
      </c>
      <c r="CE1763" s="748">
        <f t="shared" si="304"/>
        <v>2528</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18144</v>
      </c>
      <c r="CN1763" s="748">
        <f t="shared" si="305"/>
        <v>34528</v>
      </c>
      <c r="CO1763" s="748">
        <f t="shared" si="305"/>
        <v>5056</v>
      </c>
      <c r="CP1763" s="748">
        <f t="shared" si="305"/>
        <v>0</v>
      </c>
      <c r="CQ1763" s="748">
        <f t="shared" si="305"/>
        <v>0</v>
      </c>
      <c r="CR1763" s="748">
        <f t="shared" si="305"/>
        <v>16632</v>
      </c>
      <c r="CS1763" s="748">
        <f t="shared" si="305"/>
        <v>24817</v>
      </c>
      <c r="CT1763" s="748">
        <f t="shared" si="305"/>
        <v>7584</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30</v>
      </c>
      <c r="DC1763" s="748">
        <f t="shared" si="305"/>
        <v>50</v>
      </c>
      <c r="DD1763" s="748">
        <f t="shared" si="305"/>
        <v>10</v>
      </c>
      <c r="DE1763" s="748">
        <f t="shared" si="305"/>
        <v>0</v>
      </c>
      <c r="DF1763" s="748">
        <f t="shared" si="305"/>
        <v>0</v>
      </c>
      <c r="DG1763" s="748">
        <f t="shared" si="305"/>
        <v>24</v>
      </c>
      <c r="DH1763" s="748">
        <f t="shared" si="305"/>
        <v>32</v>
      </c>
      <c r="DI1763" s="748">
        <f t="shared" si="305"/>
        <v>4</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54</v>
      </c>
      <c r="EV1763" s="748">
        <f t="shared" si="306"/>
        <v>82</v>
      </c>
      <c r="EW1763" s="748">
        <f t="shared" si="306"/>
        <v>14</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54</v>
      </c>
      <c r="GJ1763" s="748">
        <f t="shared" si="306"/>
        <v>82</v>
      </c>
      <c r="GK1763" s="748">
        <f t="shared" si="306"/>
        <v>14</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1012008</v>
      </c>
    </row>
    <row r="1765" spans="1:219" ht="6" customHeight="1"/>
    <row r="1766" spans="1:219" ht="14.45" customHeight="1">
      <c r="A1766" s="748" t="s">
        <v>4136</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20</v>
      </c>
      <c r="J1772" s="748">
        <f>V1763</f>
        <v>39</v>
      </c>
      <c r="K1772" s="748">
        <f>W1763</f>
        <v>8</v>
      </c>
      <c r="L1772" s="748">
        <f>X1763</f>
        <v>0</v>
      </c>
      <c r="M1772" s="748">
        <f t="shared" ref="M1772:M1778" si="308">SUM(H1772:L1772)</f>
        <v>67</v>
      </c>
      <c r="N1772" s="748" t="s">
        <v>1483</v>
      </c>
      <c r="Q1772" s="748">
        <f t="shared" ref="Q1772:Q1778" si="309">ABS(M1772-AD1772)</f>
        <v>0</v>
      </c>
      <c r="T1772" s="748" t="s">
        <v>1778</v>
      </c>
      <c r="X1772" s="748" t="s">
        <v>1791</v>
      </c>
      <c r="Y1772" s="748">
        <f>T1763</f>
        <v>0</v>
      </c>
      <c r="Z1772" s="748">
        <f>U1763</f>
        <v>20</v>
      </c>
      <c r="AA1772" s="748">
        <f>V1763</f>
        <v>39</v>
      </c>
      <c r="AB1772" s="748">
        <f>W1763</f>
        <v>8</v>
      </c>
      <c r="AC1772" s="748">
        <f>X1763</f>
        <v>0</v>
      </c>
      <c r="AD1772" s="748">
        <f t="shared" ref="AD1772:AD1778" si="310">SUM(Y1772:AC1772)</f>
        <v>67</v>
      </c>
      <c r="AE1772" s="748" t="s">
        <v>1555</v>
      </c>
    </row>
    <row r="1773" spans="1:219" ht="15" customHeight="1">
      <c r="A1773" s="748" t="s">
        <v>652</v>
      </c>
      <c r="G1773" s="748" t="s">
        <v>133</v>
      </c>
      <c r="H1773" s="748">
        <f>Y1763</f>
        <v>0</v>
      </c>
      <c r="I1773" s="748">
        <f>Z1763</f>
        <v>10</v>
      </c>
      <c r="J1773" s="748">
        <f>AA1763</f>
        <v>11</v>
      </c>
      <c r="K1773" s="748">
        <f>AB1763</f>
        <v>2</v>
      </c>
      <c r="L1773" s="748">
        <f>AC1763</f>
        <v>0</v>
      </c>
      <c r="M1773" s="748">
        <f t="shared" si="308"/>
        <v>23</v>
      </c>
      <c r="Q1773" s="748">
        <f t="shared" si="309"/>
        <v>0</v>
      </c>
      <c r="X1773" s="748" t="s">
        <v>133</v>
      </c>
      <c r="Y1773" s="748">
        <f>Y1763</f>
        <v>0</v>
      </c>
      <c r="Z1773" s="748">
        <f>Z1763</f>
        <v>10</v>
      </c>
      <c r="AA1773" s="748">
        <f>AA1763</f>
        <v>11</v>
      </c>
      <c r="AB1773" s="748">
        <f>AB1763</f>
        <v>2</v>
      </c>
      <c r="AC1773" s="748">
        <f>AC1763</f>
        <v>0</v>
      </c>
      <c r="AD1773" s="748">
        <f t="shared" si="310"/>
        <v>23</v>
      </c>
    </row>
    <row r="1774" spans="1:219" ht="15" customHeight="1">
      <c r="G1774" s="748" t="s">
        <v>832</v>
      </c>
      <c r="H1774" s="748">
        <f>SUM(H1772:H1773)</f>
        <v>0</v>
      </c>
      <c r="I1774" s="748">
        <f>SUM(I1772:I1773)</f>
        <v>30</v>
      </c>
      <c r="J1774" s="748">
        <f>SUM(J1772:J1773)</f>
        <v>50</v>
      </c>
      <c r="K1774" s="748">
        <f>SUM(K1772:K1773)</f>
        <v>10</v>
      </c>
      <c r="L1774" s="748">
        <f>SUM(L1772:L1773)</f>
        <v>0</v>
      </c>
      <c r="M1774" s="748">
        <f t="shared" si="308"/>
        <v>90</v>
      </c>
      <c r="Q1774" s="748">
        <f t="shared" si="309"/>
        <v>0</v>
      </c>
      <c r="X1774" s="748" t="s">
        <v>832</v>
      </c>
      <c r="Y1774" s="748">
        <f>SUM(Y1772:Y1773)</f>
        <v>0</v>
      </c>
      <c r="Z1774" s="748">
        <f>SUM(Z1772:Z1773)</f>
        <v>30</v>
      </c>
      <c r="AA1774" s="748">
        <f>SUM(AA1772:AA1773)</f>
        <v>50</v>
      </c>
      <c r="AB1774" s="748">
        <f>SUM(AB1772:AB1773)</f>
        <v>10</v>
      </c>
      <c r="AC1774" s="748">
        <f>SUM(AC1772:AC1773)</f>
        <v>0</v>
      </c>
      <c r="AD1774" s="748">
        <f t="shared" si="310"/>
        <v>90</v>
      </c>
    </row>
    <row r="1775" spans="1:219" ht="15" customHeight="1">
      <c r="C1775" s="748" t="s">
        <v>396</v>
      </c>
      <c r="H1775" s="748">
        <f>AI1763</f>
        <v>0</v>
      </c>
      <c r="I1775" s="748">
        <f>AJ1763</f>
        <v>24</v>
      </c>
      <c r="J1775" s="748">
        <f>AK1763</f>
        <v>32</v>
      </c>
      <c r="K1775" s="748">
        <f>AL1763</f>
        <v>4</v>
      </c>
      <c r="L1775" s="748">
        <f>AM1763</f>
        <v>0</v>
      </c>
      <c r="M1775" s="748">
        <f t="shared" si="308"/>
        <v>60</v>
      </c>
      <c r="Q1775" s="748">
        <f t="shared" si="309"/>
        <v>0</v>
      </c>
      <c r="T1775" s="748" t="s">
        <v>396</v>
      </c>
      <c r="Y1775" s="748">
        <f>AI1763</f>
        <v>0</v>
      </c>
      <c r="Z1775" s="748">
        <f>AJ1763</f>
        <v>24</v>
      </c>
      <c r="AA1775" s="748">
        <f>AK1763</f>
        <v>32</v>
      </c>
      <c r="AB1775" s="748">
        <f>AL1763</f>
        <v>4</v>
      </c>
      <c r="AC1775" s="748">
        <f>AM1763</f>
        <v>0</v>
      </c>
      <c r="AD1775" s="748">
        <f t="shared" si="310"/>
        <v>60</v>
      </c>
    </row>
    <row r="1776" spans="1:219" ht="15" customHeight="1">
      <c r="C1776" s="748" t="s">
        <v>1779</v>
      </c>
      <c r="H1776" s="748">
        <f>SUM(H1774:H1775)</f>
        <v>0</v>
      </c>
      <c r="I1776" s="748">
        <f>SUM(I1774:I1775)</f>
        <v>54</v>
      </c>
      <c r="J1776" s="748">
        <f>SUM(J1774:J1775)</f>
        <v>82</v>
      </c>
      <c r="K1776" s="748">
        <f>SUM(K1774:K1775)</f>
        <v>14</v>
      </c>
      <c r="L1776" s="748">
        <f>SUM(L1774:L1775)</f>
        <v>0</v>
      </c>
      <c r="M1776" s="748">
        <f t="shared" si="308"/>
        <v>150</v>
      </c>
      <c r="Q1776" s="748">
        <f t="shared" si="309"/>
        <v>0</v>
      </c>
      <c r="T1776" s="748" t="s">
        <v>1779</v>
      </c>
      <c r="Y1776" s="748">
        <f>SUM(Y1774:Y1775)</f>
        <v>0</v>
      </c>
      <c r="Z1776" s="748">
        <f>SUM(Z1774:Z1775)</f>
        <v>54</v>
      </c>
      <c r="AA1776" s="748">
        <f>SUM(AA1774:AA1775)</f>
        <v>82</v>
      </c>
      <c r="AB1776" s="748">
        <f>SUM(AB1774:AB1775)</f>
        <v>14</v>
      </c>
      <c r="AC1776" s="748">
        <f>SUM(AC1774:AC1775)</f>
        <v>0</v>
      </c>
      <c r="AD1776" s="748">
        <f t="shared" si="310"/>
        <v>150</v>
      </c>
    </row>
    <row r="1777" spans="3:31" ht="15" customHeight="1">
      <c r="C1777" s="748" t="s">
        <v>3797</v>
      </c>
      <c r="H1777" s="748">
        <f>BR1763</f>
        <v>0</v>
      </c>
      <c r="I1777" s="748">
        <f>BS1763</f>
        <v>0</v>
      </c>
      <c r="J1777" s="748">
        <f>BT1763</f>
        <v>0</v>
      </c>
      <c r="K1777" s="748">
        <f>BU1763</f>
        <v>0</v>
      </c>
      <c r="L1777" s="748">
        <f>BV1763</f>
        <v>0</v>
      </c>
      <c r="M1777" s="748">
        <f t="shared" si="308"/>
        <v>0</v>
      </c>
      <c r="N1777" s="748" t="s">
        <v>3328</v>
      </c>
      <c r="Q1777" s="748">
        <f t="shared" si="309"/>
        <v>0</v>
      </c>
      <c r="T1777" s="748" t="s">
        <v>3797</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54</v>
      </c>
      <c r="J1778" s="748">
        <f>SUM(J1776:J1777)</f>
        <v>82</v>
      </c>
      <c r="K1778" s="748">
        <f>SUM(K1776:K1777)</f>
        <v>14</v>
      </c>
      <c r="L1778" s="748">
        <f>SUM(L1776:L1777)</f>
        <v>0</v>
      </c>
      <c r="M1778" s="748">
        <f t="shared" si="308"/>
        <v>150</v>
      </c>
      <c r="Q1778" s="748">
        <f t="shared" si="309"/>
        <v>0</v>
      </c>
      <c r="T1778" s="748" t="s">
        <v>832</v>
      </c>
      <c r="Y1778" s="748">
        <f>SUM(Y1776:Y1777)</f>
        <v>0</v>
      </c>
      <c r="Z1778" s="748">
        <f>SUM(Z1776:Z1777)</f>
        <v>54</v>
      </c>
      <c r="AA1778" s="748">
        <f>SUM(AA1776:AA1777)</f>
        <v>82</v>
      </c>
      <c r="AB1778" s="748">
        <f>SUM(AB1776:AB1777)</f>
        <v>14</v>
      </c>
      <c r="AC1778" s="748">
        <f>SUM(AC1776:AC1777)</f>
        <v>0</v>
      </c>
      <c r="AD1778" s="748">
        <f t="shared" si="310"/>
        <v>150</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12</v>
      </c>
      <c r="J1784" s="748">
        <f>BO1763</f>
        <v>12</v>
      </c>
      <c r="K1784" s="748">
        <f>BP1763</f>
        <v>4</v>
      </c>
      <c r="L1784" s="748">
        <f>BQ1763</f>
        <v>0</v>
      </c>
      <c r="M1784" s="748">
        <f>SUM(H1784:L1784)</f>
        <v>28</v>
      </c>
      <c r="Q1784" s="748">
        <f>ABS(M1784-AD1784)</f>
        <v>0</v>
      </c>
      <c r="T1784" s="748" t="s">
        <v>1482</v>
      </c>
      <c r="X1784" s="748" t="s">
        <v>1791</v>
      </c>
      <c r="Y1784" s="748">
        <f>BM1763</f>
        <v>0</v>
      </c>
      <c r="Z1784" s="748">
        <f>BN1763</f>
        <v>12</v>
      </c>
      <c r="AA1784" s="748">
        <f>BO1763</f>
        <v>12</v>
      </c>
      <c r="AB1784" s="748">
        <f>BP1763</f>
        <v>4</v>
      </c>
      <c r="AC1784" s="748">
        <f>BQ1763</f>
        <v>0</v>
      </c>
      <c r="AD1784" s="748">
        <f>SUM(Y1784:AC1784)</f>
        <v>28</v>
      </c>
    </row>
    <row r="1785" spans="3:31" ht="15" customHeight="1">
      <c r="C1785" s="748" t="s">
        <v>3798</v>
      </c>
      <c r="G1785" s="748" t="s">
        <v>133</v>
      </c>
      <c r="H1785" s="748">
        <f>BH1763</f>
        <v>0</v>
      </c>
      <c r="I1785" s="748">
        <f>BI1763</f>
        <v>0</v>
      </c>
      <c r="J1785" s="748">
        <f>BJ1763</f>
        <v>11</v>
      </c>
      <c r="K1785" s="748">
        <f>BK1763</f>
        <v>2</v>
      </c>
      <c r="L1785" s="748">
        <f>BL1763</f>
        <v>0</v>
      </c>
      <c r="M1785" s="748">
        <f>SUM(H1785:L1785)</f>
        <v>13</v>
      </c>
      <c r="Q1785" s="748">
        <f>ABS(M1785-AD1785)</f>
        <v>0</v>
      </c>
      <c r="T1785" s="748" t="s">
        <v>3798</v>
      </c>
      <c r="X1785" s="748" t="s">
        <v>133</v>
      </c>
      <c r="Y1785" s="748">
        <f>BH1763</f>
        <v>0</v>
      </c>
      <c r="Z1785" s="748">
        <f>BI1763</f>
        <v>0</v>
      </c>
      <c r="AA1785" s="748">
        <f>BJ1763</f>
        <v>11</v>
      </c>
      <c r="AB1785" s="748">
        <f>BK1763</f>
        <v>2</v>
      </c>
      <c r="AC1785" s="748">
        <f>BL1763</f>
        <v>0</v>
      </c>
      <c r="AD1785" s="748">
        <f>SUM(Y1785:AC1785)</f>
        <v>13</v>
      </c>
    </row>
    <row r="1786" spans="3:31" ht="15" customHeight="1">
      <c r="G1786" s="748" t="s">
        <v>832</v>
      </c>
      <c r="H1786" s="748">
        <f>SUM(H1784:H1785)</f>
        <v>0</v>
      </c>
      <c r="I1786" s="748">
        <f>SUM(I1784:I1785)</f>
        <v>12</v>
      </c>
      <c r="J1786" s="748">
        <f>SUM(J1784:J1785)</f>
        <v>23</v>
      </c>
      <c r="K1786" s="748">
        <f>SUM(K1784:K1785)</f>
        <v>6</v>
      </c>
      <c r="L1786" s="748">
        <f>SUM(L1784:L1785)</f>
        <v>0</v>
      </c>
      <c r="M1786" s="748">
        <f>SUM(H1786:L1786)</f>
        <v>41</v>
      </c>
      <c r="Q1786" s="748">
        <f>ABS(M1786-AD1786)</f>
        <v>0</v>
      </c>
      <c r="X1786" s="748" t="s">
        <v>832</v>
      </c>
      <c r="Y1786" s="748">
        <f>SUM(Y1784:Y1785)</f>
        <v>0</v>
      </c>
      <c r="Z1786" s="748">
        <f>SUM(Z1784:Z1785)</f>
        <v>12</v>
      </c>
      <c r="AA1786" s="748">
        <f>SUM(AA1784:AA1785)</f>
        <v>23</v>
      </c>
      <c r="AB1786" s="748">
        <f>SUM(AB1784:AB1785)</f>
        <v>6</v>
      </c>
      <c r="AC1786" s="748">
        <f>SUM(AC1784:AC1785)</f>
        <v>0</v>
      </c>
      <c r="AD1786" s="748">
        <f>SUM(Y1786:AC1786)</f>
        <v>41</v>
      </c>
    </row>
    <row r="1787" spans="3:31" ht="14.45" customHeight="1">
      <c r="C1787" s="748" t="s">
        <v>44</v>
      </c>
      <c r="T1787" s="748" t="s">
        <v>3236</v>
      </c>
    </row>
    <row r="1788" spans="3:31" ht="15" customHeight="1">
      <c r="E1788" s="748" t="s">
        <v>3435</v>
      </c>
      <c r="G1788" s="748" t="s">
        <v>2154</v>
      </c>
      <c r="H1788" s="748">
        <f>DA1763</f>
        <v>0</v>
      </c>
      <c r="I1788" s="748">
        <f>DB1763</f>
        <v>30</v>
      </c>
      <c r="J1788" s="748">
        <f>DC1763</f>
        <v>50</v>
      </c>
      <c r="K1788" s="748">
        <f>DD1763</f>
        <v>10</v>
      </c>
      <c r="L1788" s="748">
        <f>DE1763</f>
        <v>0</v>
      </c>
      <c r="M1788" s="748">
        <f t="shared" ref="M1788:M1798" si="311">SUM(H1788:L1788)</f>
        <v>90</v>
      </c>
      <c r="Q1788" s="748">
        <f t="shared" ref="Q1788:Q1796" si="312">ABS(M1788-AD1788)</f>
        <v>0</v>
      </c>
      <c r="V1788" s="748" t="s">
        <v>3435</v>
      </c>
      <c r="X1788" s="748" t="s">
        <v>2154</v>
      </c>
      <c r="Y1788" s="748">
        <f>DA1763</f>
        <v>0</v>
      </c>
      <c r="Z1788" s="748">
        <f>DB1763</f>
        <v>30</v>
      </c>
      <c r="AA1788" s="748">
        <f>DC1763</f>
        <v>50</v>
      </c>
      <c r="AB1788" s="748">
        <f>DD1763</f>
        <v>10</v>
      </c>
      <c r="AC1788" s="748">
        <f>DE1763</f>
        <v>0</v>
      </c>
      <c r="AD1788" s="748">
        <f t="shared" ref="AD1788:AD1796" si="313">SUM(Y1788:AC1788)</f>
        <v>90</v>
      </c>
    </row>
    <row r="1789" spans="3:31" ht="15" customHeight="1">
      <c r="G1789" s="748" t="s">
        <v>396</v>
      </c>
      <c r="H1789" s="748">
        <f>DF1763</f>
        <v>0</v>
      </c>
      <c r="I1789" s="748">
        <f>DG1763</f>
        <v>24</v>
      </c>
      <c r="J1789" s="748">
        <f>DH1763</f>
        <v>32</v>
      </c>
      <c r="K1789" s="748">
        <f>DI1763</f>
        <v>4</v>
      </c>
      <c r="L1789" s="748">
        <f>DJ1763</f>
        <v>0</v>
      </c>
      <c r="M1789" s="748">
        <f t="shared" si="311"/>
        <v>60</v>
      </c>
      <c r="Q1789" s="748">
        <f t="shared" si="312"/>
        <v>0</v>
      </c>
      <c r="X1789" s="748" t="s">
        <v>2153</v>
      </c>
      <c r="Y1789" s="748">
        <f>DF1763</f>
        <v>0</v>
      </c>
      <c r="Z1789" s="748">
        <f>DG1763</f>
        <v>24</v>
      </c>
      <c r="AA1789" s="748">
        <f>DH1763</f>
        <v>32</v>
      </c>
      <c r="AB1789" s="748">
        <f>DI1763</f>
        <v>4</v>
      </c>
      <c r="AC1789" s="748">
        <f>DJ1763</f>
        <v>0</v>
      </c>
      <c r="AD1789" s="748">
        <f t="shared" si="313"/>
        <v>60</v>
      </c>
    </row>
    <row r="1790" spans="3:31" ht="15" customHeight="1">
      <c r="G1790" s="748" t="s">
        <v>34</v>
      </c>
      <c r="H1790" s="748">
        <f>SUM(H1788:H1789)+DK1763</f>
        <v>0</v>
      </c>
      <c r="I1790" s="748">
        <f>SUM(I1788:I1789)+DL1763</f>
        <v>54</v>
      </c>
      <c r="J1790" s="748">
        <f>SUM(J1788:J1789)+DM1763</f>
        <v>82</v>
      </c>
      <c r="K1790" s="748">
        <f>SUM(K1788:K1789)+DN1763</f>
        <v>14</v>
      </c>
      <c r="L1790" s="748">
        <f>SUM(L1788:L1789)+DO1763</f>
        <v>0</v>
      </c>
      <c r="M1790" s="748">
        <f t="shared" si="311"/>
        <v>150</v>
      </c>
      <c r="Q1790" s="748">
        <f t="shared" si="312"/>
        <v>0</v>
      </c>
      <c r="X1790" s="748" t="s">
        <v>34</v>
      </c>
      <c r="Y1790" s="748">
        <f>SUM(Y1788:Y1789)+DK1763</f>
        <v>0</v>
      </c>
      <c r="Z1790" s="748">
        <f>SUM(Z1788:Z1789)+DL1763</f>
        <v>54</v>
      </c>
      <c r="AA1790" s="748">
        <f>SUM(AA1788:AA1789)+DM1763</f>
        <v>82</v>
      </c>
      <c r="AB1790" s="748">
        <f>SUM(AB1788:AB1789)+DN1763</f>
        <v>14</v>
      </c>
      <c r="AC1790" s="748">
        <f>SUM(AC1788:AC1789)+DO1763</f>
        <v>0</v>
      </c>
      <c r="AD1790" s="748">
        <f t="shared" si="313"/>
        <v>150</v>
      </c>
    </row>
    <row r="1791" spans="3:31" ht="15" customHeight="1">
      <c r="E1791" s="748" t="s">
        <v>3238</v>
      </c>
      <c r="G1791" s="748" t="s">
        <v>2154</v>
      </c>
      <c r="H1791" s="748">
        <f>DP1763</f>
        <v>0</v>
      </c>
      <c r="I1791" s="748">
        <f>DQ1763</f>
        <v>0</v>
      </c>
      <c r="J1791" s="748">
        <f>DR1763</f>
        <v>0</v>
      </c>
      <c r="K1791" s="748">
        <f>DS1763</f>
        <v>0</v>
      </c>
      <c r="L1791" s="748">
        <f>DT1763</f>
        <v>0</v>
      </c>
      <c r="M1791" s="748">
        <f t="shared" si="311"/>
        <v>0</v>
      </c>
      <c r="Q1791" s="748">
        <f t="shared" si="312"/>
        <v>0</v>
      </c>
      <c r="V1791" s="748" t="s">
        <v>3238</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3142</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54</v>
      </c>
      <c r="J1800" s="748">
        <f>EV1763</f>
        <v>82</v>
      </c>
      <c r="K1800" s="748">
        <f>EW1763</f>
        <v>14</v>
      </c>
      <c r="L1800" s="748">
        <f>EX1763</f>
        <v>0</v>
      </c>
      <c r="M1800" s="748">
        <f>SUM(H1800:L1800)</f>
        <v>150</v>
      </c>
      <c r="Q1800" s="748">
        <f>ABS(M1800-AD1800)</f>
        <v>0</v>
      </c>
      <c r="V1800" s="748" t="s">
        <v>46</v>
      </c>
      <c r="Y1800" s="748">
        <f>ET1763</f>
        <v>0</v>
      </c>
      <c r="Z1800" s="748">
        <f>EU1763</f>
        <v>54</v>
      </c>
      <c r="AA1800" s="748">
        <f>EV1763</f>
        <v>82</v>
      </c>
      <c r="AB1800" s="748">
        <f>EW1763</f>
        <v>14</v>
      </c>
      <c r="AC1800" s="748">
        <f>EX1763</f>
        <v>0</v>
      </c>
      <c r="AD1800" s="748">
        <f>SUM(Y1800:AC1800)</f>
        <v>150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3269</v>
      </c>
      <c r="S1806" s="748" t="s">
        <v>1777</v>
      </c>
    </row>
    <row r="1807" spans="2:30" ht="15" customHeight="1">
      <c r="C1807" s="748" t="s">
        <v>3237</v>
      </c>
      <c r="G1807" s="748" t="s">
        <v>1791</v>
      </c>
      <c r="H1807" s="748">
        <f>BW1763</f>
        <v>0</v>
      </c>
      <c r="I1807" s="748">
        <f>BX1763</f>
        <v>15120</v>
      </c>
      <c r="J1807" s="748">
        <f>BY1763</f>
        <v>42081</v>
      </c>
      <c r="K1807" s="748">
        <f>BZ1763</f>
        <v>10112</v>
      </c>
      <c r="L1807" s="748">
        <f>CA1763</f>
        <v>0</v>
      </c>
      <c r="M1807" s="748">
        <f t="shared" ref="M1807:M1813" si="314">SUM(H1807:L1807)</f>
        <v>67313</v>
      </c>
      <c r="Q1807" s="748">
        <f t="shared" ref="Q1807:Q1813" si="315">ABS(M1807-AD1807)</f>
        <v>0</v>
      </c>
      <c r="T1807" s="748" t="s">
        <v>3237</v>
      </c>
      <c r="X1807" s="748" t="s">
        <v>1791</v>
      </c>
      <c r="Y1807" s="748">
        <f>BW1763</f>
        <v>0</v>
      </c>
      <c r="Z1807" s="748">
        <f>BX1763</f>
        <v>15120</v>
      </c>
      <c r="AA1807" s="748">
        <f>BY1763</f>
        <v>42081</v>
      </c>
      <c r="AB1807" s="748">
        <f>BZ1763</f>
        <v>10112</v>
      </c>
      <c r="AC1807" s="748">
        <f>CA1763</f>
        <v>0</v>
      </c>
      <c r="AD1807" s="748">
        <f t="shared" ref="AD1807:AD1813" si="316">SUM(Y1807:AC1807)</f>
        <v>67313</v>
      </c>
    </row>
    <row r="1808" spans="2:30" ht="15" customHeight="1">
      <c r="G1808" s="748" t="s">
        <v>133</v>
      </c>
      <c r="H1808" s="748">
        <f>CB1763</f>
        <v>0</v>
      </c>
      <c r="I1808" s="748">
        <f>CC1763</f>
        <v>7560</v>
      </c>
      <c r="J1808" s="748">
        <f>CD1763</f>
        <v>11869</v>
      </c>
      <c r="K1808" s="748">
        <f>CE1763</f>
        <v>2528</v>
      </c>
      <c r="L1808" s="748">
        <f>CF1763</f>
        <v>0</v>
      </c>
      <c r="M1808" s="748">
        <f t="shared" si="314"/>
        <v>21957</v>
      </c>
      <c r="Q1808" s="748">
        <f t="shared" si="315"/>
        <v>0</v>
      </c>
      <c r="X1808" s="748" t="s">
        <v>133</v>
      </c>
      <c r="Y1808" s="748">
        <f>CB1763</f>
        <v>0</v>
      </c>
      <c r="Z1808" s="748">
        <f>CC1763</f>
        <v>7560</v>
      </c>
      <c r="AA1808" s="748">
        <f>CD1763</f>
        <v>11869</v>
      </c>
      <c r="AB1808" s="748">
        <f>CE1763</f>
        <v>2528</v>
      </c>
      <c r="AC1808" s="748">
        <f>CF1763</f>
        <v>0</v>
      </c>
      <c r="AD1808" s="748">
        <f t="shared" si="316"/>
        <v>21957</v>
      </c>
    </row>
    <row r="1809" spans="1:30" ht="15" customHeight="1">
      <c r="G1809" s="748" t="s">
        <v>832</v>
      </c>
      <c r="H1809" s="748">
        <f>SUM(H1807:H1808)</f>
        <v>0</v>
      </c>
      <c r="I1809" s="748">
        <f>SUM(I1807:I1808)</f>
        <v>22680</v>
      </c>
      <c r="J1809" s="748">
        <f>SUM(J1807:J1808)</f>
        <v>53950</v>
      </c>
      <c r="K1809" s="748">
        <f>SUM(K1807:K1808)</f>
        <v>12640</v>
      </c>
      <c r="L1809" s="748">
        <f>SUM(L1807:L1808)</f>
        <v>0</v>
      </c>
      <c r="M1809" s="748">
        <f t="shared" si="314"/>
        <v>89270</v>
      </c>
      <c r="Q1809" s="748">
        <f t="shared" si="315"/>
        <v>0</v>
      </c>
      <c r="X1809" s="748" t="s">
        <v>832</v>
      </c>
      <c r="Y1809" s="748">
        <f>SUM(Y1807:Y1808)</f>
        <v>0</v>
      </c>
      <c r="Z1809" s="748">
        <f>SUM(Z1807:Z1808)</f>
        <v>22680</v>
      </c>
      <c r="AA1809" s="748">
        <f>SUM(AA1807:AA1808)</f>
        <v>53950</v>
      </c>
      <c r="AB1809" s="748">
        <f>SUM(AB1807:AB1808)</f>
        <v>12640</v>
      </c>
      <c r="AC1809" s="748">
        <f>SUM(AC1807:AC1808)</f>
        <v>0</v>
      </c>
      <c r="AD1809" s="748">
        <f t="shared" si="316"/>
        <v>89270</v>
      </c>
    </row>
    <row r="1810" spans="1:30" ht="15" customHeight="1">
      <c r="C1810" s="748" t="s">
        <v>396</v>
      </c>
      <c r="H1810" s="748">
        <f>CL1763</f>
        <v>0</v>
      </c>
      <c r="I1810" s="748">
        <f>CM1763</f>
        <v>18144</v>
      </c>
      <c r="J1810" s="748">
        <f>CN1763</f>
        <v>34528</v>
      </c>
      <c r="K1810" s="748">
        <f>CO1763</f>
        <v>5056</v>
      </c>
      <c r="L1810" s="748">
        <f>CP1763</f>
        <v>0</v>
      </c>
      <c r="M1810" s="748">
        <f t="shared" si="314"/>
        <v>57728</v>
      </c>
      <c r="Q1810" s="748">
        <f t="shared" si="315"/>
        <v>0</v>
      </c>
      <c r="T1810" s="748" t="s">
        <v>396</v>
      </c>
      <c r="Y1810" s="748">
        <f>CL1763</f>
        <v>0</v>
      </c>
      <c r="Z1810" s="748">
        <f>CM1763</f>
        <v>18144</v>
      </c>
      <c r="AA1810" s="748">
        <f>CN1763</f>
        <v>34528</v>
      </c>
      <c r="AB1810" s="748">
        <f>CO1763</f>
        <v>5056</v>
      </c>
      <c r="AC1810" s="748">
        <f>CP1763</f>
        <v>0</v>
      </c>
      <c r="AD1810" s="748">
        <f t="shared" si="316"/>
        <v>57728</v>
      </c>
    </row>
    <row r="1811" spans="1:30" ht="15" customHeight="1">
      <c r="C1811" s="748" t="s">
        <v>1779</v>
      </c>
      <c r="H1811" s="748">
        <f>SUM(H1809:H1810)</f>
        <v>0</v>
      </c>
      <c r="I1811" s="748">
        <f>SUM(I1809:I1810)</f>
        <v>40824</v>
      </c>
      <c r="J1811" s="748">
        <f>SUM(J1809:J1810)</f>
        <v>88478</v>
      </c>
      <c r="K1811" s="748">
        <f>SUM(K1809:K1810)</f>
        <v>17696</v>
      </c>
      <c r="L1811" s="748">
        <f>SUM(L1809:L1810)</f>
        <v>0</v>
      </c>
      <c r="M1811" s="748">
        <f t="shared" si="314"/>
        <v>146998</v>
      </c>
      <c r="Q1811" s="748">
        <f t="shared" si="315"/>
        <v>0</v>
      </c>
      <c r="T1811" s="748" t="s">
        <v>1779</v>
      </c>
      <c r="Y1811" s="748">
        <f>SUM(Y1809:Y1810)</f>
        <v>0</v>
      </c>
      <c r="Z1811" s="748">
        <f>SUM(Z1809:Z1810)</f>
        <v>40824</v>
      </c>
      <c r="AA1811" s="748">
        <f>SUM(AA1809:AA1810)</f>
        <v>88478</v>
      </c>
      <c r="AB1811" s="748">
        <f>SUM(AB1809:AB1810)</f>
        <v>17696</v>
      </c>
      <c r="AC1811" s="748">
        <f>SUM(AC1809:AC1810)</f>
        <v>0</v>
      </c>
      <c r="AD1811" s="748">
        <f t="shared" si="316"/>
        <v>146998</v>
      </c>
    </row>
    <row r="1812" spans="1:30" ht="15" customHeight="1">
      <c r="C1812" s="748" t="s">
        <v>3797</v>
      </c>
      <c r="H1812" s="748">
        <f>CV1763</f>
        <v>0</v>
      </c>
      <c r="I1812" s="748">
        <f>CW1763</f>
        <v>0</v>
      </c>
      <c r="J1812" s="748">
        <f>CX1763</f>
        <v>0</v>
      </c>
      <c r="K1812" s="748">
        <f>CY1763</f>
        <v>0</v>
      </c>
      <c r="L1812" s="748">
        <f>CZ1763</f>
        <v>0</v>
      </c>
      <c r="M1812" s="748">
        <f t="shared" si="314"/>
        <v>0</v>
      </c>
      <c r="Q1812" s="748">
        <f t="shared" si="315"/>
        <v>0</v>
      </c>
      <c r="T1812" s="748" t="s">
        <v>3797</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40824</v>
      </c>
      <c r="J1813" s="748">
        <f>SUM(J1811:J1812)</f>
        <v>88478</v>
      </c>
      <c r="K1813" s="748">
        <f>SUM(K1811:K1812)</f>
        <v>17696</v>
      </c>
      <c r="L1813" s="748">
        <f>SUM(L1811:L1812)</f>
        <v>0</v>
      </c>
      <c r="M1813" s="748">
        <f t="shared" si="314"/>
        <v>146998</v>
      </c>
      <c r="Q1813" s="748">
        <f t="shared" si="315"/>
        <v>0</v>
      </c>
      <c r="T1813" s="748" t="s">
        <v>832</v>
      </c>
      <c r="Y1813" s="748">
        <f>SUM(Y1811:Y1812)</f>
        <v>0</v>
      </c>
      <c r="Z1813" s="748">
        <f>SUM(Z1811:Z1812)</f>
        <v>40824</v>
      </c>
      <c r="AA1813" s="748">
        <f>SUM(AA1811:AA1812)</f>
        <v>88478</v>
      </c>
      <c r="AB1813" s="748">
        <f>SUM(AB1811:AB1812)</f>
        <v>17696</v>
      </c>
      <c r="AC1813" s="748">
        <f>SUM(AC1811:AC1812)</f>
        <v>0</v>
      </c>
      <c r="AD1813" s="748">
        <f t="shared" si="316"/>
        <v>146998</v>
      </c>
    </row>
    <row r="1814" spans="1:30" ht="4.9000000000000004" customHeight="1"/>
    <row r="1815" spans="1:30" ht="13.9" customHeight="1">
      <c r="A1815" s="748" t="s">
        <v>1231</v>
      </c>
      <c r="B1815" s="748" t="s">
        <v>4137</v>
      </c>
    </row>
    <row r="1816" spans="1:30" ht="9" customHeight="1"/>
    <row r="1817" spans="1:30" ht="12.6" customHeight="1">
      <c r="B1817" s="748" t="s">
        <v>1632</v>
      </c>
      <c r="G1817" s="748">
        <f>0.02*L1764</f>
        <v>20240.16</v>
      </c>
      <c r="I1817" s="748" t="s">
        <v>3752</v>
      </c>
    </row>
    <row r="1818" spans="1:30" ht="15" customHeight="1"/>
    <row r="1819" spans="1:30" ht="13.9" customHeight="1">
      <c r="B1819" s="748" t="s">
        <v>2169</v>
      </c>
    </row>
    <row r="1820" spans="1:30" ht="15" customHeight="1"/>
    <row r="1821" spans="1:30" ht="13.9"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286157.80417680001</v>
      </c>
      <c r="H1822" s="748">
        <f>'Part VI-Revenues &amp; Expenses'!H107</f>
        <v>291880.960260336</v>
      </c>
      <c r="I1822" s="748">
        <f>'Part VI-Revenues &amp; Expenses'!I107</f>
        <v>297718.57946554275</v>
      </c>
      <c r="J1822" s="748">
        <f>'Part VI-Revenues &amp; Expenses'!J107</f>
        <v>303672.95105485362</v>
      </c>
      <c r="K1822" s="748">
        <f>'Part VI-Revenues &amp; Expenses'!K107</f>
        <v>309746.41007595067</v>
      </c>
      <c r="L1822" s="748">
        <f>'Part VI-Revenues &amp; Expenses'!L107</f>
        <v>315941.33827746968</v>
      </c>
      <c r="M1822" s="748">
        <f>'Part VI-Revenues &amp; Expenses'!M107</f>
        <v>322260.16504301911</v>
      </c>
      <c r="N1822" s="748">
        <f>'Part VI-Revenues &amp; Expenses'!N107</f>
        <v>328705.36834387947</v>
      </c>
      <c r="O1822" s="748">
        <f>'Part VI-Revenues &amp; Expenses'!O107</f>
        <v>335279.47571075708</v>
      </c>
      <c r="P1822" s="748">
        <f>'Part VI-Revenues &amp; Expenses'!P107</f>
        <v>341985.0652249722</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286157.80417680001</v>
      </c>
      <c r="H1824" s="748">
        <f t="shared" si="317"/>
        <v>291880.960260336</v>
      </c>
      <c r="I1824" s="748">
        <f t="shared" si="317"/>
        <v>297718.57946554275</v>
      </c>
      <c r="J1824" s="748">
        <f t="shared" si="317"/>
        <v>303672.95105485362</v>
      </c>
      <c r="K1824" s="748">
        <f t="shared" si="317"/>
        <v>309746.41007595067</v>
      </c>
      <c r="L1824" s="748">
        <f t="shared" si="317"/>
        <v>315941.33827746968</v>
      </c>
      <c r="M1824" s="748">
        <f t="shared" si="317"/>
        <v>322260.16504301911</v>
      </c>
      <c r="N1824" s="748">
        <f t="shared" si="317"/>
        <v>328705.36834387947</v>
      </c>
      <c r="O1824" s="748">
        <f t="shared" si="317"/>
        <v>335279.47571075708</v>
      </c>
      <c r="P1824" s="748">
        <f t="shared" si="317"/>
        <v>341985.0652249722</v>
      </c>
    </row>
    <row r="1825" spans="2:16" ht="6.6" customHeight="1"/>
    <row r="1826" spans="2:16" ht="15.6" customHeight="1">
      <c r="B1826" s="748" t="s">
        <v>4138</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4139</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348824.76652947167</v>
      </c>
      <c r="H1833" s="748">
        <f>'Part VI-Revenues &amp; Expenses'!H118</f>
        <v>355801.26186006109</v>
      </c>
      <c r="I1833" s="748">
        <f>'Part VI-Revenues &amp; Expenses'!I118</f>
        <v>362917.28709726234</v>
      </c>
      <c r="J1833" s="748">
        <f>'Part VI-Revenues &amp; Expenses'!J118</f>
        <v>370175.6328392076</v>
      </c>
      <c r="K1833" s="748">
        <f>'Part VI-Revenues &amp; Expenses'!K118</f>
        <v>377579.14549599175</v>
      </c>
      <c r="L1833" s="748">
        <f>'Part VI-Revenues &amp; Expenses'!L118</f>
        <v>385130.72840591159</v>
      </c>
      <c r="M1833" s="748">
        <f>'Part VI-Revenues &amp; Expenses'!M118</f>
        <v>392833.34297402983</v>
      </c>
      <c r="N1833" s="748">
        <f>'Part VI-Revenues &amp; Expenses'!N118</f>
        <v>400690.00983351044</v>
      </c>
      <c r="O1833" s="748">
        <f>'Part VI-Revenues &amp; Expenses'!O118</f>
        <v>408703.81003018067</v>
      </c>
      <c r="P1833" s="748">
        <f>'Part VI-Revenues &amp; Expenses'!P118</f>
        <v>416877.88623078429</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348824.76652947167</v>
      </c>
      <c r="H1835" s="748">
        <f t="shared" si="319"/>
        <v>355801.26186006109</v>
      </c>
      <c r="I1835" s="748">
        <f t="shared" si="319"/>
        <v>362917.28709726234</v>
      </c>
      <c r="J1835" s="748">
        <f t="shared" si="319"/>
        <v>370175.6328392076</v>
      </c>
      <c r="K1835" s="748">
        <f t="shared" si="319"/>
        <v>377579.14549599175</v>
      </c>
      <c r="L1835" s="748">
        <f t="shared" si="319"/>
        <v>385130.72840591159</v>
      </c>
      <c r="M1835" s="748">
        <f t="shared" si="319"/>
        <v>392833.34297402983</v>
      </c>
      <c r="N1835" s="748">
        <f t="shared" si="319"/>
        <v>400690.00983351044</v>
      </c>
      <c r="O1835" s="748">
        <f t="shared" si="319"/>
        <v>408703.81003018067</v>
      </c>
      <c r="P1835" s="748">
        <f t="shared" si="319"/>
        <v>416877.88623078429</v>
      </c>
    </row>
    <row r="1836" spans="2:16" ht="6.6" customHeight="1"/>
    <row r="1837" spans="2:16" ht="15.6" customHeight="1">
      <c r="B1837" s="748" t="s">
        <v>4138</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4139</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425215.44395539997</v>
      </c>
      <c r="H1844" s="748">
        <f>'Part VI-Revenues &amp; Expenses'!H129</f>
        <v>433719.75283450796</v>
      </c>
      <c r="I1844" s="748">
        <f>'Part VI-Revenues &amp; Expenses'!I129</f>
        <v>442394.14789119811</v>
      </c>
      <c r="J1844" s="748">
        <f>'Part VI-Revenues &amp; Expenses'!J129</f>
        <v>451242.03084902209</v>
      </c>
      <c r="K1844" s="748">
        <f>'Part VI-Revenues &amp; Expenses'!K129</f>
        <v>460266.87146600254</v>
      </c>
      <c r="L1844" s="748">
        <f>'Part VI-Revenues &amp; Expenses'!L129</f>
        <v>469472.20889532258</v>
      </c>
      <c r="M1844" s="748">
        <f>'Part VI-Revenues &amp; Expenses'!M129</f>
        <v>478861.65307322901</v>
      </c>
      <c r="N1844" s="748">
        <f>'Part VI-Revenues &amp; Expenses'!N129</f>
        <v>488438.88613469357</v>
      </c>
      <c r="O1844" s="748">
        <f>'Part VI-Revenues &amp; Expenses'!O129</f>
        <v>498207.66385738744</v>
      </c>
      <c r="P1844" s="748">
        <f>'Part VI-Revenues &amp; Expenses'!P129</f>
        <v>508171.81713453517</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425215.44395539997</v>
      </c>
      <c r="H1846" s="748">
        <f t="shared" si="321"/>
        <v>433719.75283450796</v>
      </c>
      <c r="I1846" s="748">
        <f t="shared" si="321"/>
        <v>442394.14789119811</v>
      </c>
      <c r="J1846" s="748">
        <f t="shared" si="321"/>
        <v>451242.03084902209</v>
      </c>
      <c r="K1846" s="748">
        <f t="shared" si="321"/>
        <v>460266.87146600254</v>
      </c>
      <c r="L1846" s="748">
        <f t="shared" si="321"/>
        <v>469472.20889532258</v>
      </c>
      <c r="M1846" s="748">
        <f t="shared" si="321"/>
        <v>478861.65307322901</v>
      </c>
      <c r="N1846" s="748">
        <f t="shared" si="321"/>
        <v>488438.88613469357</v>
      </c>
      <c r="O1846" s="748">
        <f t="shared" si="321"/>
        <v>498207.66385738744</v>
      </c>
      <c r="P1846" s="748">
        <f t="shared" si="321"/>
        <v>508171.81713453517</v>
      </c>
    </row>
    <row r="1847" spans="1:16" ht="6.6" customHeight="1"/>
    <row r="1848" spans="1:16" ht="15.6" customHeight="1">
      <c r="B1848" s="748" t="s">
        <v>4138</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4139</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3303</v>
      </c>
      <c r="F1857" s="748">
        <f>'Part VI-Revenues &amp; Expenses'!F142</f>
        <v>95875</v>
      </c>
      <c r="I1857" s="748" t="s">
        <v>2080</v>
      </c>
      <c r="K1857" s="748">
        <f>'Part VI-Revenues &amp; Expenses'!K142</f>
        <v>25000</v>
      </c>
      <c r="N1857" s="748" t="s">
        <v>1524</v>
      </c>
      <c r="P1857" s="748">
        <f>'Part VI-Revenues &amp; Expenses'!P142</f>
        <v>101330</v>
      </c>
    </row>
    <row r="1858" spans="2:16" ht="15.6" customHeight="1">
      <c r="B1858" s="748" t="s">
        <v>2069</v>
      </c>
      <c r="F1858" s="748">
        <f>'Part VI-Revenues &amp; Expenses'!F143</f>
        <v>76917</v>
      </c>
      <c r="I1858" s="748" t="s">
        <v>2081</v>
      </c>
      <c r="K1858" s="748">
        <f>'Part VI-Revenues &amp; Expenses'!K143</f>
        <v>3200</v>
      </c>
      <c r="N1858" s="748" t="s">
        <v>200</v>
      </c>
      <c r="P1858" s="748">
        <f>'Part VI-Revenues &amp; Expenses'!P143</f>
        <v>32000</v>
      </c>
    </row>
    <row r="1859" spans="2:16" ht="15.6" customHeight="1">
      <c r="B1859" s="748" t="s">
        <v>1916</v>
      </c>
      <c r="F1859" s="748">
        <f>'Part VI-Revenues &amp; Expenses'!F144</f>
        <v>35411</v>
      </c>
      <c r="J1859" s="748" t="s">
        <v>249</v>
      </c>
      <c r="K1859" s="748">
        <f>SUM(K1857:L1858)</f>
        <v>28200</v>
      </c>
      <c r="N1859" s="748" t="str">
        <f>'Part VI-Revenues &amp; Expenses'!N144</f>
        <v>Other (describe here)</v>
      </c>
      <c r="P1859" s="748">
        <f>'Part VI-Revenues &amp; Expenses'!P144</f>
        <v>0</v>
      </c>
    </row>
    <row r="1860" spans="2:16" ht="15.6" customHeight="1">
      <c r="B1860" s="748" t="str">
        <f>'Part VI-Revenues &amp; Expenses'!B145</f>
        <v>Payroll Taxes</v>
      </c>
      <c r="F1860" s="748">
        <f>'Part VI-Revenues &amp; Expenses'!F145</f>
        <v>17705</v>
      </c>
      <c r="N1860" s="748" t="s">
        <v>249</v>
      </c>
      <c r="P1860" s="748">
        <f>SUM(P1857:P1859)</f>
        <v>133330</v>
      </c>
    </row>
    <row r="1861" spans="2:16" ht="15.6" customHeight="1">
      <c r="C1861" s="748" t="s">
        <v>249</v>
      </c>
      <c r="F1861" s="748">
        <f>SUM(F1857:G1860)</f>
        <v>225908</v>
      </c>
    </row>
    <row r="1862" spans="2:16" ht="9" customHeight="1"/>
    <row r="1863" spans="2:16" ht="13.15" customHeight="1">
      <c r="B1863" s="748" t="s">
        <v>1991</v>
      </c>
      <c r="I1863" s="748" t="s">
        <v>1992</v>
      </c>
      <c r="N1863" s="748" t="s">
        <v>2082</v>
      </c>
      <c r="P1863" s="748">
        <f>IF(OR('Part VII-Pro Forma'!$B$20 = "Choose Mgt Fee",'Part VII-Pro Forma'!$B$20 = "Choose One!"), 0,- 'Part VII-Pro Forma'!$B$20)</f>
        <v>81000</v>
      </c>
    </row>
    <row r="1864" spans="2:16" ht="15.6" customHeight="1">
      <c r="B1864" s="748" t="s">
        <v>2074</v>
      </c>
      <c r="F1864" s="748">
        <f>'Part VI-Revenues &amp; Expenses'!F149</f>
        <v>4800</v>
      </c>
      <c r="I1864" s="748" t="s">
        <v>2364</v>
      </c>
      <c r="K1864" s="748">
        <f>'Part VI-Revenues &amp; Expenses'!K149</f>
        <v>10000</v>
      </c>
      <c r="N1864" s="748">
        <f>+P1863/(M1778*0.93)</f>
        <v>580.64516129032256</v>
      </c>
      <c r="O1864" s="748" t="s">
        <v>3862</v>
      </c>
    </row>
    <row r="1865" spans="2:16" ht="15.6" customHeight="1">
      <c r="B1865" s="748" t="s">
        <v>2075</v>
      </c>
      <c r="F1865" s="748">
        <f>'Part VI-Revenues &amp; Expenses'!F150</f>
        <v>15400</v>
      </c>
      <c r="I1865" s="748" t="s">
        <v>3141</v>
      </c>
      <c r="K1865" s="748">
        <f>'Part VI-Revenues &amp; Expenses'!K150</f>
        <v>10400</v>
      </c>
      <c r="N1865" s="748">
        <f>+P1863/(M1778*0.93)/12</f>
        <v>48.387096774193544</v>
      </c>
      <c r="O1865" s="748" t="s">
        <v>3863</v>
      </c>
    </row>
    <row r="1866" spans="2:16" ht="15.6" customHeight="1">
      <c r="B1866" s="748" t="s">
        <v>2076</v>
      </c>
      <c r="F1866" s="748">
        <f>'Part VI-Revenues &amp; Expenses'!F151</f>
        <v>1200</v>
      </c>
      <c r="I1866" s="748" t="s">
        <v>2365</v>
      </c>
      <c r="K1866" s="748">
        <f>'Part VI-Revenues &amp; Expenses'!K151</f>
        <v>26000</v>
      </c>
    </row>
    <row r="1867" spans="2:16" ht="15.6" customHeight="1">
      <c r="B1867" s="748" t="s">
        <v>3488</v>
      </c>
      <c r="F1867" s="748">
        <f>'Part VI-Revenues &amp; Expenses'!F152</f>
        <v>9950</v>
      </c>
      <c r="I1867" s="748" t="str">
        <f>'Part VI-Revenues &amp; Expenses'!I152</f>
        <v>Other (describe here)</v>
      </c>
      <c r="K1867" s="748">
        <f>'Part VI-Revenues &amp; Expenses'!K152</f>
        <v>0</v>
      </c>
      <c r="N1867" s="748" t="s">
        <v>3732</v>
      </c>
    </row>
    <row r="1868" spans="2:16" ht="15.6" customHeight="1">
      <c r="B1868" s="748" t="s">
        <v>2362</v>
      </c>
      <c r="F1868" s="748">
        <f>'Part VI-Revenues &amp; Expenses'!F153</f>
        <v>10500</v>
      </c>
      <c r="J1868" s="748" t="s">
        <v>249</v>
      </c>
      <c r="K1868" s="748">
        <f>SUM(K1864:K1867)</f>
        <v>46400</v>
      </c>
    </row>
    <row r="1869" spans="2:16" ht="15.6" customHeight="1">
      <c r="B1869" s="748" t="str">
        <f>'Part VI-Revenues &amp; Expenses'!B154</f>
        <v>Bank chg, software, training, credit checks, model unit</v>
      </c>
      <c r="F1869" s="748">
        <f>'Part VI-Revenues &amp; Expenses'!F154</f>
        <v>15000</v>
      </c>
    </row>
    <row r="1870" spans="2:16" ht="15.6" customHeight="1">
      <c r="C1870" s="748" t="s">
        <v>249</v>
      </c>
      <c r="F1870" s="748">
        <f>SUM(F1864:G1869)</f>
        <v>56850</v>
      </c>
    </row>
    <row r="1871" spans="2:16" ht="9" customHeight="1"/>
    <row r="1872" spans="2:16" ht="13.15" customHeight="1">
      <c r="B1872" s="748" t="s">
        <v>1993</v>
      </c>
      <c r="I1872" s="748" t="s">
        <v>2077</v>
      </c>
      <c r="J1872" s="748" t="s">
        <v>3554</v>
      </c>
      <c r="N1872" s="748" t="s">
        <v>3293</v>
      </c>
    </row>
    <row r="1873" spans="1:16" ht="15.6" customHeight="1">
      <c r="B1873" s="748" t="s">
        <v>2366</v>
      </c>
      <c r="F1873" s="748">
        <f>'Part VI-Revenues &amp; Expenses'!F158</f>
        <v>22000</v>
      </c>
      <c r="I1873" s="748" t="s">
        <v>2070</v>
      </c>
      <c r="J1873" s="748" t="e">
        <f>K1873/12/$M$63</f>
        <v>#DIV/0!</v>
      </c>
      <c r="K1873" s="748">
        <f>'Part VI-Revenues &amp; Expenses'!K158</f>
        <v>40000</v>
      </c>
      <c r="N1873" s="748" t="e">
        <f>+$P$158/$M$63</f>
        <v>#DIV/0!</v>
      </c>
      <c r="O1873" s="748" t="s">
        <v>2110</v>
      </c>
      <c r="P1873" s="748">
        <f>F1861+F1870+F1881+K1859+K1868+K1878+P1860+P1863</f>
        <v>798388</v>
      </c>
    </row>
    <row r="1874" spans="1:16" ht="15.6" customHeight="1">
      <c r="B1874" s="748" t="s">
        <v>2367</v>
      </c>
      <c r="F1874" s="748">
        <f>'Part VI-Revenues &amp; Expenses'!F159</f>
        <v>30000</v>
      </c>
      <c r="I1874" s="748" t="s">
        <v>2071</v>
      </c>
      <c r="J1874" s="748" t="e">
        <f>K1874/12/$M$63</f>
        <v>#DIV/0!</v>
      </c>
      <c r="K1874" s="748">
        <f>'Part VI-Revenues &amp; Expenses'!K159</f>
        <v>0</v>
      </c>
    </row>
    <row r="1875" spans="1:16" ht="15.6" customHeight="1">
      <c r="B1875" s="748" t="s">
        <v>2368</v>
      </c>
      <c r="F1875" s="748">
        <f>'Part VI-Revenues &amp; Expenses'!F160</f>
        <v>23600</v>
      </c>
      <c r="I1875" s="748" t="s">
        <v>3553</v>
      </c>
      <c r="J1875" s="748" t="e">
        <f>K1875/12/$M$63</f>
        <v>#DIV/0!</v>
      </c>
      <c r="K1875" s="748">
        <f>'Part VI-Revenues &amp; Expenses'!K160</f>
        <v>65000</v>
      </c>
    </row>
    <row r="1876" spans="1:16" ht="15.6" customHeight="1">
      <c r="B1876" s="748" t="s">
        <v>1616</v>
      </c>
      <c r="F1876" s="748">
        <f>'Part VI-Revenues &amp; Expenses'!F161</f>
        <v>2600</v>
      </c>
      <c r="I1876" s="748" t="s">
        <v>2073</v>
      </c>
      <c r="K1876" s="748">
        <f>'Part VI-Revenues &amp; Expenses'!K161</f>
        <v>12000</v>
      </c>
      <c r="N1876" s="748" t="s">
        <v>1922</v>
      </c>
      <c r="P1876" s="748">
        <f>P1877*M1778</f>
        <v>59700</v>
      </c>
    </row>
    <row r="1877" spans="1:16" ht="15.6" customHeight="1">
      <c r="B1877" s="748" t="s">
        <v>1617</v>
      </c>
      <c r="F1877" s="748">
        <f>'Part VI-Revenues &amp; Expenses'!F162</f>
        <v>5000</v>
      </c>
      <c r="I1877" s="748" t="str">
        <f>'Part VI-Revenues &amp; Expenses'!I162</f>
        <v>Water Billing: Tenant Payment to tenants</v>
      </c>
      <c r="K1877" s="748">
        <f>'Part VI-Revenues &amp; Expenses'!K162</f>
        <v>11500</v>
      </c>
      <c r="N1877" s="748" t="s">
        <v>679</v>
      </c>
      <c r="P1877" s="748">
        <f>'Part VI-Revenues &amp; Expenses'!P162</f>
        <v>398</v>
      </c>
    </row>
    <row r="1878" spans="1:16" ht="15.6" customHeight="1">
      <c r="B1878" s="748" t="s">
        <v>1618</v>
      </c>
      <c r="F1878" s="748">
        <f>'Part VI-Revenues &amp; Expenses'!F163</f>
        <v>0</v>
      </c>
      <c r="J1878" s="748" t="s">
        <v>249</v>
      </c>
      <c r="K1878" s="748">
        <f>SUM(K1873:K1877)</f>
        <v>128500</v>
      </c>
    </row>
    <row r="1879" spans="1:16" ht="15.6" customHeight="1">
      <c r="B1879" s="748" t="s">
        <v>1458</v>
      </c>
      <c r="F1879" s="748">
        <f>'Part VI-Revenues &amp; Expenses'!F164</f>
        <v>0</v>
      </c>
    </row>
    <row r="1880" spans="1:16" ht="15.6" customHeight="1">
      <c r="B1880" s="748" t="str">
        <f>'Part VI-Revenues &amp; Expenses'!B165</f>
        <v>Turnover</v>
      </c>
      <c r="F1880" s="748">
        <f>'Part VI-Revenues &amp; Expenses'!F165</f>
        <v>15000</v>
      </c>
      <c r="N1880" s="748" t="s">
        <v>3294</v>
      </c>
    </row>
    <row r="1881" spans="1:16" ht="15.6" customHeight="1">
      <c r="C1881" s="748" t="s">
        <v>249</v>
      </c>
      <c r="F1881" s="748">
        <f>SUM(F1873:G1880)</f>
        <v>98200</v>
      </c>
      <c r="P1881" s="748">
        <f>P1873+P1876</f>
        <v>858088</v>
      </c>
    </row>
    <row r="1882" spans="1:16" ht="10.9" customHeight="1"/>
    <row r="1883" spans="1:16" ht="12" customHeight="1">
      <c r="A1883" s="748" t="s">
        <v>2825</v>
      </c>
      <c r="B1883" s="748" t="s">
        <v>879</v>
      </c>
      <c r="K1883" s="748" t="s">
        <v>822</v>
      </c>
      <c r="L1883" s="748" t="s">
        <v>2898</v>
      </c>
    </row>
    <row r="1884" spans="1:16" ht="51.6" customHeight="1">
      <c r="A1884" s="748" t="str">
        <f>'Part VI-Revenues &amp; Expenses'!A169</f>
        <v>Ashley Auburn Pointe II will be a mixed-income project located on land owned by the Atlanta Housing Authority.  The land and AHA units are exempt from taxes under O.C.G.A § 8-3-8.  A copy of the statute has been placed in Tab 8 for reference along with the calculation of real estate taxes.</v>
      </c>
      <c r="K1884" s="748">
        <f>'Part VI-Revenues &amp; Expenses'!K169</f>
        <v>0</v>
      </c>
    </row>
    <row r="1885" spans="1:16" ht="51.6" customHeight="1">
      <c r="A1885" s="748" t="str">
        <f>'Part VI-Revenues &amp; Expenses'!A170</f>
        <v xml:space="preserve">The  insurance amount is based upon a quote from McGriff Seibels Williams that is included in Tab 8.  The quote includes permanent property, general liability, and umbrella coverage using current pricing.  </v>
      </c>
      <c r="K1885" s="748">
        <f>'Part VI-Revenues &amp; Expenses'!K170</f>
        <v>0</v>
      </c>
    </row>
    <row r="1886" spans="1:16" ht="51.6" customHeight="1">
      <c r="A1886" s="748" t="str">
        <f>'Part VI-Revenues &amp; Expenses'!A171</f>
        <v xml:space="preserve">Operating Subsidy is calculated in an amount equal to the difference between rent collected (assumed tenant rents equal to zero for tax credit application purpose) and the cost to operate the 51 public housing units on a breakeven basis.   The Replacement Reserve amount per unit per year is the calculated amount required by the first mortgage lender using HUD guidelines. That calculation yields the largest replacement reserve requirement.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2011-013 Ashley Auburn Pointe II , ,  County</v>
      </c>
    </row>
    <row r="1891" spans="1:11">
      <c r="A1891" s="748" t="s">
        <v>100</v>
      </c>
      <c r="D1891" s="748" t="s">
        <v>90</v>
      </c>
      <c r="F1891" s="748" t="s">
        <v>4140</v>
      </c>
    </row>
    <row r="1893" spans="1:11">
      <c r="A1893" s="748" t="s">
        <v>3295</v>
      </c>
      <c r="B1893" s="748">
        <v>0.02</v>
      </c>
      <c r="D1893" s="748" t="s">
        <v>1365</v>
      </c>
      <c r="G1893" s="748">
        <f>'Part VII-Pro Forma'!G5</f>
        <v>15000</v>
      </c>
      <c r="H1893" s="748" t="s">
        <v>2972</v>
      </c>
      <c r="K1893" s="748" t="str">
        <f>IF(($B$14+$B$15+$B$16+$B$17)=0,"",-B1918/($B$14+$B$15+$B$16+$B$17))</f>
        <v/>
      </c>
    </row>
    <row r="1894" spans="1:11">
      <c r="A1894" s="748" t="s">
        <v>3296</v>
      </c>
      <c r="B1894" s="748">
        <v>0.03</v>
      </c>
      <c r="D1894" s="748" t="s">
        <v>1366</v>
      </c>
      <c r="G1894" s="748">
        <f>'Part VII-Pro Forma'!G6</f>
        <v>25640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7.0000000000000007E-2</v>
      </c>
      <c r="D1896" s="748" t="s">
        <v>3789</v>
      </c>
      <c r="G1896" s="748">
        <f>'Part VII-Pro Forma'!G8</f>
        <v>0</v>
      </c>
      <c r="H1896" s="748" t="s">
        <v>2168</v>
      </c>
      <c r="K1896" s="748">
        <f>'Part VII-Pro Forma'!K8</f>
        <v>0</v>
      </c>
    </row>
    <row r="1897" spans="1:11">
      <c r="A1897" s="748" t="s">
        <v>2129</v>
      </c>
      <c r="B1897" s="748">
        <v>0.02</v>
      </c>
      <c r="D1897" s="748" t="s">
        <v>2743</v>
      </c>
      <c r="G1897" s="748" t="str">
        <f>'Part VII-Pro Forma'!G9</f>
        <v>Yes</v>
      </c>
      <c r="H1897" s="748" t="s">
        <v>3561</v>
      </c>
      <c r="K1897" s="748">
        <f>'Part VII-Pro Forma'!K9</f>
        <v>6.5000000000000002E-2</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-244294.8564282002</v>
      </c>
      <c r="C1911" s="748">
        <f>IF('Part III A-Sources of Funds'!$M$32="", 0,-'Part III A-Sources of Funds'!$M$32)</f>
        <v>-244294.8564282002</v>
      </c>
      <c r="D1911" s="748">
        <f>IF('Part III A-Sources of Funds'!$M$32="", 0,-'Part III A-Sources of Funds'!$M$32)</f>
        <v>-244294.8564282002</v>
      </c>
      <c r="E1911" s="748">
        <f>IF('Part III A-Sources of Funds'!$M$32="", 0,-'Part III A-Sources of Funds'!$M$32)</f>
        <v>-244294.8564282002</v>
      </c>
      <c r="F1911" s="748">
        <f>IF('Part III A-Sources of Funds'!$M$32="", 0,-'Part III A-Sources of Funds'!$M$32)</f>
        <v>-244294.8564282002</v>
      </c>
      <c r="G1911" s="748">
        <f>IF('Part III A-Sources of Funds'!$M$32="", 0,-'Part III A-Sources of Funds'!$M$32)</f>
        <v>-244294.8564282002</v>
      </c>
      <c r="H1911" s="748">
        <f>IF('Part III A-Sources of Funds'!$M$32="", 0,-'Part III A-Sources of Funds'!$M$32)</f>
        <v>-244294.8564282002</v>
      </c>
      <c r="I1911" s="748">
        <f>IF('Part III A-Sources of Funds'!$M$32="", 0,-'Part III A-Sources of Funds'!$M$32)</f>
        <v>-244294.8564282002</v>
      </c>
      <c r="J1911" s="748">
        <f>IF('Part III A-Sources of Funds'!$M$32="", 0,-'Part III A-Sources of Funds'!$M$32)</f>
        <v>-244294.8564282002</v>
      </c>
      <c r="K1911" s="748">
        <f>IF('Part III A-Sources of Funds'!$M$32="", 0,-'Part III A-Sources of Funds'!$M$32)</f>
        <v>-244294.8564282002</v>
      </c>
    </row>
    <row r="1912" spans="1:11">
      <c r="A1912" s="748" t="str">
        <f>IF('Part III A-Sources of Funds'!$E$32="USDA 538 Loan","USDA Guaranty Fee",IF('Part III A-Sources of Funds'!$E$32="HUD Insured Loan", "HUD MIP",""))</f>
        <v>HUD MIP</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-28601.040723435344</v>
      </c>
      <c r="C1913" s="748">
        <f>'Part VII-Pro Forma'!C25</f>
        <v>-28622.070169911447</v>
      </c>
      <c r="D1913" s="748">
        <f>'Part VII-Pro Forma'!D25</f>
        <v>-28592.123889692233</v>
      </c>
      <c r="E1913" s="748">
        <f>'Part VII-Pro Forma'!E25</f>
        <v>-28508.587415159094</v>
      </c>
      <c r="F1913" s="748">
        <f>'Part VII-Pro Forma'!F25</f>
        <v>-28368.529960333606</v>
      </c>
      <c r="G1913" s="748">
        <f>'Part VII-Pro Forma'!G25</f>
        <v>-28169.826405185584</v>
      </c>
      <c r="H1913" s="748">
        <f>'Part VII-Pro Forma'!H25</f>
        <v>-27909.129191135991</v>
      </c>
      <c r="I1913" s="748">
        <f>'Part VII-Pro Forma'!I25</f>
        <v>-27583.890125566475</v>
      </c>
      <c r="J1913" s="748">
        <f>'Part VII-Pro Forma'!J25</f>
        <v>-27190.782093120866</v>
      </c>
      <c r="K1913" s="748">
        <f>'Part VII-Pro Forma'!K25</f>
        <v>-26726.820671553018</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-15000</v>
      </c>
      <c r="C1918" s="748">
        <f>'Part VII-Pro Forma'!C30</f>
        <v>-15450</v>
      </c>
      <c r="D1918" s="748">
        <f>'Part VII-Pro Forma'!D30</f>
        <v>-15913.5</v>
      </c>
      <c r="E1918" s="748">
        <f>'Part VII-Pro Forma'!E30</f>
        <v>-16390.904999999999</v>
      </c>
      <c r="F1918" s="748">
        <f>'Part VII-Pro Forma'!F30</f>
        <v>-16882.632149999998</v>
      </c>
      <c r="G1918" s="748">
        <f>'Part VII-Pro Forma'!G30</f>
        <v>-17389.1111145</v>
      </c>
      <c r="H1918" s="748">
        <f>'Part VII-Pro Forma'!H30</f>
        <v>-17910.784447934999</v>
      </c>
      <c r="I1918" s="748">
        <f>'Part VII-Pro Forma'!I30</f>
        <v>-18448.10798137305</v>
      </c>
      <c r="J1918" s="748">
        <f>'Part VII-Pro Forma'!J30</f>
        <v>-19001.551220814243</v>
      </c>
      <c r="K1918" s="748">
        <f>'Part VII-Pro Forma'!K30</f>
        <v>-19571.597757438671</v>
      </c>
    </row>
    <row r="1919" spans="1:11">
      <c r="A1919" s="748" t="s">
        <v>1864</v>
      </c>
      <c r="B1919" s="748">
        <f>'Part VII-Pro Forma'!B31</f>
        <v>-55026</v>
      </c>
      <c r="C1919" s="748">
        <f>'Part VII-Pro Forma'!C31</f>
        <v>-55026</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-25639.826242649568</v>
      </c>
      <c r="C1920" s="748">
        <f>'Part VII-Pro Forma'!C32</f>
        <v>-25300.017526725493</v>
      </c>
      <c r="D1920" s="748">
        <f>'Part VII-Pro Forma'!D32</f>
        <v>-74313.434058045925</v>
      </c>
      <c r="E1920" s="748">
        <f>'Part VII-Pro Forma'!E32</f>
        <v>-73624.806486993199</v>
      </c>
      <c r="F1920" s="748">
        <f>'Part VII-Pro Forma'!F32</f>
        <v>-72748.073942034185</v>
      </c>
      <c r="G1920" s="748">
        <f>'Part VII-Pro Forma'!G32</f>
        <v>-71676.261853025309</v>
      </c>
      <c r="H1920" s="748">
        <f>'Part VII-Pro Forma'!H32</f>
        <v>-70398.594489380077</v>
      </c>
      <c r="I1920" s="748">
        <f>'Part VII-Pro Forma'!I32</f>
        <v>-68906.762206020343</v>
      </c>
      <c r="J1920" s="748">
        <f>'Part VII-Pro Forma'!J32</f>
        <v>-67190.028389941857</v>
      </c>
      <c r="K1920" s="748">
        <f>'Part VII-Pro Forma'!K32</f>
        <v>-65238.706100119562</v>
      </c>
    </row>
    <row r="1921" spans="1:11">
      <c r="A1921" s="748" t="s">
        <v>1809</v>
      </c>
      <c r="B1921" s="748">
        <f t="shared" ref="B1921:K1921" si="330">SUM(B1910:B1920)</f>
        <v>-368561.72339428513</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f>IF(B1911=0,"",-B1910/B1911)</f>
        <v>0</v>
      </c>
      <c r="C1922" s="748" t="e">
        <f t="shared" ref="C1922:K1922" si="331">IF(C1911=0,"",-C1910/C1911)</f>
        <v>#VALUE!</v>
      </c>
      <c r="D1922" s="748" t="e">
        <f t="shared" si="331"/>
        <v>#VALUE!</v>
      </c>
      <c r="E1922" s="748" t="e">
        <f t="shared" si="331"/>
        <v>#VALUE!</v>
      </c>
      <c r="F1922" s="748" t="e">
        <f t="shared" si="331"/>
        <v>#VALUE!</v>
      </c>
      <c r="G1922" s="748" t="e">
        <f t="shared" si="331"/>
        <v>#VALUE!</v>
      </c>
      <c r="H1922" s="748" t="e">
        <f t="shared" si="331"/>
        <v>#VALUE!</v>
      </c>
      <c r="I1922" s="748" t="e">
        <f t="shared" si="331"/>
        <v>#VALUE!</v>
      </c>
      <c r="J1922" s="748" t="e">
        <f t="shared" si="331"/>
        <v>#VALUE!</v>
      </c>
      <c r="K1922" s="748" t="e">
        <f t="shared" si="331"/>
        <v>#VALUE!</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3677081.7006612597</v>
      </c>
      <c r="C1929" s="748">
        <f>'Part VII-Pro Forma'!C41</f>
        <v>3652749.8507676506</v>
      </c>
      <c r="D1929" s="748">
        <f>'Part VII-Pro Forma'!D41</f>
        <v>3626917.265613988</v>
      </c>
      <c r="E1929" s="748">
        <f>'Part VII-Pro Forma'!E41</f>
        <v>3599491.3831332442</v>
      </c>
      <c r="F1929" s="748">
        <f>'Part VII-Pro Forma'!F41</f>
        <v>3570373.9322326356</v>
      </c>
      <c r="G1929" s="748">
        <f>'Part VII-Pro Forma'!G41</f>
        <v>3539460.5806734054</v>
      </c>
      <c r="H1929" s="748">
        <f>'Part VII-Pro Forma'!H41</f>
        <v>3506640.5612326041</v>
      </c>
      <c r="I1929" s="748">
        <f>'Part VII-Pro Forma'!I41</f>
        <v>3471796.2748073437</v>
      </c>
      <c r="J1929" s="748">
        <f>'Part VII-Pro Forma'!J41</f>
        <v>3434802.8690393935</v>
      </c>
      <c r="K1929" s="748">
        <f>'Part VII-Pro Forma'!K41</f>
        <v>3395527.7909502606</v>
      </c>
    </row>
    <row r="1930" spans="1:11">
      <c r="A1930" s="748" t="str">
        <f>IF('Part III A-Sources of Funds'!$E$32 = "Neither", "Mortgage A Balance", "Mortgage B Balance")</f>
        <v>Mortgage B Balance</v>
      </c>
      <c r="B1930" s="748">
        <f>'Part VII-Pro Forma'!B42</f>
        <v>5526520.2912354646</v>
      </c>
      <c r="C1930" s="748">
        <f>'Part VII-Pro Forma'!C42</f>
        <v>5553285.8781797197</v>
      </c>
      <c r="D1930" s="748">
        <f>'Part VII-Pro Forma'!D42</f>
        <v>5580350.4350795187</v>
      </c>
      <c r="E1930" s="748">
        <f>'Part VII-Pro Forma'!E42</f>
        <v>5607770.8018749431</v>
      </c>
      <c r="F1930" s="748">
        <f>'Part VII-Pro Forma'!F42</f>
        <v>5635607.33377402</v>
      </c>
      <c r="G1930" s="748">
        <f>'Part VII-Pro Forma'!G42</f>
        <v>5663923.1271981057</v>
      </c>
      <c r="H1930" s="748">
        <f>'Part VII-Pro Forma'!H42</f>
        <v>5692785.2753769932</v>
      </c>
      <c r="I1930" s="748">
        <f>'Part VII-Pro Forma'!I42</f>
        <v>5722264.105460776</v>
      </c>
      <c r="J1930" s="748">
        <f>'Part VII-Pro Forma'!J42</f>
        <v>5752433.9935104186</v>
      </c>
      <c r="K1930" s="748">
        <f>'Part VII-Pro Forma'!K42</f>
        <v>5783373.0609048009</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-244294.8564282002</v>
      </c>
      <c r="C1946" s="748">
        <f>IF('Part III A-Sources of Funds'!$M$32="", 0,-'Part III A-Sources of Funds'!$M$32)</f>
        <v>-244294.8564282002</v>
      </c>
      <c r="D1946" s="748">
        <f>IF('Part III A-Sources of Funds'!$M$32="", 0,-'Part III A-Sources of Funds'!$M$32)</f>
        <v>-244294.8564282002</v>
      </c>
      <c r="E1946" s="748">
        <f>IF('Part III A-Sources of Funds'!$M$32="", 0,-'Part III A-Sources of Funds'!$M$32)</f>
        <v>-244294.8564282002</v>
      </c>
      <c r="F1946" s="748">
        <f>IF('Part III A-Sources of Funds'!$M$32="", 0,-'Part III A-Sources of Funds'!$M$32)</f>
        <v>-244294.8564282002</v>
      </c>
      <c r="G1946" s="748">
        <f>IF('Part III A-Sources of Funds'!$M$32="", 0,-'Part III A-Sources of Funds'!$M$32)</f>
        <v>-244294.8564282002</v>
      </c>
      <c r="H1946" s="748">
        <f>IF('Part III A-Sources of Funds'!$M$32="", 0,-'Part III A-Sources of Funds'!$M$32)</f>
        <v>-244294.8564282002</v>
      </c>
      <c r="I1946" s="748">
        <f>IF('Part III A-Sources of Funds'!$M$32="", 0,-'Part III A-Sources of Funds'!$M$32)</f>
        <v>-244294.8564282002</v>
      </c>
      <c r="J1946" s="748">
        <f>IF('Part III A-Sources of Funds'!$M$32="", 0,-'Part III A-Sources of Funds'!$M$32)</f>
        <v>-244294.8564282002</v>
      </c>
      <c r="K1946" s="748">
        <f>IF('Part III A-Sources of Funds'!$M$32="", 0,-'Part III A-Sources of Funds'!$M$32)</f>
        <v>-244294.8564282002</v>
      </c>
    </row>
    <row r="1947" spans="1:11">
      <c r="A1947" s="748" t="str">
        <f t="shared" si="345"/>
        <v>HUD MIP</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-26188.685649854411</v>
      </c>
      <c r="C1948" s="748">
        <f>'Part VII-Pro Forma'!C60</f>
        <v>-25572.942446367233</v>
      </c>
      <c r="D1948" s="748">
        <f>'Part VII-Pro Forma'!D60</f>
        <v>-24876.26342457112</v>
      </c>
      <c r="E1948" s="748">
        <f>'Part VII-Pro Forma'!E60</f>
        <v>-24094.749104209375</v>
      </c>
      <c r="F1948" s="748">
        <f>'Part VII-Pro Forma'!F60</f>
        <v>-23225.049265409121</v>
      </c>
      <c r="G1948" s="748">
        <f>'Part VII-Pro Forma'!G60</f>
        <v>-22262.783943430059</v>
      </c>
      <c r="H1948" s="748">
        <f>'Part VII-Pro Forma'!H60</f>
        <v>-21204.339311674299</v>
      </c>
      <c r="I1948" s="748">
        <f>'Part VII-Pro Forma'!I60</f>
        <v>-20045.288450577933</v>
      </c>
      <c r="J1948" s="748">
        <f>'Part VII-Pro Forma'!J60</f>
        <v>-18781.512000005547</v>
      </c>
      <c r="K1948" s="748">
        <f>'Part VII-Pro Forma'!K60</f>
        <v>-17408.293692771622</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-20158.745690161832</v>
      </c>
      <c r="C1953" s="748">
        <f>'Part VII-Pro Forma'!C65</f>
        <v>-20763.508060866687</v>
      </c>
      <c r="D1953" s="748">
        <f>'Part VII-Pro Forma'!D65</f>
        <v>-21386.413302692687</v>
      </c>
      <c r="E1953" s="748">
        <f>'Part VII-Pro Forma'!E65</f>
        <v>-22028.005701773469</v>
      </c>
      <c r="F1953" s="748">
        <f>'Part VII-Pro Forma'!F65</f>
        <v>-22688.845872826674</v>
      </c>
      <c r="G1953" s="748">
        <f>'Part VII-Pro Forma'!G65</f>
        <v>-23369.511249011473</v>
      </c>
      <c r="H1953" s="748">
        <f>'Part VII-Pro Forma'!H65</f>
        <v>-24070.596586481817</v>
      </c>
      <c r="I1953" s="748">
        <f>'Part VII-Pro Forma'!I65</f>
        <v>-24792.714484076274</v>
      </c>
      <c r="J1953" s="748">
        <f>'Part VII-Pro Forma'!J65</f>
        <v>-25536.495918598564</v>
      </c>
      <c r="K1953" s="748">
        <f>'Part VII-Pro Forma'!K65</f>
        <v>-26302.590796156521</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-63042.054393403028</v>
      </c>
      <c r="C1955" s="748">
        <f>'Part VII-Pro Forma'!C67</f>
        <v>-60588.964328958406</v>
      </c>
      <c r="D1955" s="748">
        <f>'Part VII-Pro Forma'!D67</f>
        <v>-57868.644643747044</v>
      </c>
      <c r="E1955" s="748">
        <f>'Part VII-Pro Forma'!E67</f>
        <v>-54868.517091452952</v>
      </c>
      <c r="F1955" s="748">
        <f>'Part VII-Pro Forma'!F67</f>
        <v>-51577.691437224268</v>
      </c>
      <c r="G1955" s="748">
        <f>'Part VII-Pro Forma'!G67</f>
        <v>-47982.070100522855</v>
      </c>
      <c r="H1955" s="748">
        <f>'Part VII-Pro Forma'!H67</f>
        <v>-44069.914938356698</v>
      </c>
      <c r="I1955" s="748">
        <f>'Part VII-Pro Forma'!I67</f>
        <v>-39826.951161122932</v>
      </c>
      <c r="J1955" s="748">
        <f>'Part VII-Pro Forma'!J67</f>
        <v>-35239.840873278481</v>
      </c>
      <c r="K1955" s="748">
        <f>'Part VII-Pro Forma'!K67</f>
        <v>-30293.378731051154</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e">
        <f>IF(B1946=0,"",-B1945/B1946)</f>
        <v>#VALUE!</v>
      </c>
      <c r="C1957" s="748" t="e">
        <f t="shared" ref="C1957:K1957" si="348">IF(C1946=0,"",-C1945/C1946)</f>
        <v>#VALUE!</v>
      </c>
      <c r="D1957" s="748" t="e">
        <f t="shared" si="348"/>
        <v>#VALUE!</v>
      </c>
      <c r="E1957" s="748" t="e">
        <f t="shared" si="348"/>
        <v>#VALUE!</v>
      </c>
      <c r="F1957" s="748" t="e">
        <f t="shared" si="348"/>
        <v>#VALUE!</v>
      </c>
      <c r="G1957" s="748" t="e">
        <f t="shared" si="348"/>
        <v>#VALUE!</v>
      </c>
      <c r="H1957" s="748" t="e">
        <f t="shared" si="348"/>
        <v>#VALUE!</v>
      </c>
      <c r="I1957" s="748" t="e">
        <f t="shared" si="348"/>
        <v>#VALUE!</v>
      </c>
      <c r="J1957" s="748" t="e">
        <f t="shared" si="348"/>
        <v>#VALUE!</v>
      </c>
      <c r="K1957" s="748" t="e">
        <f t="shared" si="348"/>
        <v>#VALUE!</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3353830.3119837828</v>
      </c>
      <c r="C1964" s="748">
        <f>'Part VII-Pro Forma'!C76</f>
        <v>3309561.0237543867</v>
      </c>
      <c r="D1964" s="748">
        <f>'Part VII-Pro Forma'!D76</f>
        <v>3262561.3026942024</v>
      </c>
      <c r="E1964" s="748">
        <f>'Part VII-Pro Forma'!E76</f>
        <v>3212662.7416807842</v>
      </c>
      <c r="F1964" s="748">
        <f>'Part VII-Pro Forma'!F76</f>
        <v>3159686.5466088713</v>
      </c>
      <c r="G1964" s="748">
        <f>'Part VII-Pro Forma'!G76</f>
        <v>3103442.8957440159</v>
      </c>
      <c r="H1964" s="748">
        <f>'Part VII-Pro Forma'!H76</f>
        <v>3043730.2595625459</v>
      </c>
      <c r="I1964" s="748">
        <f>'Part VII-Pro Forma'!I76</f>
        <v>2980334.6786407419</v>
      </c>
      <c r="J1964" s="748">
        <f>'Part VII-Pro Forma'!J76</f>
        <v>2913028.9970058021</v>
      </c>
      <c r="K1964" s="748">
        <f>'Part VII-Pro Forma'!K76</f>
        <v>2841572.0482015708</v>
      </c>
    </row>
    <row r="1965" spans="1:11">
      <c r="A1965" s="748" t="str">
        <f>IF('Part III A-Sources of Funds'!$E$32 = "Neither", "First Mortgage Balance", "Second Mortgage Balance")</f>
        <v>Second Mortgage Balance</v>
      </c>
      <c r="B1965" s="748">
        <f>'Part VII-Pro Forma'!B77</f>
        <v>5815163.5492981132</v>
      </c>
      <c r="C1965" s="748">
        <f>'Part VII-Pro Forma'!C77</f>
        <v>5847891.976908288</v>
      </c>
      <c r="D1965" s="748">
        <f>'Part VII-Pro Forma'!D77</f>
        <v>5881649.0740425214</v>
      </c>
      <c r="E1965" s="748">
        <f>'Part VII-Pro Forma'!E77</f>
        <v>5916530.3998837424</v>
      </c>
      <c r="F1965" s="748">
        <f>'Part VII-Pro Forma'!F77</f>
        <v>5952635.8392164754</v>
      </c>
      <c r="G1965" s="748">
        <f>'Part VII-Pro Forma'!G77</f>
        <v>5990070.6803593282</v>
      </c>
      <c r="H1965" s="748">
        <f>'Part VII-Pro Forma'!H77</f>
        <v>6028944.8997893063</v>
      </c>
      <c r="I1965" s="748">
        <f>'Part VII-Pro Forma'!I77</f>
        <v>6069374.0260688802</v>
      </c>
      <c r="J1965" s="748">
        <f>'Part VII-Pro Forma'!J77</f>
        <v>6111478.8866490209</v>
      </c>
      <c r="K1965" s="748">
        <f>'Part VII-Pro Forma'!K77</f>
        <v>6155386.2607521135</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-244294.8564282002</v>
      </c>
      <c r="C1981" s="748">
        <f>IF('Part III A-Sources of Funds'!$M$32="", 0,-'Part III A-Sources of Funds'!$M$32)</f>
        <v>-244294.8564282002</v>
      </c>
      <c r="D1981" s="748">
        <f>IF('Part III A-Sources of Funds'!$M$32="", 0,-'Part III A-Sources of Funds'!$M$32)</f>
        <v>-244294.8564282002</v>
      </c>
      <c r="E1981" s="748">
        <f>IF('Part III A-Sources of Funds'!$M$32="", 0,-'Part III A-Sources of Funds'!$M$32)</f>
        <v>-244294.8564282002</v>
      </c>
      <c r="F1981" s="748">
        <f>IF('Part III A-Sources of Funds'!$M$32="", 0,-'Part III A-Sources of Funds'!$M$32)</f>
        <v>-244294.8564282002</v>
      </c>
      <c r="G1981" s="748">
        <f>IF('Part III A-Sources of Funds'!$M$32="", 0,-'Part III A-Sources of Funds'!$M$32)</f>
        <v>-244294.8564282002</v>
      </c>
      <c r="H1981" s="748">
        <f>IF('Part III A-Sources of Funds'!$M$32="", 0,-'Part III A-Sources of Funds'!$M$32)</f>
        <v>-244294.8564282002</v>
      </c>
      <c r="I1981" s="748">
        <f>IF('Part III A-Sources of Funds'!$M$32="", 0,-'Part III A-Sources of Funds'!$M$32)</f>
        <v>-244294.8564282002</v>
      </c>
      <c r="J1981" s="748">
        <f>IF('Part III A-Sources of Funds'!$M$32="", 0,-'Part III A-Sources of Funds'!$M$32)</f>
        <v>-244294.8564282002</v>
      </c>
      <c r="K1981" s="748">
        <f>IF('Part III A-Sources of Funds'!$M$32="", 0,-'Part III A-Sources of Funds'!$M$32)</f>
        <v>-244294.8564282002</v>
      </c>
    </row>
    <row r="1982" spans="1:11">
      <c r="A1982" s="748" t="str">
        <f t="shared" si="362"/>
        <v>HUD MIP</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-15921.215766917119</v>
      </c>
      <c r="C1983" s="748">
        <f>'Part VII-Pro Forma'!C95</f>
        <v>-14315.479254385236</v>
      </c>
      <c r="D1983" s="748">
        <f>'Part VII-Pro Forma'!D95</f>
        <v>-12585.899143757053</v>
      </c>
      <c r="E1983" s="748">
        <f>'Part VII-Pro Forma'!E95</f>
        <v>-10727.799414730925</v>
      </c>
      <c r="F1983" s="748">
        <f>'Part VII-Pro Forma'!F95</f>
        <v>-8735.4329420617432</v>
      </c>
      <c r="G1983" s="748">
        <f>'Part VII-Pro Forma'!G95</f>
        <v>-6603.5512667159564</v>
      </c>
      <c r="H1983" s="748">
        <f>'Part VII-Pro Forma'!H95</f>
        <v>-4326.7242320408513</v>
      </c>
      <c r="I1983" s="748">
        <f>'Part VII-Pro Forma'!I95</f>
        <v>-1898.6594828056288</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-27091.668520041218</v>
      </c>
      <c r="C1988" s="748">
        <f>'Part VII-Pro Forma'!C100</f>
        <v>-27904.418575642456</v>
      </c>
      <c r="D1988" s="748">
        <f>'Part VII-Pro Forma'!D100</f>
        <v>-28741.551132911729</v>
      </c>
      <c r="E1988" s="748">
        <f>'Part VII-Pro Forma'!E100</f>
        <v>-29603.797666899081</v>
      </c>
      <c r="F1988" s="748">
        <f>'Part VII-Pro Forma'!F100</f>
        <v>-30491.911596906055</v>
      </c>
      <c r="G1988" s="748">
        <f>'Part VII-Pro Forma'!G100</f>
        <v>-31406.668944813238</v>
      </c>
      <c r="H1988" s="748">
        <f>'Part VII-Pro Forma'!H100</f>
        <v>-32348.869013157637</v>
      </c>
      <c r="I1988" s="748">
        <f>'Part VII-Pro Forma'!I100</f>
        <v>-33319.335083552367</v>
      </c>
      <c r="J1988" s="748">
        <f>'Part VII-Pro Forma'!J100</f>
        <v>-34318.915136058939</v>
      </c>
      <c r="K1988" s="748">
        <f>'Part VII-Pro Forma'!K100</f>
        <v>-35348.482590140709</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-24973.267209405971</v>
      </c>
      <c r="C1990" s="748">
        <f>'Part VII-Pro Forma'!C102</f>
        <v>-19264.008970516017</v>
      </c>
      <c r="D1990" s="748">
        <f>'Part VII-Pro Forma'!D102</f>
        <v>-13148.891326026311</v>
      </c>
      <c r="E1990" s="748">
        <f>'Part VII-Pro Forma'!E102</f>
        <v>-6612.7602854567003</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e">
        <f>IF(B1981=0,"",-B1980/B1981)</f>
        <v>#VALUE!</v>
      </c>
      <c r="C1992" s="748" t="e">
        <f t="shared" ref="C1992:K1992" si="365">IF(C1981=0,"",-C1980/C1981)</f>
        <v>#VALUE!</v>
      </c>
      <c r="D1992" s="748" t="e">
        <f t="shared" si="365"/>
        <v>#VALUE!</v>
      </c>
      <c r="E1992" s="748" t="e">
        <f t="shared" si="365"/>
        <v>#VALUE!</v>
      </c>
      <c r="F1992" s="748" t="e">
        <f t="shared" si="365"/>
        <v>#VALUE!</v>
      </c>
      <c r="G1992" s="748" t="e">
        <f t="shared" si="365"/>
        <v>#VALUE!</v>
      </c>
      <c r="H1992" s="748" t="e">
        <f t="shared" si="365"/>
        <v>#VALUE!</v>
      </c>
      <c r="I1992" s="748" t="e">
        <f t="shared" si="365"/>
        <v>#VALUE!</v>
      </c>
      <c r="J1992" s="748" t="e">
        <f t="shared" si="365"/>
        <v>#VALUE!</v>
      </c>
      <c r="K1992" s="748" t="e">
        <f t="shared" si="365"/>
        <v>#VALUE!</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2765707.7911525811</v>
      </c>
      <c r="C1999" s="748">
        <f>'Part VII-Pro Forma'!C111</f>
        <v>2685164.3927300838</v>
      </c>
      <c r="D1999" s="748">
        <f>'Part VII-Pro Forma'!D111</f>
        <v>2599653.2537327567</v>
      </c>
      <c r="E1999" s="748">
        <f>'Part VII-Pro Forma'!E111</f>
        <v>2508867.9747920334</v>
      </c>
      <c r="F1999" s="748">
        <f>'Part VII-Pro Forma'!F111</f>
        <v>2412483.2584967385</v>
      </c>
      <c r="G1999" s="748">
        <f>'Part VII-Pro Forma'!G111</f>
        <v>2310153.7438031691</v>
      </c>
      <c r="H1999" s="748">
        <f>'Part VII-Pro Forma'!H111</f>
        <v>2201512.7685541445</v>
      </c>
      <c r="I1999" s="748">
        <f>'Part VII-Pro Forma'!I111</f>
        <v>2086171.0556729352</v>
      </c>
      <c r="J1999" s="748">
        <f>'Part VII-Pro Forma'!J111</f>
        <v>1963715.3183245095</v>
      </c>
      <c r="K1999" s="748">
        <f>'Part VII-Pro Forma'!K111</f>
        <v>1833706.7790461795</v>
      </c>
    </row>
    <row r="2000" spans="1:11">
      <c r="A2000" s="748" t="str">
        <f>IF('Part III A-Sources of Funds'!$E$32 = "Neither", "First Mortgage Balance", "Second Mortgage Balance")</f>
        <v>Second Mortgage Balance</v>
      </c>
      <c r="B2000" s="748">
        <f>'Part VII-Pro Forma'!B112</f>
        <v>6201228.6392860366</v>
      </c>
      <c r="C2000" s="748">
        <f>'Part VII-Pro Forma'!C112</f>
        <v>6249144.665181688</v>
      </c>
      <c r="D2000" s="748">
        <f>'Part VII-Pro Forma'!D112</f>
        <v>6299279.5830136184</v>
      </c>
      <c r="E2000" s="748">
        <f>'Part VII-Pro Forma'!E112</f>
        <v>6351784.7939893976</v>
      </c>
      <c r="F2000" s="748">
        <f>'Part VII-Pro Forma'!F112</f>
        <v>6406818.9938267497</v>
      </c>
      <c r="G2000" s="748">
        <f>'Part VII-Pro Forma'!G112</f>
        <v>6464547.7450757865</v>
      </c>
      <c r="H2000" s="748">
        <f>'Part VII-Pro Forma'!H112</f>
        <v>6525143.7286356594</v>
      </c>
      <c r="I2000" s="748">
        <f>'Part VII-Pro Forma'!I112</f>
        <v>6588787.6814265307</v>
      </c>
      <c r="J2000" s="748">
        <f>'Part VII-Pro Forma'!J112</f>
        <v>6654978.384768079</v>
      </c>
      <c r="K2000" s="748">
        <f>'Part VII-Pro Forma'!K112</f>
        <v>6721834.0373264914</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-244294.8564282002</v>
      </c>
      <c r="C2016" s="748">
        <f>IF('Part III A-Sources of Funds'!$M$32="", 0,-'Part III A-Sources of Funds'!$M$32)</f>
        <v>-244294.8564282002</v>
      </c>
      <c r="D2016" s="748">
        <f>IF('Part III A-Sources of Funds'!$M$32="", 0,-'Part III A-Sources of Funds'!$M$32)</f>
        <v>-244294.8564282002</v>
      </c>
      <c r="E2016" s="748">
        <f>IF('Part III A-Sources of Funds'!$M$32="", 0,-'Part III A-Sources of Funds'!$M$32)</f>
        <v>-244294.8564282002</v>
      </c>
      <c r="F2016" s="748">
        <f>IF('Part III A-Sources of Funds'!$M$32="", 0,-'Part III A-Sources of Funds'!$M$32)</f>
        <v>-244294.8564282002</v>
      </c>
    </row>
    <row r="2017" spans="1:6">
      <c r="A2017" s="748" t="str">
        <f t="shared" si="372"/>
        <v>HUD MIP</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-36408.937067844934</v>
      </c>
      <c r="C2023" s="748">
        <f>'Part VII-Pro Forma'!C135</f>
        <v>-37501.205179880286</v>
      </c>
      <c r="D2023" s="748">
        <f>'Part VII-Pro Forma'!D135</f>
        <v>-38626.241335276696</v>
      </c>
      <c r="E2023" s="748">
        <f>'Part VII-Pro Forma'!E135</f>
        <v>-39785.028575334996</v>
      </c>
      <c r="F2023" s="748">
        <f>'Part VII-Pro Forma'!F135</f>
        <v>-40978.579432595048</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e">
        <f>IF(B2016=0,"",-B2015/B2016)</f>
        <v>#VALUE!</v>
      </c>
      <c r="C2027" s="748" t="e">
        <f>IF(C2016=0,"",-C2015/C2016)</f>
        <v>#VALUE!</v>
      </c>
      <c r="D2027" s="748" t="e">
        <f>IF(D2016=0,"",-D2015/D2016)</f>
        <v>#VALUE!</v>
      </c>
      <c r="E2027" s="748" t="e">
        <f>IF(E2016=0,"",-E2015/E2016)</f>
        <v>#VALUE!</v>
      </c>
      <c r="F2027" s="748" t="e">
        <f>IF(F2016=0,"",-F2015/F2016)</f>
        <v>#VALUE!</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1695679.5975414624</v>
      </c>
      <c r="C2034" s="748">
        <f>'Part VII-Pro Forma'!C146</f>
        <v>1549139.2015037104</v>
      </c>
      <c r="D2034" s="748">
        <f>'Part VII-Pro Forma'!D146</f>
        <v>1393560.514488593</v>
      </c>
      <c r="E2034" s="748">
        <f>'Part VII-Pro Forma'!E146</f>
        <v>1228386.0744856317</v>
      </c>
      <c r="F2034" s="748">
        <f>'Part VII-Pro Forma'!F146</f>
        <v>1053024.0364473439</v>
      </c>
    </row>
    <row r="2035" spans="1:7">
      <c r="A2035" s="748" t="str">
        <f>IF('Part III A-Sources of Funds'!$E$32 = "Neither", "First Mortgage Balance", "Second Mortgage Balance")</f>
        <v>Second Mortgage Balance</v>
      </c>
      <c r="B2035" s="748">
        <f>'Part VII-Pro Forma'!B147</f>
        <v>6789361.3191555925</v>
      </c>
      <c r="C2035" s="748">
        <f>'Part VII-Pro Forma'!C147</f>
        <v>6857566.9774167659</v>
      </c>
      <c r="D2035" s="748">
        <f>'Part VII-Pro Forma'!D147</f>
        <v>6926457.8270531157</v>
      </c>
      <c r="E2035" s="748">
        <f>'Part VII-Pro Forma'!E147</f>
        <v>6996040.7514703972</v>
      </c>
      <c r="F2035" s="748">
        <f>'Part VII-Pro Forma'!F147</f>
        <v>7066322.7032247903</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t="str">
        <f>'Part VII-Pro Forma'!A155</f>
        <v xml:space="preserve">The Second Mortgage from AHA is a “soft” loan with the only payment obligations coming from cash flow after the first mortgage and MIP payments. Please see the full loan terms in the commitment letter in Tab 5. </v>
      </c>
      <c r="G2043" s="748">
        <f>'Part VII-Pro Forma'!G155</f>
        <v>0</v>
      </c>
    </row>
    <row r="2044" spans="1:7">
      <c r="A2044" s="748" t="str">
        <f>'Part VII-Pro Forma'!A156</f>
        <v>The 6.5% of Property Management Fee includes 5.5% to Integral Property Management and 1% Asset Management Services Fee to Atlanta Housing Authority.  The AHA fee is included in the Loan Commitment included in Tab 5.</v>
      </c>
      <c r="G2044" s="748">
        <f>'Part VII-Pro Forma'!G156</f>
        <v>0</v>
      </c>
    </row>
    <row r="2045" spans="1:7">
      <c r="A2045" s="748" t="str">
        <f>'Part VII-Pro Forma'!A157</f>
        <v>The terms of the Deferred Developer Fee are in the Development Services Agreement between Grady Redevelopment, LLC and Grady Multifamily II, LP. A copy of the agreement is included in Tab 5.</v>
      </c>
      <c r="G2045" s="748">
        <f>'Part VII-Pro Forma'!G157</f>
        <v>0</v>
      </c>
    </row>
    <row r="2046" spans="1:7">
      <c r="A2046" s="748" t="str">
        <f>'Part VII-Pro Forma'!A158</f>
        <v>The Asset Management Fee includes a $10,000 Administrative Expense Reimbursement to Hudson Housing Capital LLC per the terms of the LOI included in Tab 5.  It also includes the $5000 State Asset Management Fee to Sugar Creek Realty LLC, calculated per the terms of the LOI located in Tab 5.  We have assumed a 3% annual CPI adjustment.  Per the terms of the LOI from Hudson Housing Capital LLC, an Incentive Management Fee of 90% of available cash flow to the GP is shown.</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2011-013 Ashley Auburn Pointe II ,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1077</v>
      </c>
      <c r="O2079" s="748" t="s">
        <v>923</v>
      </c>
      <c r="P2079" s="748" t="str">
        <f>'Part VIII-Threshold Criteria'!P31</f>
        <v>Yes</v>
      </c>
      <c r="Q2079" s="748">
        <f>'Part VIII-Threshold Criteria'!Q31</f>
        <v>0</v>
      </c>
    </row>
    <row r="2080" spans="1:17">
      <c r="B2080" s="748" t="s">
        <v>3063</v>
      </c>
      <c r="C2080" s="748" t="s">
        <v>1078</v>
      </c>
      <c r="J2080" s="748" t="str">
        <f>'Part VIII-Threshold Criteria'!J32</f>
        <v>Other(see comments)</v>
      </c>
    </row>
    <row r="2081" spans="1:17">
      <c r="B2081" s="748" t="s">
        <v>2921</v>
      </c>
    </row>
    <row r="2082" spans="1:17">
      <c r="A2082" s="748" t="str">
        <f>'Part VIII-Threshold Criteria'!A34</f>
        <v xml:space="preserve">The commitment letter from Oppenheimer Multifamily is located in Tab 5.  Oppenheimer has submitted a MAP pre-application for a FHA 221(d)4 first mortgage.    We anticipate receiving the HUD </v>
      </c>
    </row>
    <row r="2083" spans="1:17">
      <c r="A2083" s="748" t="str">
        <f>'Part VIII-Threshold Criteria'!A35</f>
        <v xml:space="preserve">Invitation to Submit letter prior to July 29, 2011. </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2923</v>
      </c>
      <c r="P2093" s="748">
        <f>'Part VIII-Threshold Criteria'!P45</f>
        <v>0</v>
      </c>
    </row>
    <row r="2095" spans="1:17">
      <c r="C2095" s="748" t="s">
        <v>113</v>
      </c>
      <c r="J2095" s="748" t="str">
        <f>'Part VIII-Threshold Criteria'!J47</f>
        <v>Family</v>
      </c>
      <c r="P2095" s="748">
        <f>'Part VIII-Threshold Criteria'!P47</f>
        <v>0</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681</v>
      </c>
      <c r="O2099" s="748" t="s">
        <v>2923</v>
      </c>
      <c r="P2099" s="748">
        <f>'Part VIII-Threshold Criteria'!P51</f>
        <v>0</v>
      </c>
    </row>
    <row r="2101" spans="1:17">
      <c r="B2101" s="748" t="s">
        <v>3060</v>
      </c>
      <c r="C2101" s="748" t="s">
        <v>4141</v>
      </c>
      <c r="P2101" s="748" t="str">
        <f>'Part VIII-Threshold Criteria'!P53</f>
        <v>Agree</v>
      </c>
      <c r="Q2101" s="748">
        <f>'Part VIII-Threshold Criteria'!Q53</f>
        <v>0</v>
      </c>
    </row>
    <row r="2102" spans="1:17">
      <c r="B2102" s="748" t="s">
        <v>3063</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f>'Part VIII-Threshold Criteria'!P56</f>
        <v>0</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2921</v>
      </c>
    </row>
    <row r="2107" spans="1:17">
      <c r="A2107" s="748" t="str">
        <f>'Part VIII-Threshold Criteria'!A59</f>
        <v>The required services will be coordinated by the on-site manager and resident services coordinator</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3702</v>
      </c>
      <c r="O2113" s="748" t="s">
        <v>2923</v>
      </c>
      <c r="P2113" s="748">
        <f>'Part VIII-Threshold Criteria'!P65</f>
        <v>0</v>
      </c>
    </row>
    <row r="2115" spans="1:17">
      <c r="B2115" s="748" t="s">
        <v>3060</v>
      </c>
      <c r="C2115" s="748" t="s">
        <v>3729</v>
      </c>
      <c r="L2115" s="748" t="s">
        <v>3060</v>
      </c>
      <c r="M2115" s="748" t="str">
        <f>'Part VIII-Threshold Criteria'!M67</f>
        <v>Allen &amp; Associates Consulting</v>
      </c>
      <c r="Q2115" s="748">
        <f>'Part VIII-Threshold Criteria'!Q67</f>
        <v>0</v>
      </c>
    </row>
    <row r="2116" spans="1:17">
      <c r="B2116" s="748" t="s">
        <v>3063</v>
      </c>
      <c r="C2116" s="748" t="s">
        <v>3118</v>
      </c>
      <c r="L2116" s="748" t="s">
        <v>3063</v>
      </c>
      <c r="M2116" s="748" t="str">
        <f>'Part VIII-Threshold Criteria'!M68</f>
        <v>18 months tp 94%</v>
      </c>
      <c r="Q2116" s="748">
        <f>'Part VIII-Threshold Criteria'!Q68</f>
        <v>0</v>
      </c>
    </row>
    <row r="2117" spans="1:17">
      <c r="B2117" s="748" t="s">
        <v>1238</v>
      </c>
      <c r="C2117" s="748" t="s">
        <v>3730</v>
      </c>
      <c r="L2117" s="748" t="s">
        <v>1238</v>
      </c>
      <c r="M2117" s="748" t="str">
        <f>'Part VIII-Threshold Criteria'!M69</f>
        <v>18 months to 94%</v>
      </c>
      <c r="Q2117" s="748">
        <f>'Part VIII-Threshold Criteria'!Q69</f>
        <v>0</v>
      </c>
    </row>
    <row r="2118" spans="1:17">
      <c r="B2118" s="748" t="s">
        <v>3212</v>
      </c>
      <c r="C2118" s="748" t="s">
        <v>3731</v>
      </c>
      <c r="L2118" s="748" t="s">
        <v>3212</v>
      </c>
      <c r="M2118" s="748">
        <f>'Part VIII-Threshold Criteria'!M70</f>
        <v>1.77E-2</v>
      </c>
      <c r="Q2118" s="748">
        <f>'Part VIII-Threshold Criteria'!Q70</f>
        <v>0</v>
      </c>
    </row>
    <row r="2119" spans="1:17">
      <c r="B2119" s="748" t="s">
        <v>2762</v>
      </c>
      <c r="C2119" s="748" t="s">
        <v>3555</v>
      </c>
      <c r="O2119" s="748" t="s">
        <v>2762</v>
      </c>
      <c r="P2119" s="748" t="str">
        <f>'Part VIII-Threshold Criteria'!P71</f>
        <v>Yes</v>
      </c>
      <c r="Q2119" s="748">
        <f>'Part VIII-Threshold Criteria'!Q71</f>
        <v>0</v>
      </c>
    </row>
    <row r="2120" spans="1:17">
      <c r="D2120" s="748" t="s">
        <v>3592</v>
      </c>
      <c r="E2120" s="748" t="s">
        <v>951</v>
      </c>
      <c r="H2120" s="748" t="s">
        <v>3592</v>
      </c>
      <c r="I2120" s="748" t="s">
        <v>951</v>
      </c>
      <c r="L2120" s="748" t="s">
        <v>3592</v>
      </c>
      <c r="M2120" s="748" t="s">
        <v>951</v>
      </c>
    </row>
    <row r="2121" spans="1:17">
      <c r="C2121" s="748">
        <v>1</v>
      </c>
      <c r="D2121" s="748" t="str">
        <f>'Part VIII-Threshold Criteria'!D73</f>
        <v>08-062</v>
      </c>
      <c r="E2121" s="748" t="str">
        <f>'Part VIII-Threshold Criteria'!E73</f>
        <v>Veranda II at Auburn Pointe</v>
      </c>
      <c r="G2121" s="748">
        <v>4</v>
      </c>
      <c r="H2121" s="748" t="str">
        <f>'Part VIII-Threshold Criteria'!H73</f>
        <v>07-050</v>
      </c>
      <c r="I2121" s="748" t="str">
        <f>'Part VIII-Threshold Criteria'!I73</f>
        <v>Ashley Auburn Pointe I</v>
      </c>
      <c r="K2121" s="748">
        <v>7</v>
      </c>
      <c r="L2121" s="748">
        <f>'Part VIII-Threshold Criteria'!L73</f>
        <v>0</v>
      </c>
      <c r="M2121" s="748">
        <f>'Part VIII-Threshold Criteria'!M73</f>
        <v>0</v>
      </c>
    </row>
    <row r="2122" spans="1:17">
      <c r="C2122" s="748">
        <v>2</v>
      </c>
      <c r="D2122" s="748" t="str">
        <f>'Part VIII-Threshold Criteria'!D74</f>
        <v>08-063</v>
      </c>
      <c r="E2122" s="748" t="str">
        <f>'Part VIII-Threshold Criteria'!E74</f>
        <v>Veranda III at Auburn Pointe</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t="str">
        <f>'Part VIII-Threshold Criteria'!D75</f>
        <v>09-028</v>
      </c>
      <c r="E2123" s="748" t="str">
        <f>'Part VIII-Threshold Criteria'!E75</f>
        <v>Mechanicsville Ph 6</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2921</v>
      </c>
    </row>
    <row r="2126" spans="1:17">
      <c r="A2126" s="748" t="str">
        <f>'Part VIII-Threshold Criteria'!A78</f>
        <v xml:space="preserve">The market study comments that the unit mix may include too many 60% AMI 2-bedroom units based upon current vacancies of this unit type.  These vacancies include 38 units at Mechanicsville 6 currently under construction.  The units will be aborbed prior to the placed in service date of Ashley Auburn Pointe II.  The Ashley II unit mix was developed in reaction to </v>
      </c>
    </row>
    <row r="2127" spans="1:17">
      <c r="A2127" s="748" t="str">
        <f>'Part VIII-Threshold Criteria'!A79</f>
        <v xml:space="preserve">demand at Ashley Auburn Pointe phase I.  The study suggests that the proposed $1300 3-bedroom market rent is above achievable rent.  The proposed rent is below the $1325 currently achieved by Capitol Gateway II, a similar project within 1/2 mile from Ashley Auburn Pointe II so the applicant believes it is achievable for this property. </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729</v>
      </c>
      <c r="O2133" s="748" t="s">
        <v>3060</v>
      </c>
      <c r="P2133" s="748" t="str">
        <f>'Part VIII-Threshold Criteria'!P85</f>
        <v>No</v>
      </c>
      <c r="Q2133" s="748">
        <f>'Part VIII-Threshold Criteria'!Q85</f>
        <v>0</v>
      </c>
    </row>
    <row r="2134" spans="1:17">
      <c r="B2134" s="748" t="s">
        <v>3063</v>
      </c>
      <c r="C2134" s="748" t="s">
        <v>2005</v>
      </c>
      <c r="O2134" s="748" t="s">
        <v>3063</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3212</v>
      </c>
      <c r="C2140" s="748" t="s">
        <v>2148</v>
      </c>
    </row>
    <row r="2141" spans="1:17">
      <c r="C2141" s="748" t="s">
        <v>2764</v>
      </c>
      <c r="D2141" s="748" t="s">
        <v>2149</v>
      </c>
      <c r="O2141" s="748" t="s">
        <v>2764</v>
      </c>
      <c r="P2141" s="748">
        <f>'Part VIII-Threshold Criteria'!P93</f>
        <v>0</v>
      </c>
      <c r="Q2141" s="748">
        <f>'Part VIII-Threshold Criteria'!Q93</f>
        <v>0</v>
      </c>
    </row>
    <row r="2142" spans="1:17">
      <c r="C2142" s="748" t="s">
        <v>2765</v>
      </c>
      <c r="D2142" s="748" t="s">
        <v>2150</v>
      </c>
      <c r="O2142" s="748" t="s">
        <v>2765</v>
      </c>
      <c r="P2142" s="748">
        <f>'Part VIII-Threshold Criteria'!P94</f>
        <v>0</v>
      </c>
      <c r="Q2142" s="748">
        <f>'Part VIII-Threshold Criteria'!Q94</f>
        <v>0</v>
      </c>
    </row>
    <row r="2143" spans="1:17">
      <c r="C2143" s="748" t="s">
        <v>2766</v>
      </c>
      <c r="D2143" s="748" t="s">
        <v>2151</v>
      </c>
      <c r="O2143" s="748" t="s">
        <v>2766</v>
      </c>
      <c r="P2143" s="748">
        <f>'Part VIII-Threshold Criteria'!P95</f>
        <v>0</v>
      </c>
      <c r="Q2143" s="748">
        <f>'Part VIII-Threshold Criteria'!Q95</f>
        <v>0</v>
      </c>
    </row>
    <row r="2144" spans="1:17">
      <c r="B2144" s="748" t="s">
        <v>2921</v>
      </c>
    </row>
    <row r="2145" spans="1:17">
      <c r="A2145" s="748" t="str">
        <f>'Part VIII-Threshold Criteria'!A97</f>
        <v xml:space="preserve">The land is owned by the Atlanta Housing Authority.  The applicant anticipates entering into a long-term ground lease with AHA at the financial closing.  A copy of the Option to Lease is </v>
      </c>
    </row>
    <row r="2146" spans="1:17">
      <c r="A2146" s="748" t="str">
        <f>'Part VIII-Threshold Criteria'!A98</f>
        <v>included in Tab 12.</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Prater &amp; York, LLC</v>
      </c>
      <c r="Q2153" s="748">
        <f>'Part VIII-Threshold Criteria'!Q105</f>
        <v>0</v>
      </c>
    </row>
    <row r="2154" spans="1:17">
      <c r="B2154" s="748" t="s">
        <v>3063</v>
      </c>
      <c r="C2154" s="748" t="s">
        <v>2291</v>
      </c>
      <c r="O2154" s="748" t="s">
        <v>3063</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f>'Part VIII-Threshold Criteria'!P108</f>
        <v>69.22</v>
      </c>
      <c r="Q2156" s="748">
        <f>'Part VIII-Threshold Criteria'!Q108</f>
        <v>0</v>
      </c>
    </row>
    <row r="2157" spans="1:17">
      <c r="C2157" s="748" t="s">
        <v>2089</v>
      </c>
    </row>
    <row r="2158" spans="1:17">
      <c r="C2158" s="748" t="str">
        <f>'Part VIII-Threshold Criteria'!C110</f>
        <v>I-75/85, Dobbins ARB, Marta Rail, and CSX Rail</v>
      </c>
    </row>
    <row r="2159" spans="1:17">
      <c r="B2159" s="748" t="s">
        <v>3212</v>
      </c>
      <c r="C2159" s="748" t="s">
        <v>1944</v>
      </c>
      <c r="O2159" s="748" t="s">
        <v>3212</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3245</v>
      </c>
      <c r="P2167" s="748">
        <f>'Part VIII-Threshold Criteria'!P119</f>
        <v>0</v>
      </c>
      <c r="Q2167" s="748">
        <f>'Part VIII-Threshold Criteria'!Q119</f>
        <v>0</v>
      </c>
    </row>
    <row r="2168" spans="2:17">
      <c r="D2168" s="748" t="s">
        <v>3244</v>
      </c>
      <c r="P2168" s="748">
        <f>'Part VIII-Threshold Criteria'!P120</f>
        <v>0</v>
      </c>
      <c r="Q2168" s="748">
        <f>'Part VIII-Threshold Criteria'!Q120</f>
        <v>0</v>
      </c>
    </row>
    <row r="2169" spans="2:17">
      <c r="C2169" s="748" t="s">
        <v>3570</v>
      </c>
      <c r="D2169" s="748" t="s">
        <v>726</v>
      </c>
      <c r="O2169" s="748" t="s">
        <v>3570</v>
      </c>
      <c r="P2169" s="748" t="str">
        <f>'Part VIII-Threshold Criteria'!P121</f>
        <v>No</v>
      </c>
      <c r="Q2169" s="748">
        <f>'Part VIII-Threshold Criteria'!Q121</f>
        <v>0</v>
      </c>
    </row>
    <row r="2170" spans="2:17">
      <c r="B2170" s="748" t="s">
        <v>2762</v>
      </c>
      <c r="C2170" s="748" t="s">
        <v>3657</v>
      </c>
      <c r="O2170" s="748" t="s">
        <v>2762</v>
      </c>
      <c r="P2170" s="748" t="str">
        <f>'Part VIII-Threshold Criteria'!P122</f>
        <v>No</v>
      </c>
      <c r="Q2170" s="748">
        <f>'Part VIII-Threshold Criteria'!Q122</f>
        <v>0</v>
      </c>
    </row>
    <row r="2171" spans="2:17">
      <c r="C2171" s="748" t="s">
        <v>2764</v>
      </c>
      <c r="D2171" s="748" t="s">
        <v>3658</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3620</v>
      </c>
      <c r="N2171" s="748" t="str">
        <f>'Part VIII-Threshold Criteria'!N123</f>
        <v>No</v>
      </c>
      <c r="O2171" s="748">
        <f>'Part VIII-Threshold Criteria'!O123</f>
        <v>0</v>
      </c>
    </row>
    <row r="2172" spans="2:17">
      <c r="C2172" s="748" t="s">
        <v>2765</v>
      </c>
      <c r="D2172" s="748" t="s">
        <v>3774</v>
      </c>
      <c r="F2172" s="748" t="str">
        <f>'Part VIII-Threshold Criteria'!F124</f>
        <v>No</v>
      </c>
      <c r="G2172" s="748">
        <f>'Part VIII-Threshold Criteria'!G124</f>
        <v>0</v>
      </c>
      <c r="H2172" s="748" t="s">
        <v>3570</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No</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3020</v>
      </c>
      <c r="C2178" s="748" t="s">
        <v>2781</v>
      </c>
      <c r="O2178" s="748" t="s">
        <v>3020</v>
      </c>
      <c r="P2178" s="748" t="str">
        <f>'Part VIII-Threshold Criteria'!P130</f>
        <v>N/A</v>
      </c>
      <c r="Q2178" s="748">
        <f>'Part VIII-Threshold Criteria'!Q130</f>
        <v>0</v>
      </c>
    </row>
    <row r="2180" spans="1:17">
      <c r="B2180" s="748" t="s">
        <v>2921</v>
      </c>
    </row>
    <row r="2181" spans="1:17">
      <c r="A2181" s="748" t="str">
        <f>'Part VIII-Threshold Criteria'!A133</f>
        <v xml:space="preserve">The Phase I environmental report has been provided in a separate binder included with the application. The Atlanta Housing Authority submitted a HUD 4128 but has not yet received a response.  </v>
      </c>
    </row>
    <row r="2182" spans="1:17">
      <c r="A2182" s="748" t="str">
        <f>'Part VIII-Threshold Criteria'!A134</f>
        <v xml:space="preserve">The exterior 69.22 DNL for NAL 2 , the highest NAL, was for a height at the 3rd floor level.  Adjusting for a 6 foot tall person using the outside use area resulted in a 63.24 DNL.  The composite exterior wall materials to be used as indicated by the project  architect results in a on-line HUD STraCAT TOOL interior noise rating of 42.95 DNL for NAL 2. </v>
      </c>
    </row>
    <row r="2183" spans="1:17">
      <c r="A2183" s="748" t="str">
        <f>'Part VIII-Threshold Criteria'!A135</f>
        <v xml:space="preserve">The noise consultant concludes that the project as planned meets HUD &amp; DCA requirements.  </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Grady Multifamily II, LP</v>
      </c>
      <c r="P2192" s="748">
        <f>'Part VIII-Threshold Criteria'!P144</f>
        <v>0</v>
      </c>
      <c r="Q2192" s="748">
        <f>'Part VIII-Threshold Criteria'!Q144</f>
        <v>0</v>
      </c>
    </row>
    <row r="2193" spans="1:17">
      <c r="B2193" s="748" t="s">
        <v>2921</v>
      </c>
    </row>
    <row r="2194" spans="1:17">
      <c r="A2194" s="748" t="str">
        <f>'Part VIII-Threshold Criteria'!A146</f>
        <v>A copy of the Option to Lease from the Atlanta Housing Authority is included in Tab 12.</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682</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3790</v>
      </c>
      <c r="O2202" s="748" t="s">
        <v>3063</v>
      </c>
      <c r="P2202" s="748">
        <f>'Part VIII-Threshold Criteria'!P154</f>
        <v>0</v>
      </c>
      <c r="Q2202" s="748">
        <f>'Part VIII-Threshold Criteria'!Q154</f>
        <v>0</v>
      </c>
    </row>
    <row r="2203" spans="1:17">
      <c r="B2203" s="748" t="s">
        <v>2921</v>
      </c>
    </row>
    <row r="2204" spans="1:17">
      <c r="A2204" s="748" t="str">
        <f>'Part VIII-Threshold Criteria'!A156</f>
        <v xml:space="preserve">The site is accessible from Bell Street and the new streets that were installed as part of the public improvements performed by the Developer and AHA.  The new streets, Auburn Pointe Drive, </v>
      </c>
    </row>
    <row r="2205" spans="1:17">
      <c r="A2205" s="748" t="str">
        <f>'Part VIII-Threshold Criteria'!A157</f>
        <v>Veranda  Circle and Labord Lane are in place and in the process of being dedicated to the City of Atlanta.  A copy of the survey and site map are located in Tab 13.</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696</v>
      </c>
      <c r="O2211" s="748" t="s">
        <v>3060</v>
      </c>
      <c r="P2211" s="748" t="str">
        <f>'Part VIII-Threshold Criteria'!P163</f>
        <v>Yes</v>
      </c>
      <c r="Q2211" s="748">
        <f>'Part VIII-Threshold Criteria'!Q163</f>
        <v>0</v>
      </c>
    </row>
    <row r="2212" spans="1:17">
      <c r="B2212" s="748" t="s">
        <v>3063</v>
      </c>
      <c r="C2212" s="748" t="s">
        <v>721</v>
      </c>
      <c r="O2212" s="748" t="s">
        <v>3063</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3212</v>
      </c>
      <c r="C2214" s="748" t="s">
        <v>929</v>
      </c>
      <c r="O2214" s="748" t="s">
        <v>3212</v>
      </c>
      <c r="P2214" s="748" t="str">
        <f>'Part VIII-Threshold Criteria'!P166</f>
        <v>Yes</v>
      </c>
      <c r="Q2214" s="748">
        <f>'Part VIII-Threshold Criteria'!Q166</f>
        <v>0</v>
      </c>
    </row>
    <row r="2215" spans="1:17">
      <c r="B2215" s="748" t="s">
        <v>2762</v>
      </c>
      <c r="C2215" s="748" t="s">
        <v>3593</v>
      </c>
      <c r="O2215" s="748" t="s">
        <v>2762</v>
      </c>
      <c r="P2215" s="748" t="str">
        <f>'Part VIII-Threshold Criteria'!P167</f>
        <v>Yes</v>
      </c>
      <c r="Q2215" s="748">
        <f>'Part VIII-Threshold Criteria'!Q167</f>
        <v>0</v>
      </c>
    </row>
    <row r="2216" spans="1:17">
      <c r="B2216" s="748" t="s">
        <v>2921</v>
      </c>
    </row>
    <row r="2217" spans="1:17">
      <c r="A2217" s="748" t="str">
        <f>'Part VIII-Threshold Criteria'!A169</f>
        <v>The site zoning is RG-4. The Conceptual Site Development Plan included in the application is consistent with RG-4 zoning designation with the allowance for the set-back variances approved</v>
      </c>
    </row>
    <row r="2218" spans="1:17">
      <c r="A2218" s="748" t="str">
        <f>'Part VIII-Threshold Criteria'!A170</f>
        <v xml:space="preserve"> for the entire former Grady Homes site.</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2764</v>
      </c>
      <c r="I2224" s="748" t="s">
        <v>206</v>
      </c>
      <c r="J2224" s="748" t="str">
        <f>'Part VIII-Threshold Criteria'!J176</f>
        <v>&lt;&lt;Enter Provider Name Here&gt;&gt;</v>
      </c>
      <c r="O2224" s="748" t="s">
        <v>2764</v>
      </c>
      <c r="P2224" s="748">
        <f>'Part VIII-Threshold Criteria'!P176</f>
        <v>0</v>
      </c>
      <c r="Q2224" s="748">
        <f>'Part VIII-Threshold Criteria'!Q176</f>
        <v>0</v>
      </c>
    </row>
    <row r="2225" spans="1:17">
      <c r="H2225" s="748" t="s">
        <v>2765</v>
      </c>
      <c r="I2225" s="748" t="s">
        <v>2357</v>
      </c>
      <c r="J2225" s="748" t="str">
        <f>'Part VIII-Threshold Criteria'!J177</f>
        <v>Georgia Power</v>
      </c>
      <c r="O2225" s="748" t="s">
        <v>2765</v>
      </c>
      <c r="P2225" s="748" t="str">
        <f>'Part VIII-Threshold Criteria'!P177</f>
        <v>Yes</v>
      </c>
      <c r="Q2225" s="748">
        <f>'Part VIII-Threshold Criteria'!Q177</f>
        <v>0</v>
      </c>
    </row>
    <row r="2226" spans="1:17">
      <c r="B2226" s="748" t="s">
        <v>2921</v>
      </c>
    </row>
    <row r="2227" spans="1:17">
      <c r="A2227" s="748" t="str">
        <f>'Part VIII-Threshold Criteria'!A179</f>
        <v>The community will only use Electric power and will not have any Gas</v>
      </c>
    </row>
    <row r="2228" spans="1:17">
      <c r="B2228" s="748" t="s">
        <v>2922</v>
      </c>
    </row>
    <row r="2229" spans="1:17">
      <c r="A2229" s="748">
        <f>'Part VIII-Threshold Criteria'!A181</f>
        <v>0</v>
      </c>
    </row>
    <row r="2231" spans="1:17">
      <c r="A2231" s="748">
        <v>11</v>
      </c>
      <c r="B2231" s="748" t="s">
        <v>3701</v>
      </c>
      <c r="O2231" s="748" t="s">
        <v>2923</v>
      </c>
      <c r="P2231" s="748">
        <f>'Part VIII-Threshold Criteria'!P183</f>
        <v>0</v>
      </c>
    </row>
    <row r="2233" spans="1:17">
      <c r="B2233" s="748" t="s">
        <v>3060</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3063</v>
      </c>
      <c r="C2235" s="748" t="s">
        <v>2903</v>
      </c>
      <c r="H2235" s="748" t="s">
        <v>2764</v>
      </c>
      <c r="I2235" s="748" t="s">
        <v>971</v>
      </c>
      <c r="J2235" s="748" t="str">
        <f>'Part VIII-Threshold Criteria'!J187</f>
        <v>The City of Atlanta</v>
      </c>
      <c r="O2235" s="748" t="s">
        <v>2170</v>
      </c>
      <c r="P2235" s="748" t="str">
        <f>'Part VIII-Threshold Criteria'!P187</f>
        <v>Yes</v>
      </c>
      <c r="Q2235" s="748">
        <f>'Part VIII-Threshold Criteria'!Q187</f>
        <v>0</v>
      </c>
    </row>
    <row r="2236" spans="1:17">
      <c r="H2236" s="748" t="s">
        <v>2765</v>
      </c>
      <c r="I2236" s="748" t="s">
        <v>131</v>
      </c>
      <c r="J2236" s="748" t="str">
        <f>'Part VIII-Threshold Criteria'!J188</f>
        <v>The City of Atlanta</v>
      </c>
      <c r="O2236" s="748" t="s">
        <v>2765</v>
      </c>
      <c r="P2236" s="748" t="str">
        <f>'Part VIII-Threshold Criteria'!P188</f>
        <v>Yes</v>
      </c>
      <c r="Q2236" s="748">
        <f>'Part VIII-Threshold Criteria'!Q188</f>
        <v>0</v>
      </c>
    </row>
    <row r="2237" spans="1:17">
      <c r="B2237" s="748" t="s">
        <v>2921</v>
      </c>
    </row>
    <row r="2238" spans="1:17">
      <c r="A2238" s="748" t="str">
        <f>'Part VIII-Threshold Criteria'!A190</f>
        <v>11 A.1) is not applicable to this project.  The utility letters are located in Tab 15.</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t="str">
        <f>'Part VIII-Threshold Criteria'!A201</f>
        <v xml:space="preserve">Ashley Auburn Pointe II was presented to the Atlanta Neigborhood Planning Unit M.  A support letter from NPU-M is included in tab 16, along with an adopted Atlanta City Council Resolution </v>
      </c>
    </row>
    <row r="2250" spans="1:17">
      <c r="A2250" s="748" t="str">
        <f>'Part VIII-Threshold Criteria'!A202</f>
        <v>and a support letter from Mayor Kasim Reed.</v>
      </c>
    </row>
    <row r="2252" spans="1:17">
      <c r="B2252" s="748" t="s">
        <v>2922</v>
      </c>
    </row>
    <row r="2253" spans="1:17">
      <c r="A2253" s="748">
        <f>'Part VIII-Threshold Criteria'!A205</f>
        <v>0</v>
      </c>
    </row>
    <row r="2254" spans="1:17">
      <c r="A2254" s="748">
        <f>'Part VIII-Threshold Criteria'!A206</f>
        <v>0</v>
      </c>
    </row>
    <row r="2256" spans="1:17">
      <c r="A2256" s="748">
        <v>13</v>
      </c>
      <c r="B2256" s="748" t="s">
        <v>680</v>
      </c>
      <c r="O2256" s="748" t="s">
        <v>2923</v>
      </c>
      <c r="P2256" s="748">
        <f>'Part VIII-Threshold Criteria'!P208</f>
        <v>0</v>
      </c>
    </row>
    <row r="2257" spans="2:17">
      <c r="B2257" s="748" t="s">
        <v>1838</v>
      </c>
      <c r="P2257" s="748" t="str">
        <f>'Part VIII-Threshold Criteria'!P209</f>
        <v>No</v>
      </c>
      <c r="Q2257" s="748">
        <f>'Part VIII-Threshold Criteria'!Q209</f>
        <v>0</v>
      </c>
    </row>
    <row r="2258" spans="2:17">
      <c r="B2258" s="748" t="s">
        <v>3060</v>
      </c>
      <c r="C2258" s="748" t="s">
        <v>2086</v>
      </c>
    </row>
    <row r="2259" spans="2:17">
      <c r="C2259" s="748" t="s">
        <v>2764</v>
      </c>
      <c r="D2259" s="748" t="s">
        <v>3003</v>
      </c>
      <c r="L2259" s="748" t="s">
        <v>2230</v>
      </c>
      <c r="M2259" s="748" t="str">
        <f>'Part VIII-Threshold Criteria'!M211</f>
        <v>Room</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Washer and dryer in each unit</v>
      </c>
      <c r="P2261" s="748" t="str">
        <f>'Part VIII-Threshold Criteria'!P213</f>
        <v>Agree</v>
      </c>
      <c r="Q2261" s="748">
        <f>'Part VIII-Threshold Criteria'!Q213</f>
        <v>0</v>
      </c>
    </row>
    <row r="2263" spans="2:17">
      <c r="B2263" s="748" t="s">
        <v>3063</v>
      </c>
      <c r="C2263" s="748" t="s">
        <v>3792</v>
      </c>
      <c r="O2263" s="748" t="s">
        <v>3063</v>
      </c>
      <c r="P2263" s="748" t="str">
        <f>'Part VIII-Threshold Criteria'!P215</f>
        <v>Agree</v>
      </c>
      <c r="Q2263" s="748">
        <f>'Part VIII-Threshold Criteria'!Q215</f>
        <v>0</v>
      </c>
    </row>
    <row r="2264" spans="2:17">
      <c r="C2264" s="748" t="s">
        <v>4142</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Equipped Playground</v>
      </c>
      <c r="I2266" s="748">
        <f>'Part VIII-Threshold Criteria'!I218</f>
        <v>0</v>
      </c>
      <c r="J2266" s="748">
        <f>'Part VIII-Threshold Criteria'!J218</f>
        <v>0</v>
      </c>
      <c r="K2266" s="748" t="s">
        <v>2766</v>
      </c>
      <c r="L2266" s="748" t="str">
        <f>'Part VIII-Threshold Criteria'!L218</f>
        <v>Furnished Arts &amp; Crafts/Activities Center</v>
      </c>
      <c r="P2266" s="748">
        <f>'Part VIII-Threshold Criteria'!P218</f>
        <v>0</v>
      </c>
      <c r="Q2266" s="748">
        <f>'Part VIII-Threshold Criteria'!Q218</f>
        <v>0</v>
      </c>
    </row>
    <row r="2267" spans="2:17">
      <c r="C2267" s="748" t="s">
        <v>2765</v>
      </c>
      <c r="D2267" s="748" t="str">
        <f>'Part VIII-Threshold Criteria'!D219</f>
        <v>Covered Pavilion with Picnic &amp; Barbeque Facilities</v>
      </c>
      <c r="I2267" s="748">
        <f>'Part VIII-Threshold Criteria'!I219</f>
        <v>0</v>
      </c>
      <c r="J2267" s="748">
        <f>'Part VIII-Threshold Criteria'!J219</f>
        <v>0</v>
      </c>
      <c r="K2267" s="748" t="s">
        <v>3570</v>
      </c>
      <c r="L2267" s="748" t="str">
        <f>'Part VIII-Threshold Criteria'!L219</f>
        <v>Equipped Computer Center</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f>'Part VIII-Threshold Criteria'!P227</f>
        <v>0</v>
      </c>
      <c r="Q2275" s="748">
        <f>'Part VIII-Threshold Criteria'!Q227</f>
        <v>0</v>
      </c>
    </row>
    <row r="2277" spans="1:17">
      <c r="B2277" s="748" t="s">
        <v>3212</v>
      </c>
      <c r="C2277" s="748" t="s">
        <v>2344</v>
      </c>
      <c r="O2277" s="748" t="s">
        <v>3212</v>
      </c>
      <c r="P2277" s="748">
        <f>'Part VIII-Threshold Criteria'!P229</f>
        <v>0</v>
      </c>
      <c r="Q2277" s="748">
        <f>'Part VIII-Threshold Criteria'!Q229</f>
        <v>0</v>
      </c>
    </row>
    <row r="2278" spans="1:17">
      <c r="C2278" s="748" t="s">
        <v>2764</v>
      </c>
      <c r="D2278" s="748" t="s">
        <v>1933</v>
      </c>
      <c r="O2278" s="748" t="s">
        <v>2764</v>
      </c>
      <c r="P2278" s="748">
        <f>'Part VIII-Threshold Criteria'!P230</f>
        <v>0</v>
      </c>
      <c r="Q2278" s="748">
        <f>'Part VIII-Threshold Criteria'!Q230</f>
        <v>0</v>
      </c>
    </row>
    <row r="2279" spans="1:17">
      <c r="C2279" s="748" t="s">
        <v>2765</v>
      </c>
      <c r="D2279" s="748" t="s">
        <v>199</v>
      </c>
      <c r="O2279" s="748" t="s">
        <v>2765</v>
      </c>
      <c r="P2279" s="748">
        <f>'Part VIII-Threshold Criteria'!P231</f>
        <v>0</v>
      </c>
      <c r="Q2279" s="748">
        <f>'Part VIII-Threshold Criteria'!Q231</f>
        <v>0</v>
      </c>
    </row>
    <row r="2280" spans="1:17">
      <c r="C2280" s="748" t="s">
        <v>2766</v>
      </c>
      <c r="D2280" s="748" t="s">
        <v>2625</v>
      </c>
      <c r="O2280" s="748" t="s">
        <v>3580</v>
      </c>
      <c r="P2280" s="748">
        <f>'Part VIII-Threshold Criteria'!P232</f>
        <v>0</v>
      </c>
      <c r="Q2280" s="748">
        <f>'Part VIII-Threshold Criteria'!Q232</f>
        <v>0</v>
      </c>
    </row>
    <row r="2281" spans="1:17">
      <c r="D2281" s="748" t="s">
        <v>1984</v>
      </c>
      <c r="O2281" s="748" t="s">
        <v>3581</v>
      </c>
      <c r="P2281" s="748">
        <f>'Part VIII-Threshold Criteria'!P233</f>
        <v>0</v>
      </c>
      <c r="Q2281" s="748">
        <f>'Part VIII-Threshold Criteria'!Q233</f>
        <v>0</v>
      </c>
    </row>
    <row r="2282" spans="1:17">
      <c r="B2282" s="748" t="s">
        <v>2921</v>
      </c>
    </row>
    <row r="2283" spans="1:17">
      <c r="A2283" s="748" t="str">
        <f>'Part VIII-Threshold Criteria'!A235</f>
        <v xml:space="preserve">Applicant agrees that the additional amenties will meet the DCA Guidebook standards. Part D is NA. </v>
      </c>
    </row>
    <row r="2284" spans="1:17">
      <c r="A2284" s="748">
        <f>'Part VIII-Threshold Criteria'!A236</f>
        <v>0</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1952</v>
      </c>
      <c r="L2291" s="748" t="s">
        <v>3060</v>
      </c>
      <c r="M2291" s="748" t="str">
        <f>'Part VIII-Threshold Criteria'!M243</f>
        <v>&lt;&lt;Select&gt;&gt;</v>
      </c>
      <c r="P2291" s="748" t="str">
        <f>'Part VIII-Threshold Criteria'!P243</f>
        <v>&lt;&lt;Select&gt;&gt;</v>
      </c>
    </row>
    <row r="2292" spans="1:17">
      <c r="B2292" s="748" t="s">
        <v>3063</v>
      </c>
      <c r="C2292" s="748" t="s">
        <v>1921</v>
      </c>
      <c r="L2292" s="748" t="s">
        <v>3063</v>
      </c>
      <c r="M2292" s="748">
        <f>'Part VIII-Threshold Criteria'!M244</f>
        <v>0</v>
      </c>
      <c r="P2292" s="748">
        <f>'Part VIII-Threshold Criteria'!P244</f>
        <v>0</v>
      </c>
    </row>
    <row r="2293" spans="1:17">
      <c r="B2293" s="748" t="s">
        <v>1238</v>
      </c>
      <c r="C2293" s="748" t="s">
        <v>3017</v>
      </c>
      <c r="L2293" s="748" t="s">
        <v>1238</v>
      </c>
      <c r="M2293" s="748">
        <f>'Part VIII-Threshold Criteria'!M245</f>
        <v>0</v>
      </c>
      <c r="P2293" s="748">
        <f>'Part VIII-Threshold Criteria'!P245</f>
        <v>0</v>
      </c>
    </row>
    <row r="2294" spans="1:17">
      <c r="B2294" s="748" t="s">
        <v>3212</v>
      </c>
      <c r="C2294" s="748" t="s">
        <v>3841</v>
      </c>
      <c r="O2294" s="748" t="s">
        <v>3212</v>
      </c>
      <c r="P2294" s="748">
        <f>'Part VIII-Threshold Criteria'!P246</f>
        <v>0</v>
      </c>
      <c r="Q2294" s="748">
        <f>'Part VIII-Threshold Criteria'!Q246</f>
        <v>0</v>
      </c>
    </row>
    <row r="2295" spans="1:17">
      <c r="B2295" s="748" t="s">
        <v>2762</v>
      </c>
      <c r="C2295" s="748" t="s">
        <v>4143</v>
      </c>
      <c r="O2295" s="748" t="s">
        <v>2762</v>
      </c>
      <c r="P2295" s="748">
        <f>'Part VIII-Threshold Criteria'!P247</f>
        <v>0</v>
      </c>
      <c r="Q2295" s="748">
        <f>'Part VIII-Threshold Criteria'!Q247</f>
        <v>0</v>
      </c>
    </row>
    <row r="2296" spans="1:17">
      <c r="B2296" s="748" t="s">
        <v>2921</v>
      </c>
    </row>
    <row r="2297" spans="1:17">
      <c r="A2297" s="748" t="str">
        <f>'Part VIII-Threshold Criteria'!A249</f>
        <v>N/A</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2113</v>
      </c>
      <c r="O2306" s="748" t="s">
        <v>3063</v>
      </c>
      <c r="P2306" s="748" t="str">
        <f>'Part VIII-Threshold Criteria'!P258</f>
        <v>Yes</v>
      </c>
      <c r="Q2306" s="748">
        <f>'Part VIII-Threshold Criteria'!Q258</f>
        <v>0</v>
      </c>
    </row>
    <row r="2307" spans="1:17">
      <c r="B2307" s="748" t="s">
        <v>2921</v>
      </c>
    </row>
    <row r="2308" spans="1:17">
      <c r="A2308" s="748" t="str">
        <f>'Part VIII-Threshold Criteria'!A260</f>
        <v>A copy of the site plan and the master plan showing the site and the surrounding uses iare included in Tab 18.</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1089</v>
      </c>
      <c r="O2314" s="748" t="s">
        <v>2923</v>
      </c>
      <c r="P2314" s="748">
        <f>'Part VIII-Threshold Criteria'!P266</f>
        <v>0</v>
      </c>
    </row>
    <row r="2316" spans="1:17" ht="24" customHeight="1">
      <c r="B2316" s="748" t="s">
        <v>3060</v>
      </c>
      <c r="C2316" s="748" t="s">
        <v>1207</v>
      </c>
      <c r="O2316" s="748" t="s">
        <v>3060</v>
      </c>
      <c r="P2316" s="748" t="str">
        <f>'Part VIII-Threshold Criteria'!P268</f>
        <v>Agree</v>
      </c>
      <c r="Q2316" s="748">
        <f>'Part VIII-Threshold Criteria'!Q268</f>
        <v>0</v>
      </c>
    </row>
    <row r="2317" spans="1:17" ht="24" customHeight="1">
      <c r="B2317" s="748" t="s">
        <v>3063</v>
      </c>
      <c r="C2317" s="748" t="s">
        <v>1208</v>
      </c>
      <c r="O2317" s="748" t="s">
        <v>3063</v>
      </c>
      <c r="P2317" s="748" t="str">
        <f>'Part VIII-Threshold Criteria'!P269</f>
        <v>Agree</v>
      </c>
      <c r="Q2317" s="748">
        <f>'Part VIII-Threshold Criteria'!Q269</f>
        <v>0</v>
      </c>
    </row>
    <row r="2318" spans="1:17" ht="33" customHeight="1">
      <c r="B2318" s="748" t="s">
        <v>1238</v>
      </c>
      <c r="C2318" s="748" t="s">
        <v>1209</v>
      </c>
      <c r="O2318" s="748" t="s">
        <v>3063</v>
      </c>
      <c r="P2318" s="748">
        <f>'Part VIII-Threshold Criteria'!P270</f>
        <v>0</v>
      </c>
      <c r="Q2318" s="748">
        <f>'Part VIII-Threshold Criteria'!Q270</f>
        <v>0</v>
      </c>
    </row>
    <row r="2319" spans="1:17">
      <c r="B2319" s="748" t="s">
        <v>2921</v>
      </c>
    </row>
    <row r="2320" spans="1:17">
      <c r="A2320" s="748">
        <f>'Part VIII-Threshold Criteria'!A272</f>
        <v>0</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877</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3324</v>
      </c>
      <c r="O2338" s="748" t="s">
        <v>2923</v>
      </c>
      <c r="P2338" s="748">
        <f>'Part VIII-Threshold Criteria'!P290</f>
        <v>0</v>
      </c>
    </row>
    <row r="2339" spans="1:17">
      <c r="B2339" s="748" t="s">
        <v>3381</v>
      </c>
      <c r="P2339" s="748" t="str">
        <f>'Part VIII-Threshold Criteria'!P291</f>
        <v>No</v>
      </c>
      <c r="Q2339" s="748">
        <f>'Part VIII-Threshold Criteria'!Q291</f>
        <v>0</v>
      </c>
    </row>
    <row r="2340" spans="1:17">
      <c r="B2340" s="748" t="s">
        <v>3325</v>
      </c>
      <c r="P2340" s="748" t="str">
        <f>'Part VIII-Threshold Criteria'!P292</f>
        <v>Yes</v>
      </c>
      <c r="Q2340" s="748">
        <f>'Part VIII-Threshold Criteria'!Q292</f>
        <v>0</v>
      </c>
    </row>
    <row r="2341" spans="1:17">
      <c r="B2341" s="748" t="s">
        <v>3060</v>
      </c>
      <c r="C2341" s="748" t="s">
        <v>3608</v>
      </c>
    </row>
    <row r="2342" spans="1:17">
      <c r="C2342" s="748" t="s">
        <v>1081</v>
      </c>
      <c r="O2342" s="748" t="s">
        <v>3060</v>
      </c>
      <c r="P2342" s="748">
        <f>'Part VIII-Threshold Criteria'!P294</f>
        <v>0</v>
      </c>
      <c r="Q2342" s="748">
        <f>'Part VIII-Threshold Criteria'!Q294</f>
        <v>0</v>
      </c>
    </row>
    <row r="2344" spans="1:17">
      <c r="B2344" s="748" t="s">
        <v>3063</v>
      </c>
      <c r="C2344" s="748" t="s">
        <v>674</v>
      </c>
      <c r="O2344" s="748" t="s">
        <v>3063</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4144</v>
      </c>
      <c r="G2346" s="748" t="str">
        <f>'Part VIII-Threshold Criteria'!G298</f>
        <v>Addition of new or redesign of existing durable attractive stair and railing elements</v>
      </c>
      <c r="O2346" s="748" t="s">
        <v>2765</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2766</v>
      </c>
      <c r="D2348" s="748" t="s">
        <v>1767</v>
      </c>
      <c r="G2348" s="748" t="str">
        <f>'Part VIII-Threshold Criteria'!G300</f>
        <v>Fiber cement siding, hard stucco and/or wood siding will be installed on all exterior wall surfaces not already required to be brick</v>
      </c>
      <c r="O2348" s="748" t="s">
        <v>2766</v>
      </c>
      <c r="P2348" s="748" t="str">
        <f>'Part VIII-Threshold Criteria'!P300</f>
        <v>Yes</v>
      </c>
      <c r="Q2348" s="748">
        <f>'Part VIII-Threshold Criteria'!Q300</f>
        <v>0</v>
      </c>
    </row>
    <row r="2349" spans="1:17" ht="13.15" customHeight="1">
      <c r="C2349" s="748" t="s">
        <v>3570</v>
      </c>
      <c r="D2349" s="748" t="s">
        <v>4145</v>
      </c>
      <c r="G2349" s="748" t="str">
        <f>'Part VIII-Threshold Criteria'!G301</f>
        <v>Site entry w/ permanent, illuminated entry sign and decorative fence</v>
      </c>
      <c r="O2349" s="748" t="s">
        <v>3570</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t="str">
        <f>'Part VIII-Threshold Criteria'!A305</f>
        <v>18A does not appear to apply to new construction projects such as Ashley Auburn Pointe II</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No</v>
      </c>
      <c r="Q2362" s="748">
        <f>'Part VIII-Threshold Criteria'!Q314</f>
        <v>0</v>
      </c>
    </row>
    <row r="2363" spans="1:17">
      <c r="B2363" s="748" t="s">
        <v>924</v>
      </c>
      <c r="L2363" s="748" t="str">
        <f>'Part VIII-Threshold Criteria'!L315</f>
        <v>Qualified without Conditions</v>
      </c>
      <c r="P2363" s="748">
        <f>'Part VIII-Threshold Criteria'!P315</f>
        <v>0</v>
      </c>
      <c r="Q2363" s="748">
        <f>'Part VIII-Threshold Criteria'!Q315</f>
        <v>0</v>
      </c>
    </row>
    <row r="2364" spans="1:17">
      <c r="B2364" s="748" t="s">
        <v>3515</v>
      </c>
      <c r="L2364" s="748">
        <f>'Part VIII-Threshold Criteria'!L316</f>
        <v>0</v>
      </c>
    </row>
    <row r="2366" spans="1:17">
      <c r="B2366" s="748" t="s">
        <v>2921</v>
      </c>
    </row>
    <row r="2367" spans="1:17">
      <c r="A2367" s="748">
        <f>'Part VIII-Threshold Criteria'!A319</f>
        <v>0</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2923</v>
      </c>
      <c r="P2375" s="748">
        <f>'Part VIII-Threshold Criteria'!P327</f>
        <v>0</v>
      </c>
    </row>
    <row r="2377" spans="1:17">
      <c r="B2377" s="748" t="s">
        <v>3060</v>
      </c>
      <c r="C2377" s="748" t="s">
        <v>2543</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3212</v>
      </c>
      <c r="C2380" s="748" t="s">
        <v>1058</v>
      </c>
      <c r="O2380" s="748" t="s">
        <v>3212</v>
      </c>
      <c r="P2380" s="748" t="str">
        <f>'Part VIII-Threshold Criteria'!P332</f>
        <v>Yes</v>
      </c>
      <c r="Q2380" s="748">
        <f>'Part VIII-Threshold Criteria'!Q332</f>
        <v>0</v>
      </c>
    </row>
    <row r="2381" spans="1:17">
      <c r="B2381" s="748" t="s">
        <v>2921</v>
      </c>
    </row>
    <row r="2382" spans="1:17">
      <c r="A2382" s="748" t="str">
        <f>'Part VIII-Threshold Criteria'!A334</f>
        <v xml:space="preserve">The applicant's understanding is that it is not necessary to submit the Uniform Release Forms in the application since the Project Team submitted a pre-application request for determination and </v>
      </c>
    </row>
    <row r="2383" spans="1:17">
      <c r="A2383" s="748" t="str">
        <f>'Part VIII-Threshold Criteria'!A335</f>
        <v>was predetermined to be Qualified without Conditions.</v>
      </c>
    </row>
    <row r="2385" spans="1:17">
      <c r="B2385" s="748" t="s">
        <v>2922</v>
      </c>
    </row>
    <row r="2386" spans="1:17">
      <c r="A2386" s="748">
        <f>'Part VIII-Threshold Criteria'!A338</f>
        <v>0</v>
      </c>
    </row>
    <row r="2387" spans="1:17">
      <c r="A2387" s="748">
        <f>'Part VIII-Threshold Criteria'!A339</f>
        <v>0</v>
      </c>
    </row>
    <row r="2389" spans="1:17">
      <c r="A2389" s="748">
        <v>21</v>
      </c>
      <c r="B2389" s="748" t="s">
        <v>1553</v>
      </c>
      <c r="O2389" s="748" t="s">
        <v>2923</v>
      </c>
      <c r="P2389" s="748">
        <f>'Part VIII-Threshold Criteria'!P341</f>
        <v>0</v>
      </c>
    </row>
    <row r="2390" spans="1:17">
      <c r="B2390" s="748" t="s">
        <v>3060</v>
      </c>
      <c r="C2390" s="748" t="s">
        <v>2083</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2921</v>
      </c>
    </row>
    <row r="2397" spans="1:17">
      <c r="A2397" s="748" t="str">
        <f>'Part VIII-Threshold Criteria'!A349</f>
        <v>N/A</v>
      </c>
    </row>
    <row r="2398" spans="1:17">
      <c r="B2398" s="748" t="s">
        <v>2922</v>
      </c>
    </row>
    <row r="2399" spans="1:17">
      <c r="A2399" s="748">
        <f>'Part VIII-Threshold Criteria'!A351</f>
        <v>0</v>
      </c>
    </row>
    <row r="2401" spans="1:17">
      <c r="A2401" s="748">
        <v>22</v>
      </c>
      <c r="B2401" s="748" t="s">
        <v>3754</v>
      </c>
      <c r="O2401" s="748" t="s">
        <v>2923</v>
      </c>
      <c r="P2401" s="748">
        <f>'Part VIII-Threshold Criteria'!P353</f>
        <v>0</v>
      </c>
    </row>
    <row r="2402" spans="1:17">
      <c r="B2402" s="748" t="s">
        <v>3060</v>
      </c>
      <c r="C2402" s="748" t="s">
        <v>1657</v>
      </c>
      <c r="J2402" s="748" t="s">
        <v>3060</v>
      </c>
      <c r="K2402" s="748">
        <f>'Part VIII-Threshold Criteria'!K354</f>
        <v>0</v>
      </c>
      <c r="P2402" s="748">
        <f>'Part VIII-Threshold Criteria'!P354</f>
        <v>0</v>
      </c>
      <c r="Q2402" s="748">
        <f>'Part VIII-Threshold Criteria'!Q354</f>
        <v>0</v>
      </c>
    </row>
    <row r="2403" spans="1:17">
      <c r="B2403" s="748" t="s">
        <v>3063</v>
      </c>
      <c r="C2403" s="748" t="s">
        <v>2767</v>
      </c>
      <c r="O2403" s="748" t="s">
        <v>3063</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3020</v>
      </c>
      <c r="C2408" s="748" t="s">
        <v>851</v>
      </c>
      <c r="O2408" s="748" t="s">
        <v>3020</v>
      </c>
      <c r="P2408" s="748">
        <f>'Part VIII-Threshold Criteria'!P360</f>
        <v>0</v>
      </c>
      <c r="Q2408" s="748">
        <f>'Part VIII-Threshold Criteria'!Q360</f>
        <v>0</v>
      </c>
    </row>
    <row r="2409" spans="1:17">
      <c r="B2409" s="748" t="s">
        <v>2921</v>
      </c>
    </row>
    <row r="2410" spans="1:17">
      <c r="A2410" s="748" t="str">
        <f>'Part VIII-Threshold Criteria'!A362</f>
        <v>NA</v>
      </c>
    </row>
    <row r="2411" spans="1:17">
      <c r="B2411" s="748" t="s">
        <v>2922</v>
      </c>
    </row>
    <row r="2412" spans="1:17">
      <c r="A2412" s="748">
        <f>'Part VIII-Threshold Criteria'!A364</f>
        <v>0</v>
      </c>
    </row>
    <row r="2414" spans="1:17">
      <c r="A2414" s="748">
        <v>23</v>
      </c>
      <c r="B2414" s="748" t="s">
        <v>1082</v>
      </c>
      <c r="O2414" s="748" t="s">
        <v>2923</v>
      </c>
      <c r="P2414" s="748">
        <f>'Part VIII-Threshold Criteria'!P366</f>
        <v>0</v>
      </c>
    </row>
    <row r="2415" spans="1:17">
      <c r="B2415" s="748" t="s">
        <v>3060</v>
      </c>
      <c r="C2415" s="748" t="s">
        <v>4146</v>
      </c>
      <c r="M2415" s="748" t="s">
        <v>3060</v>
      </c>
      <c r="N2415" s="748" t="str">
        <f>'Part VIII-Threshold Criteria'!N367</f>
        <v>Minority concentration</v>
      </c>
      <c r="P2415" s="748" t="str">
        <f>'Part VIII-Threshold Criteria'!P367</f>
        <v>&lt;&lt;Select&gt;&gt;</v>
      </c>
    </row>
    <row r="2416" spans="1:17">
      <c r="B2416" s="748" t="s">
        <v>3063</v>
      </c>
      <c r="C2416" s="748" t="s">
        <v>2</v>
      </c>
      <c r="G2416" s="748" t="s">
        <v>3063</v>
      </c>
      <c r="H2416" s="748" t="str">
        <f>'Part VIII-Threshold Criteria'!H368</f>
        <v>27, 28, 28, 30, 32, 35</v>
      </c>
      <c r="P2416" s="748" t="str">
        <f>'Part VIII-Threshold Criteria'!P368</f>
        <v>Yes</v>
      </c>
      <c r="Q2416" s="748">
        <f>'Part VIII-Threshold Criteria'!Q368</f>
        <v>0</v>
      </c>
    </row>
    <row r="2417" spans="1:17">
      <c r="B2417" s="748" t="s">
        <v>1238</v>
      </c>
      <c r="C2417" s="748" t="s">
        <v>2125</v>
      </c>
      <c r="O2417" s="748" t="s">
        <v>1238</v>
      </c>
      <c r="P2417" s="748" t="str">
        <f>'Part VIII-Threshold Criteria'!P369</f>
        <v>No</v>
      </c>
      <c r="Q2417" s="748">
        <f>'Part VIII-Threshold Criteria'!Q369</f>
        <v>0</v>
      </c>
    </row>
    <row r="2418" spans="1:17">
      <c r="B2418" s="748" t="s">
        <v>2921</v>
      </c>
    </row>
    <row r="2419" spans="1:17">
      <c r="A2419" s="748" t="str">
        <f>'Part VIII-Threshold Criteria'!A371</f>
        <v>The applicant's understanding is that the Contract Addendum is only required for projects using DCA HOME funds</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2529</v>
      </c>
      <c r="F2426" s="748" t="s">
        <v>1057</v>
      </c>
      <c r="O2426" s="748" t="s">
        <v>2923</v>
      </c>
      <c r="P2426" s="748">
        <f>'Part VIII-Threshold Criteria'!P378</f>
        <v>0</v>
      </c>
    </row>
    <row r="2427" spans="1:17">
      <c r="B2427" s="748" t="s">
        <v>3060</v>
      </c>
      <c r="C2427" s="748" t="s">
        <v>2126</v>
      </c>
      <c r="O2427" s="748" t="s">
        <v>3060</v>
      </c>
      <c r="P2427" s="748">
        <f>'Part VIII-Threshold Criteria'!P379</f>
        <v>0</v>
      </c>
      <c r="Q2427" s="748">
        <f>'Part VIII-Threshold Criteria'!Q379</f>
        <v>0</v>
      </c>
    </row>
    <row r="2428" spans="1:17">
      <c r="B2428" s="748" t="s">
        <v>3063</v>
      </c>
      <c r="C2428" s="748" t="s">
        <v>1241</v>
      </c>
      <c r="O2428" s="748" t="s">
        <v>3063</v>
      </c>
      <c r="P2428" s="748">
        <f>'Part VIII-Threshold Criteria'!P380</f>
        <v>0</v>
      </c>
      <c r="Q2428" s="748">
        <f>'Part VIII-Threshold Criteria'!Q380</f>
        <v>0</v>
      </c>
    </row>
    <row r="2429" spans="1:17">
      <c r="B2429" s="748" t="s">
        <v>1238</v>
      </c>
      <c r="C2429" s="748" t="s">
        <v>1242</v>
      </c>
      <c r="O2429" s="748" t="s">
        <v>1238</v>
      </c>
      <c r="P2429" s="748">
        <f>'Part VIII-Threshold Criteria'!P381</f>
        <v>0</v>
      </c>
      <c r="Q2429" s="748">
        <f>'Part VIII-Threshold Criteria'!Q381</f>
        <v>0</v>
      </c>
    </row>
    <row r="2430" spans="1:17">
      <c r="B2430" s="748" t="s">
        <v>3212</v>
      </c>
      <c r="C2430" s="748" t="s">
        <v>877</v>
      </c>
      <c r="O2430" s="748" t="s">
        <v>3212</v>
      </c>
      <c r="P2430" s="748">
        <f>'Part VIII-Threshold Criteria'!P382</f>
        <v>0</v>
      </c>
      <c r="Q2430" s="748">
        <f>'Part VIII-Threshold Criteria'!Q382</f>
        <v>0</v>
      </c>
    </row>
    <row r="2431" spans="1:17">
      <c r="B2431" s="748" t="s">
        <v>2762</v>
      </c>
      <c r="C2431" s="748" t="s">
        <v>3175</v>
      </c>
      <c r="G2431" s="748" t="s">
        <v>2762</v>
      </c>
      <c r="H2431" s="748">
        <f>'Part VIII-Threshold Criteria'!H383</f>
        <v>0</v>
      </c>
      <c r="P2431" s="748">
        <f>'Part VIII-Threshold Criteria'!P383</f>
        <v>0</v>
      </c>
      <c r="Q2431" s="748">
        <f>'Part VIII-Threshold Criteria'!Q383</f>
        <v>0</v>
      </c>
    </row>
    <row r="2432" spans="1:17">
      <c r="B2432" s="748" t="s">
        <v>2921</v>
      </c>
    </row>
    <row r="2433" spans="1:17">
      <c r="A2433" s="748" t="str">
        <f>'Part VIII-Threshold Criteria'!A385</f>
        <v>N/A</v>
      </c>
    </row>
    <row r="2434" spans="1:17">
      <c r="B2434" s="748" t="s">
        <v>2922</v>
      </c>
    </row>
    <row r="2435" spans="1:17">
      <c r="A2435" s="748">
        <f>'Part VIII-Threshold Criteria'!A387</f>
        <v>0</v>
      </c>
    </row>
    <row r="2437" spans="1:17">
      <c r="A2437" s="748">
        <v>25</v>
      </c>
      <c r="B2437" s="748" t="s">
        <v>3755</v>
      </c>
      <c r="O2437" s="748" t="s">
        <v>2923</v>
      </c>
      <c r="P2437" s="748">
        <f>'Part VIII-Threshold Criteria'!P389</f>
        <v>0</v>
      </c>
    </row>
    <row r="2438" spans="1:17">
      <c r="B2438" s="748" t="s">
        <v>3060</v>
      </c>
      <c r="C2438" s="748" t="s">
        <v>4147</v>
      </c>
      <c r="O2438" s="748" t="s">
        <v>3060</v>
      </c>
      <c r="P2438" s="748" t="str">
        <f>'Part VIII-Threshold Criteria'!P390</f>
        <v>Agree</v>
      </c>
      <c r="Q2438" s="748">
        <f>'Part VIII-Threshold Criteria'!Q390</f>
        <v>0</v>
      </c>
    </row>
    <row r="2439" spans="1:17">
      <c r="B2439" s="748" t="s">
        <v>3063</v>
      </c>
      <c r="C2439" s="748" t="s">
        <v>852</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2004</v>
      </c>
      <c r="O2443" s="748" t="s">
        <v>2923</v>
      </c>
      <c r="P2443" s="748">
        <f>'Part VIII-Threshold Criteria'!P395</f>
        <v>0</v>
      </c>
    </row>
    <row r="2444" spans="1:17">
      <c r="B2444" s="748" t="s">
        <v>3060</v>
      </c>
      <c r="C2444" s="748" t="s">
        <v>1243</v>
      </c>
      <c r="O2444" s="748" t="s">
        <v>3060</v>
      </c>
      <c r="P2444" s="748" t="str">
        <f>'Part VIII-Threshold Criteria'!P396</f>
        <v>No</v>
      </c>
      <c r="Q2444" s="748">
        <f>'Part VIII-Threshold Criteria'!Q396</f>
        <v>0</v>
      </c>
    </row>
    <row r="2445" spans="1:17">
      <c r="B2445" s="748" t="s">
        <v>3063</v>
      </c>
      <c r="C2445" s="748" t="s">
        <v>3313</v>
      </c>
      <c r="O2445" s="748" t="s">
        <v>2170</v>
      </c>
      <c r="P2445" s="748">
        <f>'Part VIII-Threshold Criteria'!P397</f>
        <v>0</v>
      </c>
      <c r="Q2445" s="748">
        <f>'Part VIII-Threshold Criteria'!Q397</f>
        <v>0</v>
      </c>
    </row>
    <row r="2446" spans="1:17">
      <c r="C2446" s="748" t="s">
        <v>2226</v>
      </c>
    </row>
    <row r="2447" spans="1:17">
      <c r="C2447" s="748" t="s">
        <v>3314</v>
      </c>
      <c r="O2447" s="748" t="s">
        <v>2765</v>
      </c>
      <c r="P2447" s="748">
        <f>'Part VIII-Threshold Criteria'!P399</f>
        <v>0</v>
      </c>
      <c r="Q2447" s="748">
        <f>'Part VIII-Threshold Criteria'!Q399</f>
        <v>0</v>
      </c>
    </row>
    <row r="2448" spans="1:17">
      <c r="B2448" s="748" t="s">
        <v>1238</v>
      </c>
      <c r="C2448" s="748" t="s">
        <v>3312</v>
      </c>
      <c r="O2448" s="748" t="s">
        <v>1238</v>
      </c>
      <c r="P2448" s="748">
        <f>'Part VIII-Threshold Criteria'!P400</f>
        <v>0</v>
      </c>
      <c r="Q2448" s="748">
        <f>'Part VIII-Threshold Criteria'!Q400</f>
        <v>0</v>
      </c>
    </row>
    <row r="2449" spans="1:17">
      <c r="B2449" s="748" t="s">
        <v>3212</v>
      </c>
      <c r="C2449" s="748" t="s">
        <v>151</v>
      </c>
      <c r="O2449" s="748" t="s">
        <v>3212</v>
      </c>
    </row>
    <row r="2450" spans="1:17">
      <c r="C2450" s="748" t="s">
        <v>3315</v>
      </c>
      <c r="O2450" s="748" t="s">
        <v>2764</v>
      </c>
      <c r="P2450" s="748">
        <f>'Part VIII-Threshold Criteria'!P402</f>
        <v>0</v>
      </c>
      <c r="Q2450" s="748" t="str">
        <f>'Part VIII-Threshold Criteria'!Q402</f>
        <v xml:space="preserve"> </v>
      </c>
    </row>
    <row r="2451" spans="1:17">
      <c r="C2451" s="748" t="s">
        <v>3316</v>
      </c>
      <c r="O2451" s="748" t="s">
        <v>2765</v>
      </c>
      <c r="P2451" s="748">
        <f>'Part VIII-Threshold Criteria'!P403</f>
        <v>0</v>
      </c>
      <c r="Q2451" s="748">
        <f>'Part VIII-Threshold Criteria'!Q403</f>
        <v>0</v>
      </c>
    </row>
    <row r="2452" spans="1:17">
      <c r="C2452" s="748" t="s">
        <v>3317</v>
      </c>
      <c r="O2452" s="748" t="s">
        <v>2766</v>
      </c>
      <c r="P2452" s="748">
        <f>'Part VIII-Threshold Criteria'!P404</f>
        <v>0</v>
      </c>
      <c r="Q2452" s="748" t="str">
        <f>'Part VIII-Threshold Criteria'!Q404</f>
        <v xml:space="preserve"> </v>
      </c>
    </row>
    <row r="2453" spans="1:17">
      <c r="C2453" s="748" t="s">
        <v>3318</v>
      </c>
      <c r="O2453" s="748" t="s">
        <v>3570</v>
      </c>
      <c r="P2453" s="748">
        <f>'Part VIII-Threshold Criteria'!P405</f>
        <v>0</v>
      </c>
      <c r="Q2453" s="748" t="str">
        <f>'Part VIII-Threshold Criteria'!Q405</f>
        <v xml:space="preserve"> </v>
      </c>
    </row>
    <row r="2454" spans="1:17">
      <c r="C2454" s="748" t="s">
        <v>3319</v>
      </c>
      <c r="O2454" s="748" t="s">
        <v>2303</v>
      </c>
      <c r="P2454" s="748">
        <f>'Part VIII-Threshold Criteria'!P406</f>
        <v>0</v>
      </c>
      <c r="Q2454" s="748" t="str">
        <f>'Part VIII-Threshold Criteria'!Q406</f>
        <v xml:space="preserve"> </v>
      </c>
    </row>
    <row r="2455" spans="1:17">
      <c r="B2455" s="748" t="s">
        <v>2762</v>
      </c>
      <c r="C2455" s="748" t="s">
        <v>3613</v>
      </c>
      <c r="O2455" s="748" t="s">
        <v>2762</v>
      </c>
    </row>
    <row r="2456" spans="1:17">
      <c r="C2456" s="748" t="s">
        <v>3320</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N/A - This parcel is a vacant parcel owned byt the Atlanta Housing Authority.</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887</v>
      </c>
      <c r="O2469" s="748" t="s">
        <v>3060</v>
      </c>
      <c r="P2469" s="748" t="str">
        <f>'Part VIII-Threshold Criteria'!P421</f>
        <v>Agree</v>
      </c>
      <c r="Q2469" s="748">
        <f>'Part VIII-Threshold Criteria'!Q421</f>
        <v>0</v>
      </c>
    </row>
    <row r="2470" spans="1:17">
      <c r="B2470" s="748" t="s">
        <v>3063</v>
      </c>
      <c r="C2470" s="748" t="s">
        <v>888</v>
      </c>
      <c r="O2470" s="748" t="s">
        <v>3063</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2923</v>
      </c>
      <c r="P2481" s="748">
        <f>'Part VIII-Threshold Criteria'!P433</f>
        <v>0</v>
      </c>
    </row>
    <row r="2482" spans="1:16">
      <c r="B2482" s="748" t="s">
        <v>2921</v>
      </c>
    </row>
    <row r="2483" spans="1:16">
      <c r="A2483" s="748" t="str">
        <f>'Part VIII-Threshold Criteria'!A435</f>
        <v xml:space="preserve">Ashley Auburn Pointe II is a mixed-income, mixed-finance project that will combine public and private financing to continue the revitalization of an important corridor in Downtown Atlanta, </v>
      </c>
    </row>
    <row r="2484" spans="1:16">
      <c r="A2484" s="748" t="str">
        <f>'Part VIII-Threshold Criteria'!A436</f>
        <v xml:space="preserve">encouraging further private investment in the area. </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2011-013 Ashley Auburn Pointe II , ,  County</v>
      </c>
    </row>
    <row r="2495" spans="1:16">
      <c r="M2495" s="748" t="s">
        <v>3336</v>
      </c>
      <c r="O2495" s="748" t="s">
        <v>3335</v>
      </c>
      <c r="P2495" s="748" t="s">
        <v>334</v>
      </c>
    </row>
    <row r="2496" spans="1:16">
      <c r="M2496" s="748" t="s">
        <v>104</v>
      </c>
      <c r="O2496" s="748" t="s">
        <v>3336</v>
      </c>
      <c r="P2496" s="748" t="s">
        <v>3336</v>
      </c>
    </row>
    <row r="2498" spans="1:17">
      <c r="L2498" s="748" t="s">
        <v>1887</v>
      </c>
      <c r="M2498" s="748">
        <v>108</v>
      </c>
      <c r="O2498" s="748">
        <f>O2786</f>
        <v>57</v>
      </c>
      <c r="P2498" s="748">
        <f>P2786</f>
        <v>10</v>
      </c>
    </row>
    <row r="2500" spans="1:17">
      <c r="A2500" s="748" t="s">
        <v>3064</v>
      </c>
      <c r="B2500" s="748" t="s">
        <v>1671</v>
      </c>
      <c r="H2500" s="748" t="s">
        <v>2523</v>
      </c>
      <c r="M2500" s="748">
        <v>10</v>
      </c>
      <c r="O2500" s="748">
        <f>MIN($M2500, $M2500-O2502-O2503-O2504)</f>
        <v>10</v>
      </c>
      <c r="P2500" s="748">
        <f>MIN($M2500, $M2500-P2502-P2503-P2504)</f>
        <v>10</v>
      </c>
      <c r="Q2500" s="748" t="s">
        <v>651</v>
      </c>
    </row>
    <row r="2502" spans="1:17">
      <c r="A2502" s="748" t="s">
        <v>3060</v>
      </c>
      <c r="B2502" s="748" t="s">
        <v>2924</v>
      </c>
      <c r="F2502" s="748" t="s">
        <v>3894</v>
      </c>
      <c r="G2502" s="748">
        <f>F2509</f>
        <v>0</v>
      </c>
      <c r="H2502" s="748" t="s">
        <v>321</v>
      </c>
      <c r="M2502" s="748">
        <v>7</v>
      </c>
      <c r="N2502" s="748" t="s">
        <v>3060</v>
      </c>
      <c r="O2502" s="748">
        <f>'Part IX A-Scoring Criteria'!O10</f>
        <v>0</v>
      </c>
      <c r="P2502" s="748">
        <f>'Part IX A-Scoring Criteria'!P10</f>
        <v>0</v>
      </c>
    </row>
    <row r="2503" spans="1:17">
      <c r="A2503" s="748" t="s">
        <v>3063</v>
      </c>
      <c r="B2503" s="748" t="s">
        <v>1215</v>
      </c>
      <c r="F2503" s="748" t="s">
        <v>3894</v>
      </c>
      <c r="G2503" s="748">
        <f>K2509</f>
        <v>0</v>
      </c>
      <c r="H2503" s="748" t="s">
        <v>4148</v>
      </c>
      <c r="M2503" s="748">
        <v>0</v>
      </c>
      <c r="N2503" s="748" t="s">
        <v>3063</v>
      </c>
      <c r="O2503" s="748">
        <f>'Part IX A-Scoring Criteria'!O11</f>
        <v>0</v>
      </c>
      <c r="P2503" s="748">
        <f>'Part IX A-Scoring Criteria'!P11</f>
        <v>0</v>
      </c>
    </row>
    <row r="2504" spans="1:17">
      <c r="A2504" s="748" t="s">
        <v>1238</v>
      </c>
      <c r="B2504" s="748" t="s">
        <v>3210</v>
      </c>
      <c r="F2504" s="748" t="s">
        <v>3894</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2922</v>
      </c>
      <c r="F2508" s="748" t="s">
        <v>2739</v>
      </c>
      <c r="K2508" s="748" t="s">
        <v>2739</v>
      </c>
      <c r="P2508" s="748" t="s">
        <v>2739</v>
      </c>
    </row>
    <row r="2509" spans="1:17">
      <c r="A2509" s="748" t="s">
        <v>3638</v>
      </c>
      <c r="E2509" s="748" t="s">
        <v>785</v>
      </c>
      <c r="F2509" s="748">
        <f>SUM(F2510:F2521)</f>
        <v>0</v>
      </c>
      <c r="G2509" s="748" t="s">
        <v>3639</v>
      </c>
      <c r="J2509" s="748" t="s">
        <v>785</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23</v>
      </c>
      <c r="L2524" s="748" t="s">
        <v>1939</v>
      </c>
      <c r="M2524" s="748">
        <f>IF(OR('Part VI-Revenues &amp; Expenses'!$M$61="", 'Part VI-Revenues &amp; Expenses'!$M$61=0),"",J2524/'Part VI-Revenues &amp; Expenses'!$M$61)</f>
        <v>0.15333333333333332</v>
      </c>
    </row>
    <row r="2525" spans="1:18">
      <c r="B2525" s="748" t="s">
        <v>333</v>
      </c>
    </row>
    <row r="2526" spans="1:18">
      <c r="A2526" s="748" t="str">
        <f>'Part IX A-Scoring Criteria'!A34</f>
        <v>There will be 23 units restricted to tenants with incomes at or below 50% AMI. The tenant portion of the rent will likewise be restricted.   All units will be subsidized by AHA.</v>
      </c>
    </row>
    <row r="2527" spans="1:18">
      <c r="B2527" s="748" t="s">
        <v>2922</v>
      </c>
    </row>
    <row r="2528" spans="1:18">
      <c r="A2528" s="748">
        <f>'Part IX A-Scoring Criteria'!A36</f>
        <v>0</v>
      </c>
    </row>
    <row r="2530" spans="1:17">
      <c r="A2530" s="748" t="s">
        <v>3822</v>
      </c>
      <c r="B2530" s="748" t="s">
        <v>2930</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3556</v>
      </c>
      <c r="L2534" s="748" t="str">
        <f>IF(OR($O2534=$M2534,$O2534=0,$O2534=""),"","* * Check Score! * *")</f>
        <v/>
      </c>
      <c r="M2534" s="748">
        <v>2</v>
      </c>
      <c r="N2534" s="748" t="s">
        <v>3063</v>
      </c>
      <c r="O2534" s="748">
        <f>'Part IX A-Scoring Criteria'!O42</f>
        <v>2</v>
      </c>
      <c r="P2534" s="748">
        <f>'Part IX A-Scoring Criteria'!P42</f>
        <v>0</v>
      </c>
    </row>
    <row r="2535" spans="1:17">
      <c r="A2535" s="748" t="s">
        <v>1238</v>
      </c>
      <c r="B2535" s="748" t="s">
        <v>2934</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 xml:space="preserve">Ashley Auburn Pointe II is located in downtown Atlanta, within walking distance to the Central Business District, local and state government offices, Georgia State University, the Sweet Auburn Curb Market, the Martin Luther King Historic Site, Atlanta-Fulton Public Library, Georgia State University, Children's Healthcare of Atlanta, Ebenezer Baptist Church, Big Bethel AME Church, Rolling Bones Barbeque and multiple shopping, dining and entertainment options. The project is less than 1/2 mile from Grady Memorial Hospital. </v>
      </c>
      <c r="Q2538" s="748" t="s">
        <v>1932</v>
      </c>
    </row>
    <row r="2539" spans="1:17" ht="13.15" customHeight="1">
      <c r="A2539" s="748">
        <f>'Part IX A-Scoring Criteria'!A47</f>
        <v>0</v>
      </c>
    </row>
    <row r="2540" spans="1:17" ht="13.15" customHeight="1">
      <c r="A2540" s="748">
        <f>'Part IX A-Scoring Criteria'!A48</f>
        <v>0</v>
      </c>
    </row>
    <row r="2541" spans="1:17">
      <c r="B2541" s="748" t="s">
        <v>2922</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2941</v>
      </c>
      <c r="M2547" s="748">
        <v>2</v>
      </c>
      <c r="O2547" s="748">
        <f>MIN($M2547,(O2548+O2549))</f>
        <v>2</v>
      </c>
      <c r="P2547" s="748">
        <f>MIN($M2547,(P2548+P2549))</f>
        <v>0</v>
      </c>
      <c r="Q2547" s="748" t="s">
        <v>651</v>
      </c>
    </row>
    <row r="2548" spans="1:17">
      <c r="A2548" s="748" t="s">
        <v>3060</v>
      </c>
      <c r="B2548" s="748" t="s">
        <v>1709</v>
      </c>
      <c r="L2548" s="748" t="str">
        <f>IF(OR($O2548=$M2548,$O2548=0,$O2548=""),"","* * Check Score! * *")</f>
        <v/>
      </c>
      <c r="M2548" s="748">
        <v>2</v>
      </c>
      <c r="N2548" s="748" t="s">
        <v>3060</v>
      </c>
      <c r="O2548" s="748">
        <f>'Part IX A-Scoring Criteria'!O56</f>
        <v>2</v>
      </c>
      <c r="P2548" s="748">
        <f>'Part IX A-Scoring Criteria'!P56</f>
        <v>0</v>
      </c>
    </row>
    <row r="2549" spans="1:17">
      <c r="A2549" s="748" t="s">
        <v>3063</v>
      </c>
      <c r="B2549" s="748" t="s">
        <v>1710</v>
      </c>
      <c r="L2549" s="748" t="str">
        <f>IF(OR($O2549=$M2549,$O2549=0,$O2549=""),"","* * Check Score! * *")</f>
        <v/>
      </c>
      <c r="M2549" s="748">
        <v>1</v>
      </c>
      <c r="N2549" s="748" t="s">
        <v>3063</v>
      </c>
      <c r="O2549" s="748">
        <f>'Part IX A-Scoring Criteria'!O57</f>
        <v>0</v>
      </c>
      <c r="P2549" s="748">
        <f>'Part IX A-Scoring Criteria'!P57</f>
        <v>0</v>
      </c>
    </row>
    <row r="2550" spans="1:17">
      <c r="B2550" s="748" t="s">
        <v>333</v>
      </c>
    </row>
    <row r="2551" spans="1:17">
      <c r="A2551" s="748" t="str">
        <f>'Part IX A-Scoring Criteria'!A59</f>
        <v xml:space="preserve">The property is adjacent to the MARTA King Memorial Train Station and is served by multiple bus lines. </v>
      </c>
    </row>
    <row r="2552" spans="1:17">
      <c r="B2552" s="748" t="s">
        <v>2922</v>
      </c>
    </row>
    <row r="2553" spans="1:17">
      <c r="A2553" s="748">
        <f>'Part IX A-Scoring Criteria'!A61</f>
        <v>0</v>
      </c>
    </row>
    <row r="2554" spans="1:17">
      <c r="A2554" s="748">
        <f>'Part IX A-Scoring Criteria'!A62</f>
        <v>0</v>
      </c>
    </row>
    <row r="2556" spans="1:17" ht="12.6" customHeight="1">
      <c r="A2556" s="748" t="s">
        <v>1886</v>
      </c>
      <c r="B2556" s="748" t="s">
        <v>3703</v>
      </c>
      <c r="E2556" s="748" t="s">
        <v>3705</v>
      </c>
      <c r="I2556" s="748" t="s">
        <v>2941</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3704</v>
      </c>
      <c r="E2566" s="748" t="s">
        <v>2090</v>
      </c>
      <c r="I2566" s="748" t="s">
        <v>2941</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3060</v>
      </c>
      <c r="C2576" s="748" t="s">
        <v>1569</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1570</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The project team has experience with multiple projects that have been EarthCraft Multifamily Certified.  A Certificate of Attendance to DCA's Sustainability Workshop is included in Tab 29.</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744</v>
      </c>
      <c r="B2585" s="748" t="s">
        <v>3640</v>
      </c>
      <c r="I2585" s="748" t="str">
        <f>'Part IX A-Scoring Criteria'!I93</f>
        <v>HOPE VI or Choice Neighborhoods Initiative</v>
      </c>
      <c r="M2585" s="748">
        <v>6</v>
      </c>
      <c r="O2585" s="748">
        <f>'Part IX A-Scoring Criteria'!O93</f>
        <v>6</v>
      </c>
      <c r="P2585" s="748">
        <f>'Part IX A-Scoring Criteria'!P93</f>
        <v>0</v>
      </c>
      <c r="Q2585" s="748" t="s">
        <v>651</v>
      </c>
    </row>
    <row r="2586" spans="1:17">
      <c r="A2586" s="748" t="s">
        <v>508</v>
      </c>
    </row>
    <row r="2587" spans="1:17">
      <c r="A2587" s="748" t="s">
        <v>3060</v>
      </c>
      <c r="B2587" s="748" t="s">
        <v>3793</v>
      </c>
      <c r="M2587" s="748">
        <v>4</v>
      </c>
    </row>
    <row r="2588" spans="1:17">
      <c r="A2588" s="748" t="str">
        <f>'Part IX A-Scoring Criteria'!A96</f>
        <v/>
      </c>
      <c r="B2588" s="748" t="s">
        <v>3064</v>
      </c>
      <c r="C2588" s="748" t="s">
        <v>867</v>
      </c>
      <c r="O2588" s="748" t="s">
        <v>3794</v>
      </c>
      <c r="P2588" s="748" t="s">
        <v>3794</v>
      </c>
    </row>
    <row r="2589" spans="1:17">
      <c r="B2589" s="748" t="s">
        <v>3681</v>
      </c>
      <c r="C2589" s="748" t="s">
        <v>3621</v>
      </c>
      <c r="G2589" s="748" t="s">
        <v>3622</v>
      </c>
      <c r="M2589" s="748" t="str">
        <f>IF(AND($I$89="Stable Communities &lt; 10%",O2589=""), "X","")</f>
        <v/>
      </c>
      <c r="N2589" s="748" t="s">
        <v>3681</v>
      </c>
      <c r="O2589" s="748">
        <f>'Part IX A-Scoring Criteria'!O97</f>
        <v>0</v>
      </c>
      <c r="P2589" s="748">
        <f>'Part IX A-Scoring Criteria'!P97</f>
        <v>0</v>
      </c>
    </row>
    <row r="2590" spans="1:17">
      <c r="B2590" s="748" t="s">
        <v>3682</v>
      </c>
      <c r="C2590" s="748" t="s">
        <v>3623</v>
      </c>
      <c r="G2590" s="748" t="s">
        <v>3624</v>
      </c>
      <c r="M2590" s="748" t="str">
        <f>IF(AND($I$89="Stable Communities &lt; 10%",O2590=""), "X","")</f>
        <v/>
      </c>
      <c r="N2590" s="748" t="s">
        <v>3682</v>
      </c>
      <c r="O2590" s="748">
        <f>'Part IX A-Scoring Criteria'!O98</f>
        <v>0</v>
      </c>
      <c r="P2590" s="748">
        <f>'Part IX A-Scoring Criteria'!P98</f>
        <v>0</v>
      </c>
    </row>
    <row r="2591" spans="1:17">
      <c r="B2591" s="748" t="s">
        <v>3685</v>
      </c>
      <c r="C2591" s="748" t="s">
        <v>2190</v>
      </c>
      <c r="M2591" s="748" t="str">
        <f>IF(AND($I$89="Stable Communities &lt; 10%",O2591=""), "X","")</f>
        <v/>
      </c>
      <c r="N2591" s="748" t="s">
        <v>3685</v>
      </c>
      <c r="O2591" s="748">
        <f>'Part IX A-Scoring Criteria'!O99</f>
        <v>0</v>
      </c>
      <c r="P2591" s="748">
        <f>'Part IX A-Scoring Criteria'!P99</f>
        <v>0</v>
      </c>
    </row>
    <row r="2592" spans="1:17">
      <c r="A2592" s="748" t="str">
        <f>'Part IX A-Scoring Criteria'!A100</f>
        <v/>
      </c>
      <c r="B2592" s="748" t="s">
        <v>3066</v>
      </c>
      <c r="C2592" s="748" t="s">
        <v>867</v>
      </c>
      <c r="O2592" s="748" t="s">
        <v>3794</v>
      </c>
      <c r="P2592" s="748" t="s">
        <v>3794</v>
      </c>
    </row>
    <row r="2593" spans="1:16">
      <c r="B2593" s="748" t="s">
        <v>3681</v>
      </c>
      <c r="C2593" s="748" t="s">
        <v>3706</v>
      </c>
      <c r="G2593" s="748" t="s">
        <v>3625</v>
      </c>
      <c r="M2593" s="748" t="str">
        <f>IF(AND($I$89="Stable Communities &lt; 20%",O2593=""), "X","")</f>
        <v/>
      </c>
      <c r="N2593" s="748" t="s">
        <v>3681</v>
      </c>
      <c r="O2593" s="748">
        <f>'Part IX A-Scoring Criteria'!O101</f>
        <v>0</v>
      </c>
      <c r="P2593" s="748">
        <f>'Part IX A-Scoring Criteria'!P101</f>
        <v>0</v>
      </c>
    </row>
    <row r="2594" spans="1:16">
      <c r="B2594" s="748" t="s">
        <v>3682</v>
      </c>
      <c r="C2594" s="748" t="s">
        <v>3623</v>
      </c>
      <c r="G2594" s="748" t="s">
        <v>3624</v>
      </c>
      <c r="M2594" s="748" t="str">
        <f>IF(AND($I$89="Stable Communities &lt; 20%",O2594=""), "X","")</f>
        <v/>
      </c>
      <c r="N2594" s="748" t="s">
        <v>3682</v>
      </c>
      <c r="O2594" s="748">
        <f>'Part IX A-Scoring Criteria'!O102</f>
        <v>0</v>
      </c>
      <c r="P2594" s="748">
        <f>'Part IX A-Scoring Criteria'!P102</f>
        <v>0</v>
      </c>
    </row>
    <row r="2595" spans="1:16">
      <c r="B2595" s="748" t="s">
        <v>3685</v>
      </c>
      <c r="C2595" s="748" t="s">
        <v>2190</v>
      </c>
      <c r="M2595" s="748" t="str">
        <f>IF(AND($I$89="Stable Communities &lt; 20%",O2595=""), "X","")</f>
        <v/>
      </c>
      <c r="N2595" s="748" t="s">
        <v>3685</v>
      </c>
      <c r="O2595" s="748">
        <f>'Part IX A-Scoring Criteria'!O103</f>
        <v>0</v>
      </c>
      <c r="P2595" s="748">
        <f>'Part IX A-Scoring Criteria'!P103</f>
        <v>0</v>
      </c>
    </row>
    <row r="2596" spans="1:16">
      <c r="A2596" s="748" t="s">
        <v>3063</v>
      </c>
      <c r="B2596" s="748" t="s">
        <v>346</v>
      </c>
      <c r="M2596" s="748">
        <v>6</v>
      </c>
    </row>
    <row r="2597" spans="1:16">
      <c r="A2597" s="748" t="str">
        <f>'Part IX A-Scoring Criteria'!A105</f>
        <v>X</v>
      </c>
      <c r="B2597" s="748" t="s">
        <v>3064</v>
      </c>
      <c r="C2597" s="748" t="s">
        <v>4149</v>
      </c>
      <c r="O2597" s="748" t="s">
        <v>3794</v>
      </c>
      <c r="P2597" s="748" t="s">
        <v>3794</v>
      </c>
    </row>
    <row r="2598" spans="1:16">
      <c r="B2598" s="748" t="s">
        <v>3681</v>
      </c>
      <c r="C2598" s="748" t="s">
        <v>913</v>
      </c>
      <c r="M2598" s="748" t="str">
        <f>IF(AND($I$89="HOPE VI Initiative",O2598=""), "X","")</f>
        <v/>
      </c>
      <c r="N2598" s="748" t="s">
        <v>3681</v>
      </c>
      <c r="O2598" s="748" t="str">
        <f>'Part IX A-Scoring Criteria'!O106</f>
        <v>Yes</v>
      </c>
      <c r="P2598" s="748">
        <f>'Part IX A-Scoring Criteria'!P106</f>
        <v>0</v>
      </c>
    </row>
    <row r="2599" spans="1:16">
      <c r="B2599" s="748" t="s">
        <v>3682</v>
      </c>
      <c r="C2599" s="748" t="s">
        <v>914</v>
      </c>
      <c r="M2599" s="748" t="str">
        <f>IF(AND($I$89="HOPE VI Initiative",O2599=""), "X","")</f>
        <v/>
      </c>
      <c r="N2599" s="748" t="s">
        <v>3682</v>
      </c>
      <c r="O2599" s="748" t="str">
        <f>'Part IX A-Scoring Criteria'!O107</f>
        <v>Yes</v>
      </c>
      <c r="P2599" s="748">
        <f>'Part IX A-Scoring Criteria'!P107</f>
        <v>0</v>
      </c>
    </row>
    <row r="2600" spans="1:16">
      <c r="B2600" s="748" t="s">
        <v>3683</v>
      </c>
      <c r="C2600" s="748" t="s">
        <v>915</v>
      </c>
      <c r="M2600" s="748" t="str">
        <f>IF(AND($I$89="HOPE VI Initiative",O2600=""), "X","")</f>
        <v/>
      </c>
      <c r="N2600" s="748" t="s">
        <v>3683</v>
      </c>
      <c r="O2600" s="748" t="str">
        <f>'Part IX A-Scoring Criteria'!O108</f>
        <v>Yes</v>
      </c>
      <c r="P2600" s="748">
        <f>'Part IX A-Scoring Criteria'!P108</f>
        <v>0</v>
      </c>
    </row>
    <row r="2601" spans="1:16">
      <c r="B2601" s="748" t="s">
        <v>3684</v>
      </c>
      <c r="C2601" s="748" t="s">
        <v>916</v>
      </c>
      <c r="M2601" s="748" t="str">
        <f>IF(AND($I$89="HOPE VI Initiative",O2601=""), "X","")</f>
        <v/>
      </c>
      <c r="N2601" s="748" t="s">
        <v>3684</v>
      </c>
      <c r="O2601" s="748" t="str">
        <f>'Part IX A-Scoring Criteria'!O109</f>
        <v>Yes</v>
      </c>
      <c r="P2601" s="748">
        <f>'Part IX A-Scoring Criteria'!P109</f>
        <v>0</v>
      </c>
    </row>
    <row r="2602" spans="1:16">
      <c r="B2602" s="748" t="s">
        <v>3066</v>
      </c>
      <c r="C2602" s="748" t="s">
        <v>539</v>
      </c>
      <c r="G2602" s="748" t="s">
        <v>920</v>
      </c>
      <c r="N2602" s="748" t="s">
        <v>3066</v>
      </c>
      <c r="O2602" s="748">
        <f>'Part IX A-Scoring Criteria'!O110</f>
        <v>0</v>
      </c>
      <c r="P2602" s="748">
        <f>'Part IX A-Scoring Criteria'!P110</f>
        <v>0</v>
      </c>
    </row>
    <row r="2603" spans="1:16">
      <c r="A2603" s="748" t="str">
        <f>'Part IX A-Scoring Criteria'!A111</f>
        <v/>
      </c>
      <c r="B2603" s="748" t="s">
        <v>3822</v>
      </c>
      <c r="C2603" s="748" t="s">
        <v>540</v>
      </c>
      <c r="G2603" s="748" t="s">
        <v>1650</v>
      </c>
      <c r="H2603" s="748" t="str">
        <f>'Part IX A-Scoring Criteria'!H111</f>
        <v>&lt;&lt;Select&gt;&gt;</v>
      </c>
      <c r="I2603" s="748" t="s">
        <v>1562</v>
      </c>
      <c r="J2603" s="748">
        <f>'Part IX A-Scoring Criteria'!J111</f>
        <v>0</v>
      </c>
      <c r="N2603" s="748" t="s">
        <v>3822</v>
      </c>
      <c r="O2603" s="748">
        <f>'Part IX A-Scoring Criteria'!O111</f>
        <v>0</v>
      </c>
      <c r="P2603" s="748">
        <f>'Part IX A-Scoring Criteria'!P111</f>
        <v>0</v>
      </c>
    </row>
    <row r="2604" spans="1:16">
      <c r="A2604" s="748" t="str">
        <f>'Part IX A-Scoring Criteria'!A112</f>
        <v/>
      </c>
      <c r="B2604" s="748" t="s">
        <v>1885</v>
      </c>
      <c r="C2604" s="748" t="s">
        <v>3610</v>
      </c>
      <c r="G2604" s="748" t="s">
        <v>636</v>
      </c>
      <c r="H2604" s="748">
        <f>'Part IX A-Scoring Criteria'!H112</f>
        <v>0</v>
      </c>
      <c r="N2604" s="748" t="s">
        <v>1885</v>
      </c>
      <c r="O2604" s="748">
        <f>'Part IX A-Scoring Criteria'!O112</f>
        <v>0</v>
      </c>
      <c r="P2604" s="748">
        <f>'Part IX A-Scoring Criteria'!P112</f>
        <v>0</v>
      </c>
    </row>
    <row r="2605" spans="1:16">
      <c r="B2605" s="748" t="s">
        <v>3681</v>
      </c>
      <c r="C2605" s="748" t="s">
        <v>921</v>
      </c>
      <c r="G2605" s="748" t="s">
        <v>919</v>
      </c>
      <c r="H2605" s="748">
        <f>'Part IX A-Scoring Criteria'!H113</f>
        <v>0</v>
      </c>
      <c r="M2605" s="748" t="str">
        <f>IF(AND($I$89="Local Redevelopment Plan",O2605=""), "X","")</f>
        <v/>
      </c>
      <c r="N2605" s="748" t="s">
        <v>3681</v>
      </c>
      <c r="O2605" s="748">
        <f>'Part IX A-Scoring Criteria'!O113</f>
        <v>0</v>
      </c>
      <c r="P2605" s="748">
        <f>'Part IX A-Scoring Criteria'!P113</f>
        <v>0</v>
      </c>
    </row>
    <row r="2606" spans="1:16">
      <c r="B2606" s="748" t="s">
        <v>3682</v>
      </c>
      <c r="C2606" s="748" t="s">
        <v>3710</v>
      </c>
      <c r="N2606" s="748" t="s">
        <v>3682</v>
      </c>
      <c r="O2606" s="748">
        <f>'Part IX A-Scoring Criteria'!O114</f>
        <v>0</v>
      </c>
      <c r="P2606" s="748">
        <f>'Part IX A-Scoring Criteria'!P114</f>
        <v>0</v>
      </c>
    </row>
    <row r="2607" spans="1:16">
      <c r="B2607" s="748" t="s">
        <v>3683</v>
      </c>
      <c r="C2607" s="748" t="s">
        <v>3711</v>
      </c>
      <c r="M2607" s="748" t="str">
        <f t="shared" ref="M2607:M2616" si="374">IF(AND($I$89="Local Redevelopment Plan",O2607=""), "X","")</f>
        <v/>
      </c>
      <c r="N2607" s="748" t="s">
        <v>3683</v>
      </c>
      <c r="O2607" s="748">
        <f>'Part IX A-Scoring Criteria'!O115</f>
        <v>0</v>
      </c>
      <c r="P2607" s="748">
        <f>'Part IX A-Scoring Criteria'!P115</f>
        <v>0</v>
      </c>
    </row>
    <row r="2608" spans="1:16">
      <c r="B2608" s="748" t="s">
        <v>3684</v>
      </c>
      <c r="C2608" s="748" t="s">
        <v>3712</v>
      </c>
      <c r="M2608" s="748" t="str">
        <f t="shared" si="374"/>
        <v/>
      </c>
      <c r="N2608" s="748" t="s">
        <v>3684</v>
      </c>
      <c r="O2608" s="748">
        <f>'Part IX A-Scoring Criteria'!O116</f>
        <v>0</v>
      </c>
      <c r="P2608" s="748">
        <f>'Part IX A-Scoring Criteria'!P116</f>
        <v>0</v>
      </c>
    </row>
    <row r="2609" spans="1:17">
      <c r="B2609" s="748" t="s">
        <v>3685</v>
      </c>
      <c r="C2609" s="748" t="s">
        <v>3713</v>
      </c>
      <c r="M2609" s="748" t="str">
        <f t="shared" si="374"/>
        <v/>
      </c>
      <c r="N2609" s="748" t="s">
        <v>3685</v>
      </c>
      <c r="O2609" s="748">
        <f>'Part IX A-Scoring Criteria'!O117</f>
        <v>0</v>
      </c>
      <c r="P2609" s="748">
        <f>'Part IX A-Scoring Criteria'!P117</f>
        <v>0</v>
      </c>
    </row>
    <row r="2610" spans="1:17">
      <c r="B2610" s="748" t="s">
        <v>3708</v>
      </c>
      <c r="C2610" s="748" t="s">
        <v>3714</v>
      </c>
      <c r="M2610" s="748" t="str">
        <f t="shared" si="374"/>
        <v/>
      </c>
      <c r="N2610" s="748" t="s">
        <v>3708</v>
      </c>
      <c r="O2610" s="748">
        <f>'Part IX A-Scoring Criteria'!O118</f>
        <v>0</v>
      </c>
      <c r="P2610" s="748">
        <f>'Part IX A-Scoring Criteria'!P118</f>
        <v>0</v>
      </c>
    </row>
    <row r="2611" spans="1:17">
      <c r="B2611" s="748" t="s">
        <v>3709</v>
      </c>
      <c r="C2611" s="748" t="s">
        <v>3715</v>
      </c>
      <c r="M2611" s="748" t="str">
        <f t="shared" si="374"/>
        <v/>
      </c>
      <c r="N2611" s="748" t="s">
        <v>3709</v>
      </c>
      <c r="O2611" s="748">
        <f>'Part IX A-Scoring Criteria'!O119</f>
        <v>0</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f>'Part IX A-Scoring Criteria'!O121</f>
        <v>0</v>
      </c>
      <c r="P2613" s="748">
        <f>'Part IX A-Scoring Criteria'!P121</f>
        <v>0</v>
      </c>
    </row>
    <row r="2614" spans="1:17">
      <c r="B2614" s="748" t="s">
        <v>3717</v>
      </c>
      <c r="C2614" s="748" t="s">
        <v>3721</v>
      </c>
      <c r="M2614" s="748" t="str">
        <f t="shared" si="374"/>
        <v/>
      </c>
      <c r="N2614" s="748" t="s">
        <v>3717</v>
      </c>
      <c r="O2614" s="748">
        <f>'Part IX A-Scoring Criteria'!O122</f>
        <v>0</v>
      </c>
      <c r="P2614" s="748">
        <f>'Part IX A-Scoring Criteria'!P122</f>
        <v>0</v>
      </c>
    </row>
    <row r="2615" spans="1:17">
      <c r="B2615" s="748" t="s">
        <v>3718</v>
      </c>
      <c r="C2615" s="748" t="s">
        <v>3722</v>
      </c>
      <c r="M2615" s="748" t="str">
        <f t="shared" si="374"/>
        <v/>
      </c>
      <c r="N2615" s="748" t="s">
        <v>3718</v>
      </c>
      <c r="O2615" s="748">
        <f>'Part IX A-Scoring Criteria'!O123</f>
        <v>0</v>
      </c>
      <c r="P2615" s="748">
        <f>'Part IX A-Scoring Criteria'!P123</f>
        <v>0</v>
      </c>
    </row>
    <row r="2616" spans="1:17">
      <c r="B2616" s="748" t="s">
        <v>918</v>
      </c>
      <c r="C2616" s="748" t="s">
        <v>3723</v>
      </c>
      <c r="M2616" s="748" t="str">
        <f t="shared" si="374"/>
        <v/>
      </c>
      <c r="N2616" s="748" t="s">
        <v>918</v>
      </c>
      <c r="O2616" s="748">
        <f>'Part IX A-Scoring Criteria'!O124</f>
        <v>0</v>
      </c>
      <c r="P2616" s="748">
        <f>'Part IX A-Scoring Criteria'!P124</f>
        <v>0</v>
      </c>
    </row>
    <row r="2617" spans="1:17">
      <c r="B2617" s="748" t="s">
        <v>333</v>
      </c>
    </row>
    <row r="2618" spans="1:17">
      <c r="A2618" s="748" t="str">
        <f>'Part IX A-Scoring Criteria'!A126</f>
        <v>Ashley Auburn Pointe II is Phase IV of the HOPE VI revitalization of the former public housing community known as Grady Homes.  Documentation from the Atlanta Housing Authority is included in Tab 2 and Tab 31.</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3724</v>
      </c>
      <c r="J2624" s="748" t="s">
        <v>504</v>
      </c>
      <c r="M2624" s="748">
        <v>3</v>
      </c>
      <c r="O2624" s="748">
        <f>MIN($M2624,(O2625+O2631))</f>
        <v>3</v>
      </c>
      <c r="P2624" s="748">
        <f>MIN($M2624,(P2625+P2631))</f>
        <v>0</v>
      </c>
      <c r="Q2624" s="748" t="s">
        <v>651</v>
      </c>
    </row>
    <row r="2625" spans="1:17">
      <c r="B2625" s="748" t="s">
        <v>3060</v>
      </c>
      <c r="C2625" s="748" t="s">
        <v>3357</v>
      </c>
      <c r="G2625" s="748" t="str">
        <f>IF(AND(O2625&lt;0,M2632&lt;0),"Select either A or B but not both!&gt;","")</f>
        <v/>
      </c>
      <c r="L2625" s="748" t="str">
        <f>IF(OR($O2625=$M2625,$O2625=0,$O2625=""),"","* * Check Score! * *")</f>
        <v/>
      </c>
      <c r="M2625" s="748">
        <v>3</v>
      </c>
      <c r="N2625" s="748" t="s">
        <v>3060</v>
      </c>
      <c r="O2625" s="748">
        <f>'Part IX A-Scoring Criteria'!O133</f>
        <v>3</v>
      </c>
      <c r="P2625" s="748">
        <f>'Part IX A-Scoring Criteria'!P133</f>
        <v>0</v>
      </c>
    </row>
    <row r="2626" spans="1:17" ht="13.15" customHeight="1">
      <c r="B2626" s="748" t="s">
        <v>3064</v>
      </c>
      <c r="C2626" s="748" t="s">
        <v>1564</v>
      </c>
      <c r="N2626" s="748" t="s">
        <v>3064</v>
      </c>
      <c r="O2626" s="748" t="str">
        <f>'Part IX A-Scoring Criteria'!O134</f>
        <v>Yes</v>
      </c>
      <c r="P2626" s="748">
        <f>'Part IX A-Scoring Criteria'!P134</f>
        <v>0</v>
      </c>
    </row>
    <row r="2627" spans="1:17" ht="13.15" customHeight="1">
      <c r="C2627" s="748" t="s">
        <v>1565</v>
      </c>
      <c r="H2627" s="748" t="s">
        <v>1563</v>
      </c>
      <c r="I2627" s="748" t="str">
        <f>'Part IX A-Scoring Criteria'!I135</f>
        <v>2008-063</v>
      </c>
      <c r="J2627" s="748" t="s">
        <v>951</v>
      </c>
      <c r="K2627" s="748" t="str">
        <f>'Part IX A-Scoring Criteria'!K135</f>
        <v>Veranda II at Auburn Pointe</v>
      </c>
    </row>
    <row r="2628" spans="1:17">
      <c r="B2628" s="748" t="s">
        <v>3066</v>
      </c>
      <c r="C2628" s="748" t="s">
        <v>1566</v>
      </c>
      <c r="L2628" s="748" t="str">
        <f>IF(OR($O2628=$M2628,$O2628=0,$O2628=""),"","* * Check Score! * *")</f>
        <v>* * Check Score! * *</v>
      </c>
      <c r="N2628" s="748" t="s">
        <v>3066</v>
      </c>
      <c r="O2628" s="748" t="str">
        <f>'Part IX A-Scoring Criteria'!O136</f>
        <v>Yes</v>
      </c>
      <c r="P2628" s="748">
        <f>'Part IX A-Scoring Criteria'!P136</f>
        <v>0</v>
      </c>
    </row>
    <row r="2629" spans="1:17">
      <c r="B2629" s="748" t="s">
        <v>3822</v>
      </c>
      <c r="C2629" s="748" t="s">
        <v>1567</v>
      </c>
      <c r="L2629" s="748" t="str">
        <f>IF(OR($O2629=$M2629,$O2629=0,$O2629=""),"","* * Check Score! * *")</f>
        <v>* * Check Score! * *</v>
      </c>
      <c r="N2629" s="748" t="s">
        <v>3822</v>
      </c>
      <c r="O2629" s="748" t="str">
        <f>'Part IX A-Scoring Criteria'!O137</f>
        <v>No</v>
      </c>
      <c r="P2629" s="748">
        <f>'Part IX A-Scoring Criteria'!P137</f>
        <v>0</v>
      </c>
    </row>
    <row r="2630" spans="1:17">
      <c r="B2630" s="748" t="s">
        <v>1885</v>
      </c>
      <c r="C2630" s="748" t="s">
        <v>1568</v>
      </c>
      <c r="L2630" s="748" t="str">
        <f>IF(OR($O2630=$M2630,$O2630=0,$O2630=""),"","* * Check Score! * *")</f>
        <v>* * Check Score! * *</v>
      </c>
      <c r="N2630" s="748" t="s">
        <v>1885</v>
      </c>
      <c r="O2630" s="748" t="str">
        <f>'Part IX A-Scoring Criteria'!O138</f>
        <v>Yes</v>
      </c>
      <c r="P2630" s="748">
        <f>'Part IX A-Scoring Criteria'!P138</f>
        <v>0</v>
      </c>
    </row>
    <row r="2631" spans="1:17">
      <c r="A2631" s="748" t="s">
        <v>2055</v>
      </c>
      <c r="B2631" s="748" t="s">
        <v>3063</v>
      </c>
      <c r="C2631" s="748" t="s">
        <v>3358</v>
      </c>
      <c r="M2631" s="748">
        <v>3</v>
      </c>
      <c r="N2631" s="748" t="s">
        <v>3063</v>
      </c>
      <c r="O2631" s="748">
        <f>IF($M2632=4,3,IF($M2632=3,2,IF($M2632=2,1,0)))</f>
        <v>0</v>
      </c>
      <c r="P2631" s="748">
        <f>IF($M2632=4,3,IF($M2632=3,2,IF($M2632=2,1,0)))</f>
        <v>0</v>
      </c>
    </row>
    <row r="2632" spans="1:17">
      <c r="L2632" s="748" t="s">
        <v>734</v>
      </c>
      <c r="M2632" s="748" t="str">
        <f>'Part IX A-Scoring Criteria'!M140</f>
        <v>&lt;Select&gt;</v>
      </c>
      <c r="N2632" s="748" t="s">
        <v>735</v>
      </c>
    </row>
    <row r="2633" spans="1:17">
      <c r="B2633" s="748" t="s">
        <v>333</v>
      </c>
    </row>
    <row r="2634" spans="1:17">
      <c r="A2634" s="748" t="str">
        <f>'Part IX A-Scoring Criteria'!A142</f>
        <v xml:space="preserve">AHA owns the entire site of the former Grady Homes.  Grady Redevelopment LLC has development rights to the entire site through a Revitalization Agreement with AHA. </v>
      </c>
    </row>
    <row r="2635" spans="1:17">
      <c r="B2635" s="748" t="s">
        <v>2922</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3794</v>
      </c>
    </row>
    <row r="2640" spans="1:17">
      <c r="A2640" s="748" t="s">
        <v>3681</v>
      </c>
      <c r="B2640" s="748" t="s">
        <v>3726</v>
      </c>
      <c r="O2640" s="748" t="s">
        <v>3681</v>
      </c>
      <c r="P2640" s="748">
        <f>'Part IX A-Scoring Criteria'!P148</f>
        <v>0</v>
      </c>
    </row>
    <row r="2641" spans="1:16" ht="13.15" customHeight="1">
      <c r="A2641" s="748" t="s">
        <v>3682</v>
      </c>
      <c r="B2641" s="748" t="s">
        <v>3727</v>
      </c>
      <c r="O2641" s="748" t="s">
        <v>3682</v>
      </c>
      <c r="P2641" s="748">
        <f>'Part IX A-Scoring Criteria'!P149</f>
        <v>0</v>
      </c>
    </row>
    <row r="2642" spans="1:16" ht="13.15"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15" customHeight="1">
      <c r="A2644" s="748" t="s">
        <v>3685</v>
      </c>
      <c r="B2644" s="748" t="s">
        <v>3340</v>
      </c>
      <c r="O2644" s="748" t="s">
        <v>3685</v>
      </c>
      <c r="P2644" s="748">
        <f>'Part IX A-Scoring Criteria'!P152</f>
        <v>0</v>
      </c>
    </row>
    <row r="2645" spans="1:16" ht="13.15" customHeight="1">
      <c r="A2645" s="748" t="s">
        <v>3708</v>
      </c>
      <c r="B2645" s="748" t="s">
        <v>3341</v>
      </c>
      <c r="O2645" s="748" t="s">
        <v>3708</v>
      </c>
      <c r="P2645" s="748">
        <f>'Part IX A-Scoring Criteria'!P153</f>
        <v>0</v>
      </c>
    </row>
    <row r="2646" spans="1:16">
      <c r="A2646" s="748" t="s">
        <v>3709</v>
      </c>
      <c r="B2646" s="748" t="s">
        <v>2667</v>
      </c>
      <c r="O2646" s="748" t="s">
        <v>3709</v>
      </c>
      <c r="P2646" s="748">
        <f>'Part IX A-Scoring Criteria'!P154</f>
        <v>0</v>
      </c>
    </row>
    <row r="2647" spans="1:16">
      <c r="A2647" s="748" t="s">
        <v>3716</v>
      </c>
      <c r="B2647" s="748" t="s">
        <v>2668</v>
      </c>
      <c r="O2647" s="748" t="s">
        <v>3716</v>
      </c>
      <c r="P2647" s="748">
        <f>'Part IX A-Scoring Criteria'!P155</f>
        <v>0</v>
      </c>
    </row>
    <row r="2648" spans="1:16">
      <c r="B2648" s="748" t="s">
        <v>333</v>
      </c>
    </row>
    <row r="2649" spans="1:16">
      <c r="A2649" s="748" t="str">
        <f>'Part IX A-Scoring Criteria'!A157</f>
        <v xml:space="preserve">Applicant believes there is strong demand for this project based upon the strong response to Ashley Auburn Pointe I.  The non-subsidized tax credit units and market units were completely leased in under 4 months and there is a current wait list for the tax credit units.  The AHA subsidized units took longer due to the process of reoccupancy of former residents of Grady Homes. </v>
      </c>
    </row>
    <row r="2650" spans="1:16">
      <c r="A2650" s="748" t="str">
        <f>'Part IX A-Scoring Criteria'!A158</f>
        <v xml:space="preserve">During the lease-up of Ashley Auburn Pointe I, the nearby mixed income community of Capitol Gateway maintained occupancy above 90% in both phases, showing there is a demand in this corridor. </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504</v>
      </c>
      <c r="M2658" s="748">
        <v>1</v>
      </c>
      <c r="O2658" s="748">
        <f>MIN($M2658,SUM(O2659:O2660))</f>
        <v>1</v>
      </c>
      <c r="P2658" s="748">
        <f>MIN($M2658,SUM(P2659:P2660))</f>
        <v>0</v>
      </c>
      <c r="Q2658" s="748" t="s">
        <v>651</v>
      </c>
    </row>
    <row r="2659" spans="1:18">
      <c r="B2659" s="748" t="s">
        <v>3060</v>
      </c>
      <c r="C2659" s="748" t="s">
        <v>3360</v>
      </c>
      <c r="K2659" s="748" t="s">
        <v>2215</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3361</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2922</v>
      </c>
    </row>
    <row r="2664" spans="1:18">
      <c r="A2664" s="748">
        <f>'Part IX A-Scoring Criteria'!A172</f>
        <v>0</v>
      </c>
    </row>
    <row r="2665" spans="1:18">
      <c r="A2665" s="748">
        <f>'Part IX A-Scoring Criteria'!A173</f>
        <v>0</v>
      </c>
    </row>
    <row r="2667" spans="1:18">
      <c r="A2667" s="748" t="s">
        <v>300</v>
      </c>
      <c r="B2667" s="748" t="s">
        <v>3664</v>
      </c>
      <c r="J2667" s="748" t="s">
        <v>504</v>
      </c>
      <c r="M2667" s="748">
        <v>6</v>
      </c>
      <c r="O2667" s="748">
        <f>MIN($M2667,(O2668+O2672))</f>
        <v>0</v>
      </c>
      <c r="P2667" s="748">
        <f>MIN($M2667,(P2668+P2672))</f>
        <v>0</v>
      </c>
      <c r="Q2667" s="748" t="s">
        <v>651</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3611</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2669</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2671</v>
      </c>
      <c r="M2673" s="748">
        <v>6</v>
      </c>
      <c r="N2673" s="748" t="s">
        <v>3064</v>
      </c>
      <c r="O2673" s="748">
        <f>'Part IX A-Scoring Criteria'!O181</f>
        <v>0</v>
      </c>
      <c r="P2673" s="748">
        <f>'Part IX A-Scoring Criteria'!P181</f>
        <v>0</v>
      </c>
    </row>
    <row r="2674" spans="1:18">
      <c r="B2674" s="748" t="s">
        <v>3066</v>
      </c>
      <c r="C2674" s="748" t="s">
        <v>2672</v>
      </c>
      <c r="L2674" s="748" t="str">
        <f>IF(OR($O2674=$M2674,$O2674=0,$O2674=""),"","* * Check Score! * *")</f>
        <v/>
      </c>
      <c r="M2674" s="748">
        <v>2</v>
      </c>
      <c r="N2674" s="748" t="s">
        <v>3066</v>
      </c>
      <c r="O2674" s="748">
        <f>'Part IX A-Scoring Criteria'!O182</f>
        <v>0</v>
      </c>
      <c r="P2674" s="748">
        <f>'Part IX A-Scoring Criteria'!P182</f>
        <v>0</v>
      </c>
    </row>
    <row r="2675" spans="1:18">
      <c r="B2675" s="748" t="s">
        <v>3822</v>
      </c>
      <c r="C2675" s="748" t="s">
        <v>2670</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t="str">
        <f>'Part IX A-Scoring Criteria'!A185</f>
        <v>NA</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3060</v>
      </c>
      <c r="B2684" s="748" t="s">
        <v>922</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NA</v>
      </c>
    </row>
    <row r="2688" spans="1:18">
      <c r="B2688" s="748" t="s">
        <v>2922</v>
      </c>
    </row>
    <row r="2689" spans="1:18">
      <c r="A2689" s="748">
        <f>'Part IX A-Scoring Criteria'!A197</f>
        <v>0</v>
      </c>
    </row>
    <row r="2691" spans="1:18">
      <c r="A2691" s="748" t="s">
        <v>2112</v>
      </c>
      <c r="B2691" s="748" t="s">
        <v>2673</v>
      </c>
      <c r="J2691" s="748" t="s">
        <v>504</v>
      </c>
      <c r="M2691" s="748">
        <v>2</v>
      </c>
      <c r="O2691" s="748">
        <f>MIN($M2691,O2693+O2692)</f>
        <v>0</v>
      </c>
      <c r="P2691" s="748">
        <f>MIN($M2691,P2693+P2692)</f>
        <v>0</v>
      </c>
      <c r="Q2691" s="748" t="s">
        <v>651</v>
      </c>
    </row>
    <row r="2692" spans="1:18">
      <c r="A2692" s="748" t="s">
        <v>3060</v>
      </c>
      <c r="B2692" s="748" t="s">
        <v>4150</v>
      </c>
      <c r="L2692" s="748" t="str">
        <f>IF(OR($O2692=$M2692,$O2692=0,$O2692=""),"","* * Check Score! * *")</f>
        <v/>
      </c>
      <c r="M2692" s="748">
        <v>2</v>
      </c>
      <c r="N2692" s="748" t="s">
        <v>3060</v>
      </c>
      <c r="O2692" s="748">
        <f>'Part IX A-Scoring Criteria'!O200</f>
        <v>0</v>
      </c>
      <c r="P2692" s="748">
        <f>'Part IX A-Scoring Criteria'!P200</f>
        <v>0</v>
      </c>
      <c r="R2692" s="748" t="str">
        <f>IF(OR($O2692=$M2692,$O2692=0,$O2692=""),"","* * Check Score! * *")</f>
        <v/>
      </c>
    </row>
    <row r="2693" spans="1:18">
      <c r="A2693" s="748" t="s">
        <v>3063</v>
      </c>
      <c r="B2693" s="748" t="s">
        <v>4151</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f>'Part IX A-Scoring Criteria'!A203</f>
        <v>0</v>
      </c>
    </row>
    <row r="2696" spans="1:18">
      <c r="B2696" s="748" t="s">
        <v>2922</v>
      </c>
    </row>
    <row r="2697" spans="1:18">
      <c r="A2697" s="748">
        <f>'Part IX A-Scoring Criteria'!A205</f>
        <v>0</v>
      </c>
    </row>
    <row r="2699" spans="1:18">
      <c r="A2699" s="748" t="s">
        <v>2676</v>
      </c>
      <c r="B2699" s="748" t="s">
        <v>1037</v>
      </c>
      <c r="J2699" s="748" t="s">
        <v>3641</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1571</v>
      </c>
    </row>
    <row r="2701" spans="1:18">
      <c r="C2701" s="748" t="s">
        <v>951</v>
      </c>
      <c r="D2701" s="748">
        <f>'Part IX A-Scoring Criteria'!D209</f>
        <v>0</v>
      </c>
      <c r="I2701" s="748" t="s">
        <v>1572</v>
      </c>
      <c r="J2701" s="748">
        <f>'Part IX A-Scoring Criteria'!J209</f>
        <v>0</v>
      </c>
      <c r="L2701" s="748" t="s">
        <v>4152</v>
      </c>
      <c r="M2701" s="748">
        <f>'Part IX A-Scoring Criteria'!M209</f>
        <v>0</v>
      </c>
    </row>
    <row r="2702" spans="1:18">
      <c r="B2702" s="748" t="s">
        <v>333</v>
      </c>
      <c r="J2702" s="748" t="s">
        <v>2922</v>
      </c>
    </row>
    <row r="2703" spans="1:18">
      <c r="A2703" s="748" t="str">
        <f>'Part IX A-Scoring Criteria'!A211</f>
        <v>NA</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2893</v>
      </c>
      <c r="E2706" s="748" t="str">
        <f>'Part IX A-Scoring Criteria'!E214</f>
        <v>&lt;&lt;Select a DCA Community Initiative&gt;&gt;</v>
      </c>
      <c r="I2706" s="748" t="s">
        <v>2892</v>
      </c>
      <c r="O2706" s="748" t="s">
        <v>3794</v>
      </c>
      <c r="P2706" s="748" t="s">
        <v>3794</v>
      </c>
    </row>
    <row r="2707" spans="1:17">
      <c r="B2707" s="748" t="s">
        <v>3681</v>
      </c>
      <c r="C2707" s="748" t="s">
        <v>2679</v>
      </c>
      <c r="G2707" s="748" t="str">
        <f>'Part IX A-Scoring Criteria'!G215</f>
        <v>&lt; Select applicable GICH &gt;</v>
      </c>
      <c r="J2707" s="748" t="str">
        <f>'Part IX A-Scoring Criteria'!J215</f>
        <v>&lt;Select Community of Opportunity&gt;</v>
      </c>
      <c r="N2707" s="748" t="s">
        <v>3681</v>
      </c>
      <c r="O2707" s="748">
        <f>'Part IX A-Scoring Criteria'!O215</f>
        <v>0</v>
      </c>
      <c r="P2707" s="748">
        <f>'Part IX A-Scoring Criteria'!P215</f>
        <v>0</v>
      </c>
    </row>
    <row r="2708" spans="1:17">
      <c r="B2708" s="748" t="s">
        <v>3682</v>
      </c>
      <c r="C2708" s="748" t="s">
        <v>505</v>
      </c>
      <c r="N2708" s="748" t="s">
        <v>3682</v>
      </c>
      <c r="O2708" s="748">
        <f>'Part IX A-Scoring Criteria'!O216</f>
        <v>0</v>
      </c>
      <c r="P2708" s="748">
        <f>'Part IX A-Scoring Criteria'!P216</f>
        <v>0</v>
      </c>
    </row>
    <row r="2709" spans="1:17">
      <c r="B2709" s="748" t="s">
        <v>3683</v>
      </c>
      <c r="C2709" s="748" t="s">
        <v>2624</v>
      </c>
      <c r="N2709" s="748" t="s">
        <v>3683</v>
      </c>
      <c r="O2709" s="748">
        <f>'Part IX A-Scoring Criteria'!O217</f>
        <v>0</v>
      </c>
      <c r="P2709" s="748">
        <f>'Part IX A-Scoring Criteria'!P217</f>
        <v>0</v>
      </c>
    </row>
    <row r="2710" spans="1:17">
      <c r="B2710" s="748" t="s">
        <v>3684</v>
      </c>
      <c r="C2710" s="748" t="s">
        <v>3490</v>
      </c>
      <c r="N2710" s="748" t="s">
        <v>3684</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2680</v>
      </c>
      <c r="B2719" s="748" t="s">
        <v>2894</v>
      </c>
      <c r="L2719" s="748" t="str">
        <f>IF(M2719&gt;14,"Over limit!","")</f>
        <v/>
      </c>
      <c r="M2719" s="748">
        <v>8</v>
      </c>
      <c r="O2719" s="748">
        <f>MIN($M2719,(O2727+O2737+O2739))</f>
        <v>3</v>
      </c>
      <c r="P2719" s="748">
        <f>MIN($M2719,(P2727+P2737+P2739))</f>
        <v>0</v>
      </c>
      <c r="Q2719" s="748" t="s">
        <v>651</v>
      </c>
    </row>
    <row r="2720" spans="1:17">
      <c r="B2720" s="748" t="s">
        <v>868</v>
      </c>
      <c r="L2720" s="748" t="str">
        <f>IF(M2720&gt;14,"Over limit!","")</f>
        <v/>
      </c>
      <c r="O2720" s="748" t="s">
        <v>3794</v>
      </c>
      <c r="P2720" s="748" t="s">
        <v>3794</v>
      </c>
    </row>
    <row r="2721" spans="1:18">
      <c r="B2721" s="748" t="s">
        <v>3064</v>
      </c>
      <c r="C2721" s="748" t="s">
        <v>869</v>
      </c>
      <c r="L2721" s="748" t="str">
        <f>IF(M2721&gt;14,"Over limit!","")</f>
        <v/>
      </c>
      <c r="N2721" s="748" t="s">
        <v>3064</v>
      </c>
      <c r="O2721" s="748" t="str">
        <f>'Part IX A-Scoring Criteria'!O229</f>
        <v>Yes</v>
      </c>
      <c r="P2721" s="748">
        <f>'Part IX A-Scoring Criteria'!P229</f>
        <v>0</v>
      </c>
    </row>
    <row r="2722" spans="1:18">
      <c r="B2722" s="748" t="s">
        <v>3066</v>
      </c>
      <c r="C2722" s="748" t="s">
        <v>870</v>
      </c>
      <c r="N2722" s="748" t="s">
        <v>3066</v>
      </c>
      <c r="O2722" s="748" t="str">
        <f>'Part IX A-Scoring Criteria'!O230</f>
        <v>Yes</v>
      </c>
      <c r="P2722" s="748">
        <f>'Part IX A-Scoring Criteria'!P230</f>
        <v>0</v>
      </c>
    </row>
    <row r="2723" spans="1:18">
      <c r="B2723" s="748" t="s">
        <v>3822</v>
      </c>
      <c r="C2723" s="748" t="s">
        <v>871</v>
      </c>
      <c r="N2723" s="748" t="s">
        <v>3822</v>
      </c>
      <c r="O2723" s="748" t="str">
        <f>'Part IX A-Scoring Criteria'!O231</f>
        <v>Yes</v>
      </c>
      <c r="P2723" s="748">
        <f>'Part IX A-Scoring Criteria'!P231</f>
        <v>0</v>
      </c>
    </row>
    <row r="2724" spans="1:18">
      <c r="B2724" s="748" t="s">
        <v>1885</v>
      </c>
      <c r="C2724" s="748" t="s">
        <v>872</v>
      </c>
      <c r="N2724" s="748" t="s">
        <v>1885</v>
      </c>
      <c r="O2724" s="748" t="str">
        <f>'Part IX A-Scoring Criteria'!O232</f>
        <v>Yes</v>
      </c>
      <c r="P2724" s="748">
        <f>'Part IX A-Scoring Criteria'!P232</f>
        <v>0</v>
      </c>
    </row>
    <row r="2725" spans="1:18">
      <c r="B2725" s="748" t="s">
        <v>1886</v>
      </c>
      <c r="C2725" s="748" t="s">
        <v>884</v>
      </c>
      <c r="N2725" s="748" t="s">
        <v>1886</v>
      </c>
      <c r="O2725" s="748" t="str">
        <f>'Part IX A-Scoring Criteria'!O233</f>
        <v>Yes</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1</v>
      </c>
      <c r="P2727" s="748">
        <f>MIN($M2727,SUM(P2728:P2735))</f>
        <v>0</v>
      </c>
    </row>
    <row r="2728" spans="1:18">
      <c r="B2728" s="748" t="s">
        <v>3064</v>
      </c>
      <c r="C2728" s="748" t="s">
        <v>2216</v>
      </c>
      <c r="H2728" s="748" t="s">
        <v>2217</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2220</v>
      </c>
      <c r="H2729" s="748" t="s">
        <v>2217</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3822</v>
      </c>
      <c r="C2730" s="748" t="s">
        <v>2224</v>
      </c>
      <c r="H2730" s="748" t="s">
        <v>2217</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1</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2943</v>
      </c>
      <c r="C2733" s="748" t="s">
        <v>2222</v>
      </c>
      <c r="H2733" s="748" t="s">
        <v>2218</v>
      </c>
      <c r="L2733" s="748" t="str">
        <f t="shared" si="375"/>
        <v/>
      </c>
      <c r="M2733" s="748">
        <v>2</v>
      </c>
      <c r="N2733" s="748" t="s">
        <v>2943</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2</v>
      </c>
      <c r="P2739" s="748">
        <f>'Part IX A-Scoring Criteria'!P247</f>
        <v>0</v>
      </c>
      <c r="R2739" s="748" t="str">
        <f>IF(OR($O2739=$M2739,$O2739=0,$O2739=""),"","* * Check Score! * *")</f>
        <v/>
      </c>
    </row>
    <row r="2740" spans="1:18">
      <c r="B2740" s="748" t="s">
        <v>3064</v>
      </c>
      <c r="C2740" s="748" t="s">
        <v>983</v>
      </c>
      <c r="E2740" s="748" t="str">
        <f>'Part IX A-Scoring Criteria'!E248</f>
        <v>City of Atlanta / Atlanta Housing Authority</v>
      </c>
    </row>
    <row r="2741" spans="1:18">
      <c r="B2741" s="748" t="s">
        <v>3066</v>
      </c>
      <c r="C2741" s="748" t="s">
        <v>3560</v>
      </c>
      <c r="E2741" s="748" t="str">
        <f>'Part IX A-Scoring Criteria'!E249</f>
        <v xml:space="preserve">The City of Atlanta and the Atlanta Housing Authority are going to renovate Selena S. Butler Park, which is adjacent to Auburn Pointe.  Improvements include a new bocce ball court, walking path around a multipurpose field, picnic area with gazebo and grills, fitness station, playground equipment, landscaping, lighting.  Existing tennis and basketball courts will be resurfaced. </v>
      </c>
    </row>
    <row r="2742" spans="1:18">
      <c r="B2742" s="748" t="s">
        <v>3822</v>
      </c>
      <c r="C2742" s="748" t="s">
        <v>984</v>
      </c>
      <c r="E2742" s="748">
        <f>'Part IX A-Scoring Criteria'!E250</f>
        <v>1300000</v>
      </c>
    </row>
    <row r="2744" spans="1:18">
      <c r="B2744" s="748" t="s">
        <v>333</v>
      </c>
    </row>
    <row r="2745" spans="1:18">
      <c r="A2745" s="748" t="str">
        <f>'Part IX A-Scoring Criteria'!A253</f>
        <v xml:space="preserve">A copy of the Option to Ground Lease is included in Tab 12.  It has nominal rent and a term at least a minimum of 45 years.  The City Department of Parks, Recreation and Cultural Affairs was prompted to begin the renovation of Selena S. Butler Park due to the increased neighborhood density that Ashley Auburn Pointe II will bring.  The City is providing approximately $200,000 directly and has arranged for approximately $300,000 in financial, equipment, and in-kind contributions from other third parties.  </v>
      </c>
    </row>
    <row r="2746" spans="1:18">
      <c r="A2746" s="748" t="str">
        <f>'Part IX A-Scoring Criteria'!A254</f>
        <v xml:space="preserve">The City commitment letter is included in Tab 37, along with a commitment letter from AHA to provide $800,000 in funds for grading, hardscape, paving, landscaping and equipment installation.  The design is underway and construction is anticipated to begin in July 2011 and to be complete by October 2011. </v>
      </c>
    </row>
    <row r="2747" spans="1:18">
      <c r="B2747" s="748" t="s">
        <v>2922</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3516</v>
      </c>
      <c r="O2752" s="748">
        <f>'Part IX A-Scoring Criteria'!O260</f>
        <v>0</v>
      </c>
      <c r="P2752" s="748">
        <f>'Part IX A-Scoring Criteria'!P260</f>
        <v>0</v>
      </c>
    </row>
    <row r="2753" spans="1:18" ht="14.45" customHeight="1">
      <c r="B2753" s="748" t="s">
        <v>3517</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3</v>
      </c>
      <c r="P2762" s="748">
        <f>MIN($M2762,P2764+P2763)</f>
        <v>0</v>
      </c>
      <c r="Q2762" s="748" t="s">
        <v>651</v>
      </c>
    </row>
    <row r="2763" spans="1:18">
      <c r="A2763" s="748" t="s">
        <v>3060</v>
      </c>
      <c r="B2763" s="748" t="s">
        <v>2687</v>
      </c>
      <c r="L2763" s="748" t="str">
        <f>IF(OR($O2763=$M2763,$O2763=0,$O2763=""),"","* * Check Score! * *")</f>
        <v/>
      </c>
      <c r="M2763" s="748">
        <v>3</v>
      </c>
      <c r="N2763" s="748" t="s">
        <v>3060</v>
      </c>
      <c r="O2763" s="748">
        <f>'Part IX A-Scoring Criteria'!O271</f>
        <v>0</v>
      </c>
      <c r="P2763" s="748">
        <f>'Part IX A-Scoring Criteria'!P271</f>
        <v>0</v>
      </c>
      <c r="R2763" s="748" t="str">
        <f>IF(OR($O2763=$M2763,$O2763=0,$O2763=""),"","* * Check Score! * *")</f>
        <v/>
      </c>
    </row>
    <row r="2764" spans="1:18">
      <c r="A2764" s="748" t="s">
        <v>3063</v>
      </c>
      <c r="B2764" s="748" t="s">
        <v>2688</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3518</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2922</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3836</v>
      </c>
      <c r="O2773" s="748">
        <f>'Part IX A-Scoring Criteria'!O281</f>
        <v>0</v>
      </c>
      <c r="P2773" s="748">
        <f>'Part IX A-Scoring Criteria'!P281</f>
        <v>0</v>
      </c>
    </row>
    <row r="2775" spans="1:17">
      <c r="B2775" s="748" t="s">
        <v>3060</v>
      </c>
      <c r="C2775" s="748" t="s">
        <v>2160</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 xml:space="preserve">There is an open 8823 on Centennial Phase I pertaining to a building set-aside issue.  The issue arose from an incorrect selection to treat each building as an individual project on the 8609s, which resulted in one building having too few units set aside to be treated as an individual project.  A copy of the Private Letter Ruling request to the IRS seeking modification of the set-aside </v>
      </c>
      <c r="Q2780" s="748" t="s">
        <v>1932</v>
      </c>
    </row>
    <row r="2781" spans="1:17">
      <c r="A2781" s="748" t="str">
        <f>'Part IX A-Scoring Criteria'!A289</f>
        <v xml:space="preserve">election was provided to DCA by April 1, 2011.  The open 8823 results in a 1 point deduction.  The Project Team qualifies for 3 bonus points by owning &amp; managing 10 qualifying projects. </v>
      </c>
    </row>
    <row r="2782" spans="1:17">
      <c r="B2782" s="748" t="s">
        <v>2922</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57</v>
      </c>
      <c r="P2786" s="748">
        <f>P2500+P2523+P2530+P2547+P2556+P2566+P2574+P2585+P2624+P2638+P2658+P2667+P2683+P2691+P2699+P2705+P2719+P2751+P2762+P2771</f>
        <v>10</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 xml:space="preserve">Ashley Auburn Pointe II </v>
      </c>
    </row>
    <row r="3" spans="1:6" ht="16.5">
      <c r="A3" s="1147" t="str">
        <f>CONCATENATE('Part I-Project Information'!F24,", ", 'Part I-Project Information'!J25," County")</f>
        <v>Atlanta, Fulton County</v>
      </c>
    </row>
    <row r="4" spans="1:6" ht="12" customHeight="1"/>
    <row r="5" spans="1:6" ht="111.75" customHeight="1">
      <c r="A5" s="1148" t="s">
        <v>4003</v>
      </c>
      <c r="B5" s="774" t="s">
        <v>1591</v>
      </c>
      <c r="C5" s="774"/>
      <c r="D5" s="774"/>
      <c r="E5" s="774"/>
      <c r="F5" s="774"/>
    </row>
    <row r="6" spans="1:6" ht="6.6" customHeight="1">
      <c r="A6" s="1149"/>
      <c r="B6" s="774"/>
      <c r="C6" s="774"/>
      <c r="D6" s="774"/>
      <c r="E6" s="774"/>
      <c r="F6" s="774"/>
    </row>
    <row r="7" spans="1:6" ht="99" customHeight="1">
      <c r="A7" s="1148" t="s">
        <v>4004</v>
      </c>
    </row>
    <row r="8" spans="1:6" ht="6.6" customHeight="1">
      <c r="A8" s="1149"/>
    </row>
    <row r="9" spans="1:6" ht="147" customHeight="1">
      <c r="A9" s="1148" t="s">
        <v>4097</v>
      </c>
    </row>
    <row r="10" spans="1:6" ht="6.6" customHeight="1">
      <c r="A10" s="1149"/>
    </row>
    <row r="11" spans="1:6" ht="72.75" customHeight="1">
      <c r="A11" s="1148" t="s">
        <v>4005</v>
      </c>
    </row>
    <row r="12" spans="1:6" ht="6.6" customHeight="1">
      <c r="A12" s="1149"/>
    </row>
    <row r="13" spans="1:6" ht="98.25" customHeight="1">
      <c r="A13" s="1148" t="s">
        <v>4006</v>
      </c>
    </row>
    <row r="14" spans="1:6" ht="6.6" customHeight="1">
      <c r="A14" s="1149"/>
    </row>
    <row r="15" spans="1:6" ht="85.5" customHeight="1">
      <c r="A15" s="1148" t="s">
        <v>4002</v>
      </c>
    </row>
    <row r="16" spans="1:6" ht="6.6" customHeight="1">
      <c r="A16" s="1149"/>
    </row>
    <row r="17" spans="1:1" ht="126.75" customHeight="1">
      <c r="A17" s="1148" t="s">
        <v>4098</v>
      </c>
    </row>
    <row r="18" spans="1:1" ht="6.6" customHeight="1">
      <c r="A18" s="1149"/>
    </row>
    <row r="19" spans="1:1" ht="84.6" customHeight="1">
      <c r="A19" s="1148" t="s">
        <v>4023</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sqref="A1:XFD104857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- 2011-013 Ashley Auburn Pointe II , Atlanta, Fulton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98" t="s">
        <v>2729</v>
      </c>
      <c r="N3" s="798"/>
      <c r="O3" s="798"/>
      <c r="P3" s="798"/>
    </row>
    <row r="4" spans="1:16" s="458" customFormat="1" ht="12" customHeight="1" thickBot="1">
      <c r="A4" s="733"/>
      <c r="B4" s="461"/>
      <c r="C4" s="461"/>
      <c r="D4" s="462"/>
      <c r="E4" s="401" t="s">
        <v>654</v>
      </c>
      <c r="H4" s="723"/>
      <c r="I4" s="723"/>
      <c r="J4" s="723"/>
      <c r="M4" s="723"/>
      <c r="O4" s="1526" t="s">
        <v>4119</v>
      </c>
      <c r="P4" s="1527"/>
    </row>
    <row r="5" spans="1:16" s="458" customFormat="1" ht="12" customHeight="1">
      <c r="A5" s="733"/>
      <c r="B5" s="461"/>
      <c r="C5" s="461"/>
      <c r="D5" s="461"/>
      <c r="E5" s="723"/>
      <c r="H5" s="723"/>
      <c r="I5" s="723"/>
      <c r="J5" s="723"/>
      <c r="K5" s="395"/>
      <c r="M5" s="723"/>
    </row>
    <row r="6" spans="1:16" s="458" customFormat="1" ht="13.15" customHeight="1">
      <c r="A6" s="461" t="s">
        <v>950</v>
      </c>
      <c r="C6" s="461" t="s">
        <v>3589</v>
      </c>
      <c r="D6" s="418"/>
      <c r="E6" s="463"/>
      <c r="F6" s="464" t="s">
        <v>2740</v>
      </c>
      <c r="J6" s="788">
        <f>'Part IV-Uses of Funds'!J165</f>
        <v>920000</v>
      </c>
      <c r="K6" s="789"/>
    </row>
    <row r="7" spans="1:16" s="2" customFormat="1" ht="13.15" customHeight="1">
      <c r="A7" s="5"/>
      <c r="C7" s="5"/>
      <c r="D7" s="31"/>
      <c r="E7" s="563"/>
      <c r="F7" s="458" t="s">
        <v>1982</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3132</v>
      </c>
      <c r="F9" s="1170" t="s">
        <v>3919</v>
      </c>
      <c r="G9" s="1171"/>
      <c r="H9" s="1172"/>
      <c r="I9" s="1528" t="s">
        <v>1230</v>
      </c>
      <c r="J9" s="1444"/>
      <c r="K9" s="1445"/>
      <c r="L9" s="1445"/>
      <c r="M9" s="1445"/>
      <c r="N9" s="1445"/>
      <c r="O9" s="1445"/>
      <c r="P9" s="1446"/>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444" t="s">
        <v>3934</v>
      </c>
      <c r="G13" s="1445"/>
      <c r="H13" s="1445"/>
      <c r="I13" s="1445"/>
      <c r="J13" s="1445"/>
      <c r="K13" s="1445"/>
      <c r="L13" s="1446"/>
      <c r="M13" s="713" t="s">
        <v>3057</v>
      </c>
      <c r="N13" s="1444" t="s">
        <v>3921</v>
      </c>
      <c r="O13" s="1445"/>
      <c r="P13" s="1446"/>
    </row>
    <row r="14" spans="1:16" s="458" customFormat="1" ht="13.15" customHeight="1">
      <c r="C14" s="464" t="s">
        <v>3058</v>
      </c>
      <c r="F14" s="1444" t="s">
        <v>3920</v>
      </c>
      <c r="G14" s="1445"/>
      <c r="H14" s="1445"/>
      <c r="I14" s="1445"/>
      <c r="J14" s="1445"/>
      <c r="K14" s="1445"/>
      <c r="L14" s="1446"/>
      <c r="M14" s="713" t="s">
        <v>2746</v>
      </c>
      <c r="O14" s="1529">
        <v>4042241889</v>
      </c>
      <c r="P14" s="1530"/>
    </row>
    <row r="15" spans="1:16" s="458" customFormat="1" ht="13.15" customHeight="1">
      <c r="C15" s="464" t="s">
        <v>953</v>
      </c>
      <c r="F15" s="1460" t="s">
        <v>1866</v>
      </c>
      <c r="G15" s="1395"/>
      <c r="H15" s="1396"/>
      <c r="M15" s="713" t="s">
        <v>2833</v>
      </c>
      <c r="O15" s="1476">
        <v>4042241899</v>
      </c>
      <c r="P15" s="1478"/>
    </row>
    <row r="16" spans="1:16" s="458" customFormat="1" ht="13.15" customHeight="1">
      <c r="C16" s="464" t="s">
        <v>2830</v>
      </c>
      <c r="F16" s="1531" t="s">
        <v>1438</v>
      </c>
      <c r="I16" s="723" t="s">
        <v>3353</v>
      </c>
      <c r="J16" s="1479">
        <v>303032540</v>
      </c>
      <c r="K16" s="1532"/>
      <c r="M16" s="713" t="s">
        <v>3056</v>
      </c>
      <c r="O16" s="1476"/>
      <c r="P16" s="1478"/>
    </row>
    <row r="17" spans="1:16" s="458" customFormat="1" ht="13.15" customHeight="1">
      <c r="B17" s="721"/>
      <c r="C17" s="464" t="s">
        <v>2745</v>
      </c>
      <c r="F17" s="1476">
        <v>4042241860</v>
      </c>
      <c r="G17" s="1477"/>
      <c r="H17" s="1478"/>
      <c r="I17" s="717" t="s">
        <v>2744</v>
      </c>
      <c r="J17" s="1441"/>
      <c r="K17" s="723" t="s">
        <v>3061</v>
      </c>
      <c r="L17" s="1444" t="s">
        <v>3922</v>
      </c>
      <c r="M17" s="1445"/>
      <c r="N17" s="1445"/>
      <c r="O17" s="1445"/>
      <c r="P17" s="1446"/>
    </row>
    <row r="18" spans="1:16" s="458" customFormat="1" ht="13.15" customHeight="1">
      <c r="A18" s="461"/>
      <c r="B18" s="463"/>
      <c r="C18" s="441" t="s">
        <v>997</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3" t="s">
        <v>3923</v>
      </c>
      <c r="G22" s="1484"/>
      <c r="H22" s="1484"/>
      <c r="I22" s="1484"/>
      <c r="J22" s="1484"/>
      <c r="K22" s="1484"/>
      <c r="L22" s="1485"/>
      <c r="M22" s="713" t="s">
        <v>3299</v>
      </c>
      <c r="O22" s="1444" t="s">
        <v>3925</v>
      </c>
      <c r="P22" s="1446"/>
    </row>
    <row r="23" spans="1:16" s="458" customFormat="1" ht="13.15" customHeight="1">
      <c r="A23" s="471"/>
      <c r="B23" s="461"/>
      <c r="C23" s="458" t="s">
        <v>952</v>
      </c>
      <c r="D23" s="472"/>
      <c r="F23" s="1444" t="s">
        <v>3962</v>
      </c>
      <c r="G23" s="1445"/>
      <c r="H23" s="1445"/>
      <c r="I23" s="1445"/>
      <c r="J23" s="1445"/>
      <c r="K23" s="1445"/>
      <c r="L23" s="1446"/>
      <c r="M23" s="713" t="s">
        <v>3146</v>
      </c>
      <c r="O23" s="1444" t="s">
        <v>3924</v>
      </c>
      <c r="P23" s="1446"/>
    </row>
    <row r="24" spans="1:16" s="458" customFormat="1" ht="13.15" customHeight="1">
      <c r="A24" s="733"/>
      <c r="B24" s="461"/>
      <c r="C24" s="458" t="s">
        <v>953</v>
      </c>
      <c r="F24" s="1444" t="s">
        <v>1866</v>
      </c>
      <c r="G24" s="1445"/>
      <c r="H24" s="1446"/>
      <c r="I24" s="723" t="s">
        <v>445</v>
      </c>
      <c r="J24" s="1479">
        <v>303121704</v>
      </c>
      <c r="K24" s="1532"/>
      <c r="L24" s="550" t="str">
        <f>IF(AND(NOT(F22=""),NOT(F24="Select from list"),J24=""),"Enter Zip!","")</f>
        <v/>
      </c>
      <c r="M24" s="713" t="s">
        <v>3415</v>
      </c>
      <c r="O24" s="1444">
        <v>5.45</v>
      </c>
      <c r="P24" s="1446"/>
    </row>
    <row r="25" spans="1:16" s="458" customFormat="1" ht="13.15" customHeight="1">
      <c r="A25" s="733"/>
      <c r="B25" s="461"/>
      <c r="C25" s="781" t="s">
        <v>3145</v>
      </c>
      <c r="D25" s="781"/>
      <c r="F25" s="1533" t="s">
        <v>3926</v>
      </c>
      <c r="I25" s="504" t="s">
        <v>954</v>
      </c>
      <c r="J25" s="1534" t="s">
        <v>1867</v>
      </c>
      <c r="K25" s="1535"/>
      <c r="M25" s="474" t="s">
        <v>3434</v>
      </c>
      <c r="O25" s="1444">
        <v>33</v>
      </c>
      <c r="P25" s="1536"/>
    </row>
    <row r="26" spans="1:16" s="458" customFormat="1" ht="13.15" customHeight="1">
      <c r="A26" s="733"/>
      <c r="B26" s="461"/>
      <c r="C26" s="458" t="s">
        <v>2313</v>
      </c>
      <c r="F26" s="1537" t="s">
        <v>3924</v>
      </c>
      <c r="G26" s="475"/>
      <c r="I26" s="466" t="s">
        <v>885</v>
      </c>
      <c r="J26" s="1538" t="s">
        <v>1339</v>
      </c>
      <c r="K26" s="1539"/>
      <c r="L26" s="1540"/>
      <c r="M26" s="713" t="s">
        <v>665</v>
      </c>
      <c r="N26" s="1541" t="s">
        <v>3926</v>
      </c>
      <c r="O26" s="466" t="s">
        <v>666</v>
      </c>
      <c r="P26" s="1541" t="s">
        <v>3924</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446</v>
      </c>
      <c r="G28" s="797"/>
      <c r="H28" s="797" t="s">
        <v>1225</v>
      </c>
      <c r="I28" s="797"/>
      <c r="J28" s="797" t="s">
        <v>1226</v>
      </c>
      <c r="K28" s="797"/>
      <c r="L28" s="468"/>
    </row>
    <row r="29" spans="1:16" s="458" customFormat="1" ht="13.15" customHeight="1">
      <c r="A29" s="733"/>
      <c r="B29" s="461"/>
      <c r="C29" s="458" t="s">
        <v>955</v>
      </c>
      <c r="D29" s="461"/>
      <c r="F29" s="1542">
        <v>5</v>
      </c>
      <c r="G29" s="1543"/>
      <c r="H29" s="1542">
        <v>36</v>
      </c>
      <c r="I29" s="1543"/>
      <c r="J29" s="1542">
        <v>56</v>
      </c>
      <c r="K29" s="1543"/>
    </row>
    <row r="30" spans="1:16" s="458" customFormat="1" ht="13.15" customHeight="1">
      <c r="A30" s="733"/>
      <c r="B30" s="461"/>
      <c r="C30" s="464" t="s">
        <v>1227</v>
      </c>
      <c r="F30" s="1542"/>
      <c r="G30" s="1543"/>
      <c r="H30" s="1542"/>
      <c r="I30" s="1543"/>
      <c r="J30" s="1542"/>
      <c r="K30" s="1543"/>
    </row>
    <row r="31" spans="1:16" s="458" customFormat="1" ht="3" customHeight="1">
      <c r="A31" s="733"/>
      <c r="B31" s="461"/>
      <c r="I31" s="732"/>
      <c r="J31" s="732"/>
      <c r="K31" s="732"/>
      <c r="M31" s="721"/>
      <c r="N31" s="721"/>
      <c r="O31" s="721"/>
      <c r="P31" s="721"/>
    </row>
    <row r="32" spans="1:16" s="458" customFormat="1" ht="13.15" customHeight="1">
      <c r="A32" s="733"/>
      <c r="B32" s="733"/>
      <c r="C32" s="461" t="s">
        <v>973</v>
      </c>
      <c r="F32" s="1544" t="s">
        <v>3927</v>
      </c>
      <c r="G32" s="1545"/>
      <c r="H32" s="1545"/>
      <c r="I32" s="1545"/>
      <c r="J32" s="1545"/>
      <c r="K32" s="1546"/>
      <c r="L32" s="476"/>
      <c r="M32" s="476"/>
      <c r="N32" s="476"/>
    </row>
    <row r="33" spans="1:19" s="458" customFormat="1" ht="13.15" customHeight="1">
      <c r="A33" s="733"/>
      <c r="B33" s="733"/>
      <c r="C33" s="458" t="s">
        <v>974</v>
      </c>
      <c r="F33" s="1547" t="s">
        <v>3928</v>
      </c>
      <c r="G33" s="1548"/>
      <c r="H33" s="1548"/>
      <c r="I33" s="1548"/>
      <c r="J33" s="1549"/>
      <c r="K33" s="477" t="s">
        <v>3057</v>
      </c>
      <c r="L33" s="1544" t="s">
        <v>3930</v>
      </c>
      <c r="M33" s="1545"/>
      <c r="N33" s="1546"/>
    </row>
    <row r="34" spans="1:19" s="458" customFormat="1" ht="13.15" customHeight="1">
      <c r="A34" s="733"/>
      <c r="B34" s="733"/>
      <c r="C34" s="458" t="s">
        <v>3058</v>
      </c>
      <c r="F34" s="1544" t="s">
        <v>3929</v>
      </c>
      <c r="G34" s="1545"/>
      <c r="H34" s="1545"/>
      <c r="I34" s="1545"/>
      <c r="J34" s="1546"/>
      <c r="K34" s="478" t="s">
        <v>953</v>
      </c>
      <c r="L34" s="1444" t="s">
        <v>1866</v>
      </c>
      <c r="M34" s="1445"/>
      <c r="N34" s="1446"/>
    </row>
    <row r="35" spans="1:19" s="458" customFormat="1" ht="13.15" customHeight="1">
      <c r="A35" s="733"/>
      <c r="B35" s="733"/>
      <c r="C35" s="713" t="s">
        <v>3353</v>
      </c>
      <c r="F35" s="1550">
        <v>303030000</v>
      </c>
      <c r="G35" s="1551"/>
      <c r="H35" s="717" t="s">
        <v>3059</v>
      </c>
      <c r="I35" s="1482">
        <v>4043306100</v>
      </c>
      <c r="J35" s="1552"/>
      <c r="K35" s="1553"/>
      <c r="L35" s="717" t="s">
        <v>2833</v>
      </c>
      <c r="M35" s="1482">
        <v>4046586893</v>
      </c>
      <c r="N35" s="1553"/>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3060</v>
      </c>
      <c r="C39" s="461" t="s">
        <v>3436</v>
      </c>
      <c r="F39" s="1441" t="s">
        <v>3924</v>
      </c>
      <c r="J39" s="605" t="s">
        <v>1971</v>
      </c>
      <c r="K39" s="721"/>
      <c r="L39" s="780" t="s">
        <v>1972</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3063</v>
      </c>
      <c r="C41" s="461" t="s">
        <v>1083</v>
      </c>
      <c r="J41" s="608" t="s">
        <v>1975</v>
      </c>
      <c r="K41" s="609"/>
      <c r="L41" s="784" t="s">
        <v>1970</v>
      </c>
      <c r="M41" s="784"/>
      <c r="N41" s="784"/>
      <c r="O41" s="784"/>
      <c r="P41" s="785"/>
      <c r="Q41" s="723"/>
    </row>
    <row r="42" spans="1:19" ht="13.15" customHeight="1">
      <c r="B42" s="733"/>
      <c r="C42" s="458" t="s">
        <v>3435</v>
      </c>
      <c r="D42" s="458"/>
      <c r="E42" s="458"/>
      <c r="F42" s="483">
        <f>'Part VI-Revenues &amp; Expenses'!$M$75</f>
        <v>150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0</v>
      </c>
      <c r="G44" s="458" t="s">
        <v>444</v>
      </c>
      <c r="L44" s="1554"/>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1238</v>
      </c>
      <c r="C48" s="470" t="s">
        <v>3407</v>
      </c>
      <c r="D48" s="721"/>
      <c r="I48" s="799" t="s">
        <v>2130</v>
      </c>
      <c r="J48" s="471" t="s">
        <v>3212</v>
      </c>
      <c r="K48" s="485" t="s">
        <v>3442</v>
      </c>
      <c r="M48" s="721"/>
      <c r="N48" s="721"/>
      <c r="O48" s="721"/>
      <c r="P48" s="723"/>
      <c r="Q48" s="723"/>
      <c r="R48" s="723"/>
      <c r="S48" s="721"/>
    </row>
    <row r="49" spans="1:16" s="458" customFormat="1" ht="13.15" customHeight="1">
      <c r="A49" s="733"/>
      <c r="B49" s="715"/>
      <c r="C49" s="468" t="s">
        <v>3408</v>
      </c>
      <c r="D49" s="721"/>
      <c r="E49" s="721"/>
      <c r="H49" s="486">
        <f>SUM(H50:H51)</f>
        <v>90</v>
      </c>
      <c r="I49" s="800"/>
      <c r="J49" s="733"/>
      <c r="K49" s="468" t="s">
        <v>3443</v>
      </c>
      <c r="M49" s="721"/>
      <c r="N49" s="721"/>
      <c r="O49" s="721"/>
      <c r="P49" s="486">
        <f>'Part VI-Revenues &amp; Expenses'!$M$94</f>
        <v>89270</v>
      </c>
    </row>
    <row r="50" spans="1:16" s="458" customFormat="1" ht="13.15" customHeight="1">
      <c r="A50" s="733"/>
      <c r="B50" s="482"/>
      <c r="D50" s="487" t="s">
        <v>489</v>
      </c>
      <c r="E50" s="487"/>
      <c r="H50" s="486">
        <f>'Part VI-Revenues &amp; Expenses'!$M$58</f>
        <v>23</v>
      </c>
      <c r="I50" s="486">
        <f>'Part VI-Revenues &amp; Expenses'!$M$66</f>
        <v>0</v>
      </c>
      <c r="K50" s="468" t="s">
        <v>326</v>
      </c>
      <c r="M50" s="721"/>
      <c r="N50" s="721"/>
      <c r="O50" s="721"/>
      <c r="P50" s="486">
        <f>'Part VI-Revenues &amp; Expenses'!$M$95</f>
        <v>57728</v>
      </c>
    </row>
    <row r="51" spans="1:16" s="458" customFormat="1" ht="13.15" customHeight="1">
      <c r="A51" s="733"/>
      <c r="D51" s="487" t="s">
        <v>2863</v>
      </c>
      <c r="E51" s="487"/>
      <c r="H51" s="486">
        <f>'Part VI-Revenues &amp; Expenses'!$M$57</f>
        <v>67</v>
      </c>
      <c r="I51" s="486">
        <f>'Part VI-Revenues &amp; Expenses'!$M$65</f>
        <v>0</v>
      </c>
      <c r="K51" s="468" t="s">
        <v>3444</v>
      </c>
      <c r="M51" s="721"/>
      <c r="N51" s="721"/>
      <c r="O51" s="721"/>
      <c r="P51" s="486">
        <f>+P49+P50</f>
        <v>146998</v>
      </c>
    </row>
    <row r="52" spans="1:16" s="458" customFormat="1" ht="13.15" customHeight="1">
      <c r="A52" s="733"/>
      <c r="C52" s="468" t="s">
        <v>327</v>
      </c>
      <c r="D52" s="721"/>
      <c r="E52" s="721"/>
      <c r="H52" s="486">
        <f>'Part VI-Revenues &amp; Expenses'!$M$60</f>
        <v>60</v>
      </c>
      <c r="J52" s="733"/>
      <c r="K52" s="468" t="s">
        <v>2133</v>
      </c>
      <c r="M52" s="721"/>
      <c r="N52" s="721"/>
      <c r="O52" s="721"/>
      <c r="P52" s="486">
        <f>'Part VI-Revenues &amp; Expenses'!$M$97</f>
        <v>0</v>
      </c>
    </row>
    <row r="53" spans="1:16" s="458" customFormat="1" ht="13.15" customHeight="1">
      <c r="A53" s="733"/>
      <c r="C53" s="468" t="s">
        <v>3649</v>
      </c>
      <c r="D53" s="721"/>
      <c r="E53" s="721"/>
      <c r="H53" s="486">
        <f>+H49+H52</f>
        <v>150</v>
      </c>
      <c r="J53" s="733"/>
      <c r="K53" s="468" t="s">
        <v>2132</v>
      </c>
      <c r="M53" s="721"/>
      <c r="N53" s="721"/>
      <c r="O53" s="721"/>
      <c r="P53" s="486">
        <f>+P51+P52</f>
        <v>146998</v>
      </c>
    </row>
    <row r="54" spans="1:16" s="458" customFormat="1" ht="13.15" customHeight="1">
      <c r="A54" s="733"/>
      <c r="C54" s="468" t="s">
        <v>3650</v>
      </c>
      <c r="D54" s="721"/>
      <c r="E54" s="721"/>
      <c r="H54" s="486">
        <f>'Part VI-Revenues &amp; Expenses'!$M$62</f>
        <v>0</v>
      </c>
      <c r="J54" s="733"/>
    </row>
    <row r="55" spans="1:16" s="458" customFormat="1" ht="13.15" customHeight="1">
      <c r="A55" s="733"/>
      <c r="C55" s="468" t="s">
        <v>2824</v>
      </c>
      <c r="D55" s="721"/>
      <c r="E55" s="721"/>
      <c r="H55" s="486">
        <f>+H53+H54</f>
        <v>150</v>
      </c>
      <c r="J55" s="721"/>
    </row>
    <row r="56" spans="1:16" s="458" customFormat="1" ht="3" customHeight="1">
      <c r="A56" s="733"/>
      <c r="I56" s="723"/>
      <c r="L56" s="723"/>
      <c r="M56" s="723"/>
      <c r="N56" s="721"/>
      <c r="P56" s="469"/>
    </row>
    <row r="57" spans="1:16" s="458" customFormat="1" ht="13.15" customHeight="1">
      <c r="A57" s="733"/>
      <c r="B57" s="733" t="s">
        <v>2762</v>
      </c>
      <c r="C57" s="470" t="s">
        <v>3437</v>
      </c>
      <c r="D57" s="487" t="s">
        <v>3074</v>
      </c>
      <c r="G57" s="721"/>
      <c r="H57" s="1555">
        <v>6</v>
      </c>
      <c r="K57" s="468" t="s">
        <v>1759</v>
      </c>
      <c r="O57" s="721"/>
      <c r="P57" s="1555">
        <v>3670</v>
      </c>
    </row>
    <row r="58" spans="1:16" s="458" customFormat="1" ht="13.15" customHeight="1">
      <c r="A58" s="733"/>
      <c r="B58" s="733"/>
      <c r="D58" s="715" t="s">
        <v>3075</v>
      </c>
      <c r="H58" s="1555"/>
      <c r="I58" s="721"/>
      <c r="K58" s="468" t="s">
        <v>325</v>
      </c>
      <c r="O58" s="721"/>
      <c r="P58" s="486">
        <f>+P53+P57</f>
        <v>150668</v>
      </c>
    </row>
    <row r="59" spans="1:16" s="458" customFormat="1" ht="13.15" customHeight="1">
      <c r="A59" s="733"/>
      <c r="B59" s="733"/>
      <c r="D59" s="715" t="s">
        <v>3076</v>
      </c>
      <c r="H59" s="486">
        <f>+H57+H58</f>
        <v>6</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2763</v>
      </c>
      <c r="C61" s="470" t="s">
        <v>1084</v>
      </c>
      <c r="D61" s="721"/>
      <c r="E61" s="721"/>
      <c r="F61" s="721"/>
      <c r="G61" s="721"/>
      <c r="H61" s="1555">
        <v>216</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822</v>
      </c>
      <c r="C63" s="488" t="s">
        <v>1836</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3060</v>
      </c>
      <c r="C65" s="395" t="s">
        <v>2272</v>
      </c>
      <c r="D65" s="716"/>
      <c r="E65" s="716"/>
      <c r="F65" s="721"/>
      <c r="G65" s="723"/>
      <c r="H65" s="1556" t="s">
        <v>3931</v>
      </c>
      <c r="I65" s="1557"/>
      <c r="K65" s="781" t="s">
        <v>2801</v>
      </c>
      <c r="L65" s="781"/>
      <c r="N65" s="1444"/>
      <c r="O65" s="1445"/>
      <c r="P65" s="1446"/>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3063</v>
      </c>
      <c r="C67" s="470" t="s">
        <v>2121</v>
      </c>
      <c r="D67" s="721"/>
      <c r="E67" s="487"/>
      <c r="G67" s="489" t="s">
        <v>1378</v>
      </c>
      <c r="H67" s="1555">
        <v>8</v>
      </c>
      <c r="K67" s="781" t="s">
        <v>812</v>
      </c>
      <c r="L67" s="781"/>
      <c r="P67" s="490">
        <f>IF('Part VI-Revenues &amp; Expenses'!$M$63=0,0,$H67/'Part VI-Revenues &amp; Expenses'!$M$63)</f>
        <v>5.3333333333333337E-2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1238</v>
      </c>
      <c r="C69" s="470" t="s">
        <v>2891</v>
      </c>
      <c r="D69" s="487"/>
      <c r="E69" s="487"/>
      <c r="G69" s="489" t="s">
        <v>1378</v>
      </c>
      <c r="H69" s="1555">
        <v>3</v>
      </c>
      <c r="K69" s="781" t="s">
        <v>812</v>
      </c>
      <c r="L69" s="781"/>
      <c r="P69" s="490">
        <f>IF('Part VI-Revenues &amp; Expenses'!$M$63=0,0,$H69/'Part VI-Revenues &amp; Expenses'!$M$63)</f>
        <v>0.02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3212</v>
      </c>
      <c r="C71" s="470" t="s">
        <v>1977</v>
      </c>
      <c r="D71" s="487"/>
      <c r="E71" s="487"/>
      <c r="G71" s="489" t="s">
        <v>1978</v>
      </c>
      <c r="H71" s="1555"/>
      <c r="K71" s="781" t="s">
        <v>812</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1347</v>
      </c>
      <c r="B73" s="733"/>
      <c r="C73" s="716" t="s">
        <v>3591</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3060</v>
      </c>
      <c r="C75" s="395" t="s">
        <v>3590</v>
      </c>
      <c r="D75" s="715"/>
      <c r="E75" s="715"/>
      <c r="F75" s="715"/>
      <c r="H75" s="1558" t="s">
        <v>1460</v>
      </c>
      <c r="I75" s="1559"/>
      <c r="J75" s="1560"/>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3063</v>
      </c>
      <c r="C77" s="461" t="s">
        <v>2285</v>
      </c>
      <c r="K77" s="464" t="s">
        <v>1459</v>
      </c>
      <c r="N77" s="492"/>
      <c r="P77" s="1441"/>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3133</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1"/>
      <c r="F81" s="487" t="s">
        <v>3913</v>
      </c>
      <c r="H81" s="1441"/>
      <c r="I81" s="713" t="s">
        <v>3912</v>
      </c>
      <c r="K81" s="1441" t="s">
        <v>3926</v>
      </c>
      <c r="L81" s="458" t="s">
        <v>144</v>
      </c>
    </row>
    <row r="82" spans="1:16" s="458" customFormat="1" ht="13.15" customHeight="1">
      <c r="A82" s="733"/>
      <c r="B82" s="733"/>
      <c r="D82" s="480"/>
      <c r="E82" s="1441"/>
      <c r="F82" s="713" t="s">
        <v>650</v>
      </c>
      <c r="H82" s="1441"/>
      <c r="I82" s="715" t="s">
        <v>3233</v>
      </c>
      <c r="K82" s="1441"/>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1834</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847</v>
      </c>
      <c r="D86" s="721"/>
      <c r="E86" s="1444"/>
      <c r="F86" s="1445"/>
      <c r="G86" s="1445"/>
      <c r="H86" s="1445"/>
      <c r="I86" s="1445"/>
      <c r="J86" s="1445"/>
      <c r="K86" s="1445"/>
      <c r="L86" s="1446"/>
      <c r="M86" s="793" t="s">
        <v>848</v>
      </c>
      <c r="N86" s="793"/>
      <c r="O86" s="1561"/>
      <c r="P86" s="1562"/>
    </row>
    <row r="87" spans="1:16" s="458" customFormat="1" ht="13.15" customHeight="1">
      <c r="C87" s="464" t="s">
        <v>1641</v>
      </c>
      <c r="D87" s="472"/>
      <c r="E87" s="1444"/>
      <c r="F87" s="1445"/>
      <c r="G87" s="1445"/>
      <c r="H87" s="1445"/>
      <c r="I87" s="1445"/>
      <c r="J87" s="1445"/>
      <c r="K87" s="1445"/>
      <c r="L87" s="1446"/>
      <c r="M87" s="793" t="s">
        <v>1390</v>
      </c>
      <c r="N87" s="793"/>
      <c r="O87" s="1483"/>
      <c r="P87" s="1485"/>
    </row>
    <row r="88" spans="1:16" s="458" customFormat="1" ht="13.15" customHeight="1">
      <c r="C88" s="464" t="s">
        <v>953</v>
      </c>
      <c r="E88" s="1444"/>
      <c r="F88" s="1190"/>
      <c r="G88" s="1191"/>
      <c r="H88" s="717" t="s">
        <v>2830</v>
      </c>
      <c r="I88" s="1441"/>
      <c r="J88" s="493" t="s">
        <v>3353</v>
      </c>
      <c r="K88" s="1479"/>
      <c r="L88" s="1191"/>
      <c r="M88" s="418"/>
      <c r="N88" s="418"/>
      <c r="O88" s="418"/>
      <c r="P88" s="418"/>
    </row>
    <row r="89" spans="1:16" s="458" customFormat="1" ht="13.15" customHeight="1">
      <c r="C89" s="458" t="s">
        <v>3301</v>
      </c>
      <c r="E89" s="1444"/>
      <c r="F89" s="1190"/>
      <c r="G89" s="1191"/>
      <c r="H89" s="723" t="s">
        <v>3057</v>
      </c>
      <c r="I89" s="1444"/>
      <c r="J89" s="1190"/>
      <c r="K89" s="1191"/>
      <c r="L89" s="735" t="s">
        <v>3061</v>
      </c>
      <c r="M89" s="1444"/>
      <c r="N89" s="1190"/>
      <c r="O89" s="1190"/>
      <c r="P89" s="1191"/>
    </row>
    <row r="90" spans="1:16" s="458" customFormat="1" ht="13.15" customHeight="1">
      <c r="C90" s="464" t="s">
        <v>3300</v>
      </c>
      <c r="E90" s="1476"/>
      <c r="F90" s="1477"/>
      <c r="G90" s="1478"/>
      <c r="H90" s="723" t="s">
        <v>2833</v>
      </c>
      <c r="I90" s="1482"/>
      <c r="J90" s="1191"/>
      <c r="K90" s="493" t="s">
        <v>2834</v>
      </c>
      <c r="L90" s="1482"/>
      <c r="M90" s="1191"/>
      <c r="N90" s="493" t="s">
        <v>3056</v>
      </c>
      <c r="O90" s="1482"/>
      <c r="P90" s="1191"/>
    </row>
    <row r="91" spans="1:16" s="458" customFormat="1" ht="3" customHeight="1">
      <c r="A91" s="733"/>
      <c r="B91" s="733"/>
      <c r="G91" s="480"/>
      <c r="H91" s="723"/>
      <c r="I91" s="723"/>
      <c r="M91" s="469"/>
    </row>
    <row r="92" spans="1:16" s="458" customFormat="1" ht="13.15" customHeight="1">
      <c r="A92" s="491" t="s">
        <v>463</v>
      </c>
      <c r="B92" s="733"/>
      <c r="C92" s="716" t="s">
        <v>2665</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3060</v>
      </c>
      <c r="C96" s="716" t="s">
        <v>2122</v>
      </c>
      <c r="D96" s="715"/>
      <c r="E96" s="715"/>
      <c r="F96" s="723"/>
      <c r="G96" s="723"/>
      <c r="H96" s="1480">
        <v>3</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3063</v>
      </c>
      <c r="C98" s="716" t="s">
        <v>525</v>
      </c>
      <c r="D98" s="715"/>
      <c r="E98" s="715"/>
      <c r="F98" s="723"/>
      <c r="G98" s="723"/>
      <c r="H98" s="1563">
        <v>2409882</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1238</v>
      </c>
      <c r="C100" s="716" t="s">
        <v>395</v>
      </c>
      <c r="D100" s="715"/>
      <c r="E100" s="715"/>
      <c r="F100" s="723"/>
      <c r="G100" s="723"/>
      <c r="H100" s="723"/>
      <c r="I100" s="723"/>
      <c r="J100" s="480"/>
      <c r="K100" s="723"/>
      <c r="L100" s="723"/>
      <c r="N100" s="721"/>
      <c r="O100" s="721"/>
    </row>
    <row r="101" spans="1:16" s="458" customFormat="1" ht="13.15" customHeight="1">
      <c r="B101" s="733"/>
      <c r="C101" s="715" t="s">
        <v>3235</v>
      </c>
      <c r="D101" s="715"/>
      <c r="F101" s="715" t="s">
        <v>1773</v>
      </c>
      <c r="G101" s="723"/>
      <c r="H101" s="723"/>
      <c r="I101" s="723"/>
      <c r="J101" s="715" t="s">
        <v>3235</v>
      </c>
      <c r="K101" s="715"/>
      <c r="M101" s="715" t="s">
        <v>1773</v>
      </c>
      <c r="N101" s="723"/>
      <c r="O101" s="723"/>
      <c r="P101" s="723"/>
    </row>
    <row r="102" spans="1:16" s="458" customFormat="1" ht="13.15" customHeight="1">
      <c r="A102" s="733"/>
      <c r="B102" s="733"/>
      <c r="C102" s="1564" t="s">
        <v>3974</v>
      </c>
      <c r="D102" s="1565"/>
      <c r="E102" s="1565"/>
      <c r="F102" s="1565" t="s">
        <v>4075</v>
      </c>
      <c r="G102" s="1565"/>
      <c r="H102" s="1565"/>
      <c r="I102" s="1566"/>
      <c r="J102" s="1564" t="s">
        <v>4026</v>
      </c>
      <c r="K102" s="1565"/>
      <c r="L102" s="1565"/>
      <c r="M102" s="1565" t="s">
        <v>4078</v>
      </c>
      <c r="N102" s="1565"/>
      <c r="O102" s="1565"/>
      <c r="P102" s="1566"/>
    </row>
    <row r="103" spans="1:16" s="458" customFormat="1" ht="13.15" customHeight="1">
      <c r="A103" s="733"/>
      <c r="B103" s="733"/>
      <c r="C103" s="1567" t="s">
        <v>3935</v>
      </c>
      <c r="D103" s="1568"/>
      <c r="E103" s="1568"/>
      <c r="F103" s="1568" t="s">
        <v>4075</v>
      </c>
      <c r="G103" s="1568"/>
      <c r="H103" s="1568"/>
      <c r="I103" s="1569"/>
      <c r="J103" s="1567" t="s">
        <v>4105</v>
      </c>
      <c r="K103" s="1568"/>
      <c r="L103" s="1568"/>
      <c r="M103" s="1568" t="s">
        <v>4106</v>
      </c>
      <c r="N103" s="1568"/>
      <c r="O103" s="1568"/>
      <c r="P103" s="1569"/>
    </row>
    <row r="104" spans="1:16" s="458" customFormat="1" ht="13.15" customHeight="1">
      <c r="A104" s="733"/>
      <c r="B104" s="733"/>
      <c r="C104" s="1567" t="s">
        <v>4076</v>
      </c>
      <c r="D104" s="1568"/>
      <c r="E104" s="1568"/>
      <c r="F104" s="1568" t="s">
        <v>4075</v>
      </c>
      <c r="G104" s="1568"/>
      <c r="H104" s="1568"/>
      <c r="I104" s="1569"/>
      <c r="J104" s="1567" t="s">
        <v>4107</v>
      </c>
      <c r="K104" s="1568"/>
      <c r="L104" s="1568"/>
      <c r="M104" s="1568" t="s">
        <v>4106</v>
      </c>
      <c r="N104" s="1568"/>
      <c r="O104" s="1568"/>
      <c r="P104" s="1569"/>
    </row>
    <row r="105" spans="1:16" s="458" customFormat="1" ht="13.15" customHeight="1">
      <c r="A105" s="733"/>
      <c r="B105" s="733"/>
      <c r="C105" s="1567" t="s">
        <v>4026</v>
      </c>
      <c r="D105" s="1568"/>
      <c r="E105" s="1568"/>
      <c r="F105" s="1568" t="s">
        <v>4075</v>
      </c>
      <c r="G105" s="1568"/>
      <c r="H105" s="1568"/>
      <c r="I105" s="1569"/>
      <c r="J105" s="1567" t="s">
        <v>4080</v>
      </c>
      <c r="K105" s="1568"/>
      <c r="L105" s="1568"/>
      <c r="M105" s="1568" t="s">
        <v>4106</v>
      </c>
      <c r="N105" s="1568"/>
      <c r="O105" s="1568"/>
      <c r="P105" s="1569"/>
    </row>
    <row r="106" spans="1:16" s="458" customFormat="1" ht="13.15" customHeight="1">
      <c r="A106" s="733"/>
      <c r="B106" s="733"/>
      <c r="C106" s="1567" t="s">
        <v>4077</v>
      </c>
      <c r="D106" s="1568"/>
      <c r="E106" s="1568"/>
      <c r="F106" s="1568" t="s">
        <v>4078</v>
      </c>
      <c r="G106" s="1568"/>
      <c r="H106" s="1568"/>
      <c r="I106" s="1569"/>
      <c r="J106" s="1567">
        <v>12</v>
      </c>
      <c r="K106" s="1568"/>
      <c r="L106" s="1568"/>
      <c r="M106" s="1568"/>
      <c r="N106" s="1568"/>
      <c r="O106" s="1568"/>
      <c r="P106" s="1569"/>
    </row>
    <row r="107" spans="1:16" s="458" customFormat="1" ht="13.15" customHeight="1">
      <c r="A107" s="733"/>
      <c r="B107" s="733"/>
      <c r="C107" s="1567" t="s">
        <v>4079</v>
      </c>
      <c r="D107" s="1568"/>
      <c r="E107" s="1568"/>
      <c r="F107" s="1568" t="s">
        <v>4078</v>
      </c>
      <c r="G107" s="1568"/>
      <c r="H107" s="1568"/>
      <c r="I107" s="1569"/>
      <c r="J107" s="1567">
        <v>13</v>
      </c>
      <c r="K107" s="1568"/>
      <c r="L107" s="1568"/>
      <c r="M107" s="1568"/>
      <c r="N107" s="1568"/>
      <c r="O107" s="1568"/>
      <c r="P107" s="1569"/>
    </row>
    <row r="108" spans="1:16" s="458" customFormat="1" ht="13.15" customHeight="1">
      <c r="A108" s="733"/>
      <c r="B108" s="733"/>
      <c r="C108" s="1570" t="s">
        <v>4080</v>
      </c>
      <c r="D108" s="1571"/>
      <c r="E108" s="1571"/>
      <c r="F108" s="1571" t="s">
        <v>4078</v>
      </c>
      <c r="G108" s="1571"/>
      <c r="H108" s="1571"/>
      <c r="I108" s="1572"/>
      <c r="J108" s="1570">
        <v>14</v>
      </c>
      <c r="K108" s="1571"/>
      <c r="L108" s="1571"/>
      <c r="M108" s="1571"/>
      <c r="N108" s="1571"/>
      <c r="O108" s="1571"/>
      <c r="P108" s="1572"/>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3212</v>
      </c>
      <c r="C110" s="801" t="s">
        <v>2900</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3235</v>
      </c>
      <c r="D112" s="715"/>
      <c r="F112" s="715" t="s">
        <v>1773</v>
      </c>
      <c r="G112" s="723"/>
      <c r="H112" s="723"/>
      <c r="I112" s="723"/>
      <c r="J112" s="715" t="s">
        <v>3235</v>
      </c>
      <c r="K112" s="715"/>
      <c r="M112" s="715" t="s">
        <v>1773</v>
      </c>
      <c r="N112" s="723"/>
      <c r="O112" s="723"/>
      <c r="P112" s="723"/>
    </row>
    <row r="113" spans="1:16" s="458" customFormat="1" ht="13.15" customHeight="1">
      <c r="A113" s="733"/>
      <c r="B113" s="733"/>
      <c r="C113" s="1564">
        <v>1</v>
      </c>
      <c r="D113" s="1565"/>
      <c r="E113" s="1565"/>
      <c r="F113" s="1565"/>
      <c r="G113" s="1565"/>
      <c r="H113" s="1565"/>
      <c r="I113" s="1566"/>
      <c r="J113" s="1564">
        <v>8</v>
      </c>
      <c r="K113" s="1565"/>
      <c r="L113" s="1565"/>
      <c r="M113" s="1565"/>
      <c r="N113" s="1565"/>
      <c r="O113" s="1565"/>
      <c r="P113" s="1566"/>
    </row>
    <row r="114" spans="1:16" s="458" customFormat="1" ht="13.15" customHeight="1">
      <c r="A114" s="733"/>
      <c r="B114" s="733"/>
      <c r="C114" s="1567">
        <v>2</v>
      </c>
      <c r="D114" s="1568"/>
      <c r="E114" s="1568"/>
      <c r="F114" s="1568"/>
      <c r="G114" s="1568"/>
      <c r="H114" s="1568"/>
      <c r="I114" s="1569"/>
      <c r="J114" s="1567">
        <v>9</v>
      </c>
      <c r="K114" s="1568"/>
      <c r="L114" s="1568"/>
      <c r="M114" s="1568"/>
      <c r="N114" s="1568"/>
      <c r="O114" s="1568"/>
      <c r="P114" s="1569"/>
    </row>
    <row r="115" spans="1:16" s="458" customFormat="1" ht="13.15" customHeight="1">
      <c r="A115" s="733"/>
      <c r="B115" s="733"/>
      <c r="C115" s="1567">
        <v>3</v>
      </c>
      <c r="D115" s="1568"/>
      <c r="E115" s="1568"/>
      <c r="F115" s="1568"/>
      <c r="G115" s="1568"/>
      <c r="H115" s="1568"/>
      <c r="I115" s="1569"/>
      <c r="J115" s="1567">
        <v>10</v>
      </c>
      <c r="K115" s="1568"/>
      <c r="L115" s="1568"/>
      <c r="M115" s="1568"/>
      <c r="N115" s="1568"/>
      <c r="O115" s="1568"/>
      <c r="P115" s="1569"/>
    </row>
    <row r="116" spans="1:16" s="458" customFormat="1" ht="13.15" customHeight="1">
      <c r="A116" s="733"/>
      <c r="B116" s="733"/>
      <c r="C116" s="1567">
        <v>4</v>
      </c>
      <c r="D116" s="1568"/>
      <c r="E116" s="1568"/>
      <c r="F116" s="1568"/>
      <c r="G116" s="1568"/>
      <c r="H116" s="1568"/>
      <c r="I116" s="1569"/>
      <c r="J116" s="1567">
        <v>11</v>
      </c>
      <c r="K116" s="1568"/>
      <c r="L116" s="1568"/>
      <c r="M116" s="1568"/>
      <c r="N116" s="1568"/>
      <c r="O116" s="1568"/>
      <c r="P116" s="1569"/>
    </row>
    <row r="117" spans="1:16" s="458" customFormat="1" ht="13.15" customHeight="1">
      <c r="A117" s="733"/>
      <c r="B117" s="733"/>
      <c r="C117" s="1567">
        <v>5</v>
      </c>
      <c r="D117" s="1568"/>
      <c r="E117" s="1568"/>
      <c r="F117" s="1568"/>
      <c r="G117" s="1568"/>
      <c r="H117" s="1568"/>
      <c r="I117" s="1569"/>
      <c r="J117" s="1567">
        <v>12</v>
      </c>
      <c r="K117" s="1568"/>
      <c r="L117" s="1568"/>
      <c r="M117" s="1568"/>
      <c r="N117" s="1568"/>
      <c r="O117" s="1568"/>
      <c r="P117" s="1569"/>
    </row>
    <row r="118" spans="1:16" s="458" customFormat="1" ht="13.15" customHeight="1">
      <c r="A118" s="733"/>
      <c r="B118" s="733"/>
      <c r="C118" s="1567">
        <v>6</v>
      </c>
      <c r="D118" s="1568"/>
      <c r="E118" s="1568"/>
      <c r="F118" s="1568"/>
      <c r="G118" s="1568"/>
      <c r="H118" s="1568"/>
      <c r="I118" s="1569"/>
      <c r="J118" s="1567">
        <v>13</v>
      </c>
      <c r="K118" s="1568"/>
      <c r="L118" s="1568"/>
      <c r="M118" s="1568"/>
      <c r="N118" s="1568"/>
      <c r="O118" s="1568"/>
      <c r="P118" s="1569"/>
    </row>
    <row r="119" spans="1:16" s="458" customFormat="1" ht="13.15" customHeight="1">
      <c r="A119" s="733"/>
      <c r="B119" s="733"/>
      <c r="C119" s="1570">
        <v>7</v>
      </c>
      <c r="D119" s="1571"/>
      <c r="E119" s="1571"/>
      <c r="F119" s="1571"/>
      <c r="G119" s="1571"/>
      <c r="H119" s="1571"/>
      <c r="I119" s="1572"/>
      <c r="J119" s="1570">
        <v>14</v>
      </c>
      <c r="K119" s="1571"/>
      <c r="L119" s="1571"/>
      <c r="M119" s="1571"/>
      <c r="N119" s="1571"/>
      <c r="O119" s="1571"/>
      <c r="P119" s="1572"/>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3664</v>
      </c>
      <c r="D121" s="488"/>
      <c r="E121" s="488"/>
      <c r="F121" s="488"/>
      <c r="H121" s="1441"/>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3060</v>
      </c>
      <c r="C123" s="465" t="s">
        <v>2731</v>
      </c>
      <c r="H123" s="1441"/>
      <c r="M123" s="723"/>
      <c r="N123" s="721"/>
      <c r="O123" s="721"/>
      <c r="P123" s="469"/>
    </row>
    <row r="124" spans="1:16" s="458" customFormat="1" ht="13.15" customHeight="1">
      <c r="A124" s="733"/>
      <c r="B124" s="733"/>
      <c r="C124" s="715" t="s">
        <v>3666</v>
      </c>
      <c r="D124" s="715"/>
      <c r="E124" s="715"/>
      <c r="F124" s="723"/>
      <c r="H124" s="1573"/>
      <c r="N124" s="721"/>
      <c r="O124" s="721"/>
      <c r="P124" s="469"/>
    </row>
    <row r="125" spans="1:16" s="458" customFormat="1" ht="13.15" customHeight="1">
      <c r="A125" s="733"/>
      <c r="B125" s="733"/>
      <c r="C125" s="496" t="s">
        <v>2730</v>
      </c>
      <c r="D125" s="464"/>
      <c r="H125" s="1444"/>
      <c r="I125" s="1446"/>
      <c r="P125" s="469"/>
    </row>
    <row r="126" spans="1:16" s="458" customFormat="1" ht="13.15" customHeight="1">
      <c r="A126" s="733"/>
      <c r="B126" s="733"/>
      <c r="C126" s="715" t="s">
        <v>3667</v>
      </c>
      <c r="D126" s="715"/>
      <c r="E126" s="715"/>
      <c r="F126" s="723"/>
      <c r="H126" s="1573"/>
      <c r="K126" s="418" t="s">
        <v>3374</v>
      </c>
      <c r="O126" s="1444" t="s">
        <v>714</v>
      </c>
      <c r="P126" s="1446"/>
    </row>
    <row r="127" spans="1:16" s="458" customFormat="1" ht="13.15" customHeight="1">
      <c r="A127" s="733"/>
      <c r="B127" s="733"/>
      <c r="C127" s="715" t="s">
        <v>3665</v>
      </c>
      <c r="F127" s="723"/>
      <c r="H127" s="1480"/>
      <c r="K127" s="418" t="s">
        <v>3375</v>
      </c>
      <c r="O127" s="1444" t="s">
        <v>714</v>
      </c>
      <c r="P127" s="1446"/>
    </row>
    <row r="128" spans="1:16" s="458" customFormat="1" ht="13.15" customHeight="1">
      <c r="A128" s="733"/>
      <c r="B128" s="733"/>
      <c r="C128" s="715" t="s">
        <v>3272</v>
      </c>
      <c r="D128" s="715"/>
      <c r="E128" s="715"/>
      <c r="F128" s="723"/>
      <c r="H128" s="1561"/>
      <c r="I128" s="1562"/>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3063</v>
      </c>
      <c r="C130" s="716" t="s">
        <v>3769</v>
      </c>
      <c r="D130" s="715"/>
      <c r="E130" s="715"/>
      <c r="F130" s="723"/>
      <c r="H130" s="1480"/>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1238</v>
      </c>
      <c r="C132" s="716" t="s">
        <v>981</v>
      </c>
      <c r="D132" s="715"/>
      <c r="E132" s="715"/>
      <c r="F132" s="723"/>
      <c r="G132" s="723"/>
      <c r="N132" s="721"/>
      <c r="O132" s="721"/>
      <c r="P132" s="469"/>
    </row>
    <row r="133" spans="1:16" s="458" customFormat="1" ht="13.15" customHeight="1">
      <c r="A133" s="733"/>
      <c r="B133" s="733"/>
      <c r="C133" s="715" t="s">
        <v>1085</v>
      </c>
      <c r="D133" s="715"/>
      <c r="E133" s="715"/>
      <c r="F133" s="723"/>
      <c r="G133" s="723"/>
      <c r="H133" s="1480"/>
      <c r="K133" s="715" t="s">
        <v>2286</v>
      </c>
      <c r="L133" s="715"/>
      <c r="M133" s="723"/>
      <c r="N133" s="723"/>
      <c r="O133" s="1480"/>
      <c r="P133" s="469"/>
    </row>
    <row r="134" spans="1:16" s="458" customFormat="1" ht="13.15" customHeight="1">
      <c r="A134" s="733"/>
      <c r="B134" s="733"/>
      <c r="C134" s="715" t="s">
        <v>1086</v>
      </c>
      <c r="D134" s="715"/>
      <c r="E134" s="715"/>
      <c r="F134" s="723"/>
      <c r="G134" s="723"/>
      <c r="H134" s="1480"/>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1835</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3060</v>
      </c>
      <c r="C138" s="479" t="s">
        <v>2864</v>
      </c>
      <c r="F138" s="723"/>
      <c r="G138" s="723"/>
      <c r="H138" s="723"/>
      <c r="I138" s="723"/>
      <c r="J138" s="480"/>
      <c r="K138" s="723"/>
      <c r="L138" s="723"/>
      <c r="N138" s="721"/>
      <c r="O138" s="721"/>
      <c r="P138" s="469"/>
    </row>
    <row r="139" spans="1:16" s="458" customFormat="1" ht="12.6" customHeight="1">
      <c r="A139" s="733"/>
      <c r="B139" s="733"/>
      <c r="C139" s="487" t="s">
        <v>2278</v>
      </c>
      <c r="D139" s="480"/>
      <c r="E139" s="480"/>
      <c r="F139" s="723"/>
      <c r="G139" s="723"/>
      <c r="H139" s="723"/>
      <c r="I139" s="723"/>
      <c r="K139" s="1480" t="s">
        <v>3926</v>
      </c>
      <c r="N139" s="721"/>
      <c r="O139" s="721"/>
      <c r="P139" s="469"/>
    </row>
    <row r="140" spans="1:16" s="458" customFormat="1" ht="12.6" customHeight="1">
      <c r="A140" s="733"/>
      <c r="B140" s="733"/>
      <c r="C140" s="458" t="s">
        <v>949</v>
      </c>
      <c r="K140" s="1555">
        <v>51</v>
      </c>
      <c r="L140" s="464" t="s">
        <v>2826</v>
      </c>
      <c r="P140" s="497">
        <f>IF('Part VI-Revenues &amp; Expenses'!$M$61=0,0,$K140/'Part VI-Revenues &amp; Expenses'!$M$61)</f>
        <v>0.34</v>
      </c>
    </row>
    <row r="141" spans="1:16" s="458" customFormat="1" ht="12.6" customHeight="1">
      <c r="A141" s="733"/>
      <c r="B141" s="733"/>
      <c r="C141" s="458" t="s">
        <v>3273</v>
      </c>
      <c r="K141" s="1555"/>
      <c r="L141" s="464" t="s">
        <v>2826</v>
      </c>
      <c r="P141" s="497">
        <f>IF('Part VI-Revenues &amp; Expenses'!$M$61=0,0,$K141/'Part VI-Revenues &amp; Expenses'!$M$61)</f>
        <v>0</v>
      </c>
    </row>
    <row r="142" spans="1:16" s="458" customFormat="1" ht="12.6" customHeight="1">
      <c r="A142" s="733"/>
      <c r="B142" s="733"/>
      <c r="C142" s="458" t="s">
        <v>2827</v>
      </c>
      <c r="E142" s="1444" t="s">
        <v>3965</v>
      </c>
      <c r="F142" s="1445"/>
      <c r="G142" s="1445"/>
      <c r="H142" s="1445"/>
      <c r="I142" s="1445"/>
      <c r="J142" s="1445"/>
      <c r="K142" s="1446"/>
      <c r="L142" s="498" t="s">
        <v>2828</v>
      </c>
      <c r="M142" s="1444" t="s">
        <v>3991</v>
      </c>
      <c r="N142" s="1445"/>
      <c r="O142" s="1445"/>
      <c r="P142" s="1446"/>
    </row>
    <row r="143" spans="1:16" s="458" customFormat="1" ht="12.6" customHeight="1">
      <c r="A143" s="733"/>
      <c r="B143" s="733"/>
      <c r="C143" s="464" t="s">
        <v>2829</v>
      </c>
      <c r="D143" s="472"/>
      <c r="E143" s="1444" t="s">
        <v>3966</v>
      </c>
      <c r="F143" s="1445"/>
      <c r="G143" s="1445"/>
      <c r="H143" s="1445"/>
      <c r="I143" s="1445"/>
      <c r="J143" s="1445"/>
      <c r="K143" s="1574"/>
      <c r="L143" s="713" t="s">
        <v>2831</v>
      </c>
      <c r="M143" s="1483" t="s">
        <v>3992</v>
      </c>
      <c r="N143" s="1484"/>
      <c r="O143" s="1484"/>
      <c r="P143" s="1485"/>
    </row>
    <row r="144" spans="1:16" s="458" customFormat="1" ht="12.6" customHeight="1">
      <c r="A144" s="733"/>
      <c r="B144" s="733"/>
      <c r="C144" s="464" t="s">
        <v>953</v>
      </c>
      <c r="E144" s="1444" t="s">
        <v>1866</v>
      </c>
      <c r="F144" s="1445"/>
      <c r="G144" s="1445"/>
      <c r="H144" s="1446"/>
      <c r="I144" s="493" t="s">
        <v>3353</v>
      </c>
      <c r="J144" s="1479">
        <v>303032540</v>
      </c>
      <c r="K144" s="1532"/>
      <c r="L144" s="498" t="s">
        <v>2834</v>
      </c>
      <c r="M144" s="1476">
        <v>4048177201</v>
      </c>
      <c r="N144" s="1477"/>
      <c r="O144" s="1478"/>
    </row>
    <row r="145" spans="1:16" s="458" customFormat="1" ht="12.6" customHeight="1">
      <c r="A145" s="733"/>
      <c r="B145" s="733"/>
      <c r="C145" s="464" t="s">
        <v>2832</v>
      </c>
      <c r="E145" s="1476">
        <v>4048924700</v>
      </c>
      <c r="F145" s="1477"/>
      <c r="G145" s="1478"/>
      <c r="H145" s="499" t="s">
        <v>2833</v>
      </c>
      <c r="I145" s="1476">
        <v>4043310100</v>
      </c>
      <c r="J145" s="1477"/>
      <c r="K145" s="1478"/>
      <c r="L145" s="500" t="s">
        <v>3056</v>
      </c>
      <c r="M145" s="1476"/>
      <c r="N145" s="1477"/>
      <c r="O145" s="1478"/>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3063</v>
      </c>
      <c r="C147" s="716" t="s">
        <v>2372</v>
      </c>
      <c r="D147" s="716"/>
      <c r="E147" s="716"/>
      <c r="F147" s="716"/>
      <c r="G147" s="716"/>
      <c r="I147" s="1480"/>
      <c r="J147" s="778" t="s">
        <v>1253</v>
      </c>
      <c r="K147" s="779"/>
      <c r="L147" s="1480"/>
      <c r="M147" s="775" t="s">
        <v>3470</v>
      </c>
      <c r="N147" s="776"/>
      <c r="O147" s="777"/>
      <c r="P147" s="1573"/>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1238</v>
      </c>
      <c r="C149" s="716" t="s">
        <v>2785</v>
      </c>
      <c r="D149" s="716"/>
      <c r="E149" s="716"/>
      <c r="F149" s="716"/>
      <c r="G149" s="716"/>
      <c r="I149" s="1480"/>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3212</v>
      </c>
      <c r="C151" s="787" t="s">
        <v>3055</v>
      </c>
      <c r="D151" s="787"/>
      <c r="E151" s="787"/>
      <c r="F151" s="787"/>
      <c r="G151" s="716"/>
      <c r="I151" s="1480" t="s">
        <v>3924</v>
      </c>
    </row>
    <row r="152" spans="1:16" s="458" customFormat="1" ht="12.6" customHeight="1">
      <c r="B152" s="733"/>
      <c r="C152" s="786" t="s">
        <v>2209</v>
      </c>
      <c r="D152" s="786"/>
      <c r="E152" s="716"/>
      <c r="F152" s="716"/>
      <c r="G152" s="716"/>
      <c r="I152" s="1575"/>
    </row>
    <row r="153" spans="1:16" s="458" customFormat="1" ht="12.6" customHeight="1">
      <c r="A153" s="733"/>
      <c r="B153" s="733"/>
      <c r="C153" s="781" t="s">
        <v>1379</v>
      </c>
      <c r="D153" s="781"/>
      <c r="E153" s="461"/>
      <c r="F153" s="716"/>
      <c r="G153" s="716"/>
      <c r="I153" s="1575"/>
      <c r="K153" s="468"/>
      <c r="P153" s="469"/>
    </row>
    <row r="154" spans="1:16" s="458" customFormat="1" ht="12.6" customHeight="1">
      <c r="B154" s="733"/>
      <c r="C154" s="781" t="s">
        <v>2822</v>
      </c>
      <c r="D154" s="781"/>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2762</v>
      </c>
      <c r="C156" s="395" t="s">
        <v>2373</v>
      </c>
      <c r="D156" s="715"/>
      <c r="E156" s="715"/>
      <c r="F156" s="715"/>
      <c r="G156" s="715"/>
      <c r="H156" s="723"/>
      <c r="J156" s="468"/>
      <c r="K156" s="480"/>
      <c r="M156" s="721"/>
      <c r="O156" s="723"/>
      <c r="P156" s="469"/>
    </row>
    <row r="157" spans="1:16" s="458" customFormat="1" ht="12.6" customHeight="1">
      <c r="A157" s="733"/>
      <c r="B157" s="733"/>
      <c r="C157" s="721" t="s">
        <v>3327</v>
      </c>
      <c r="D157" s="470"/>
      <c r="E157" s="721"/>
      <c r="F157" s="721"/>
      <c r="I157" s="1480" t="s">
        <v>3924</v>
      </c>
      <c r="L157" s="721" t="s">
        <v>3326</v>
      </c>
      <c r="P157" s="1480"/>
    </row>
    <row r="158" spans="1:16" s="458" customFormat="1" ht="12.6" customHeight="1">
      <c r="A158" s="733"/>
      <c r="B158" s="733"/>
      <c r="C158" s="721" t="s">
        <v>3329</v>
      </c>
      <c r="I158" s="1480" t="s">
        <v>3924</v>
      </c>
      <c r="L158" s="721" t="s">
        <v>2375</v>
      </c>
      <c r="P158" s="1480"/>
    </row>
    <row r="159" spans="1:16" s="458" customFormat="1" ht="12.6" customHeight="1">
      <c r="A159" s="733"/>
      <c r="C159" s="721" t="s">
        <v>1979</v>
      </c>
      <c r="D159" s="505"/>
      <c r="I159" s="1480" t="s">
        <v>3924</v>
      </c>
      <c r="L159" s="721" t="s">
        <v>2544</v>
      </c>
      <c r="P159" s="1480"/>
    </row>
    <row r="160" spans="1:16" s="458" customFormat="1" ht="12.6" customHeight="1">
      <c r="A160" s="733"/>
      <c r="B160" s="733"/>
      <c r="C160" s="721" t="s">
        <v>2374</v>
      </c>
      <c r="D160" s="470"/>
      <c r="E160" s="721"/>
      <c r="F160" s="721"/>
      <c r="I160" s="1480" t="s">
        <v>3926</v>
      </c>
      <c r="K160" s="470"/>
      <c r="L160" s="721" t="s">
        <v>2289</v>
      </c>
      <c r="M160" s="721"/>
      <c r="P160" s="1480"/>
    </row>
    <row r="161" spans="1:16" s="458" customFormat="1" ht="12.6" customHeight="1">
      <c r="A161" s="733"/>
      <c r="B161" s="733"/>
      <c r="C161" s="721" t="s">
        <v>2376</v>
      </c>
      <c r="D161" s="470"/>
      <c r="E161" s="721"/>
      <c r="F161" s="721"/>
      <c r="I161" s="1480" t="s">
        <v>3926</v>
      </c>
      <c r="K161" s="470"/>
      <c r="L161" s="721"/>
      <c r="M161" s="721"/>
    </row>
    <row r="162" spans="1:16" s="458" customFormat="1" ht="12.6" customHeight="1">
      <c r="A162" s="733"/>
      <c r="B162" s="461"/>
      <c r="C162" s="721" t="s">
        <v>2844</v>
      </c>
      <c r="D162" s="470"/>
      <c r="I162" s="1480" t="s">
        <v>3924</v>
      </c>
      <c r="J162" s="504" t="s">
        <v>3373</v>
      </c>
      <c r="O162" s="1576"/>
      <c r="P162" s="1577"/>
    </row>
    <row r="163" spans="1:16" s="458" customFormat="1" ht="12.6" customHeight="1">
      <c r="A163" s="733"/>
      <c r="B163" s="733"/>
      <c r="C163" s="721" t="s">
        <v>3409</v>
      </c>
      <c r="E163" s="1556"/>
      <c r="F163" s="1578"/>
      <c r="G163" s="1578"/>
      <c r="H163" s="1557"/>
      <c r="I163" s="1480"/>
    </row>
    <row r="164" spans="1:16" s="458" customFormat="1" ht="1.9" customHeight="1">
      <c r="A164" s="733"/>
      <c r="B164" s="733"/>
      <c r="P164" s="468"/>
    </row>
    <row r="165" spans="1:16" s="458" customFormat="1" ht="13.15" customHeight="1">
      <c r="B165" s="733" t="s">
        <v>2763</v>
      </c>
      <c r="C165" s="465" t="s">
        <v>1228</v>
      </c>
    </row>
    <row r="166" spans="1:16" s="458" customFormat="1" ht="12.6" customHeight="1">
      <c r="A166" s="733"/>
      <c r="B166" s="733"/>
      <c r="C166" s="464" t="s">
        <v>975</v>
      </c>
      <c r="D166" s="715"/>
      <c r="E166" s="715"/>
      <c r="F166" s="723"/>
      <c r="G166" s="723"/>
      <c r="I166" s="1561"/>
      <c r="J166" s="1562"/>
      <c r="N166" s="721"/>
      <c r="O166" s="721"/>
      <c r="P166" s="469"/>
    </row>
    <row r="167" spans="1:16" s="458" customFormat="1" ht="12.6" customHeight="1">
      <c r="A167" s="733"/>
      <c r="B167" s="733"/>
      <c r="C167" s="464" t="s">
        <v>367</v>
      </c>
      <c r="D167" s="715"/>
      <c r="E167" s="715"/>
      <c r="F167" s="723"/>
      <c r="G167" s="723"/>
      <c r="I167" s="1561"/>
      <c r="J167" s="1562"/>
      <c r="N167" s="721"/>
      <c r="O167" s="721"/>
      <c r="P167" s="469"/>
    </row>
    <row r="168" spans="1:16" s="458" customFormat="1" ht="12.6" customHeight="1">
      <c r="A168" s="733"/>
      <c r="B168" s="733"/>
      <c r="C168" s="464" t="s">
        <v>3435</v>
      </c>
      <c r="D168" s="715"/>
      <c r="E168" s="715"/>
      <c r="F168" s="723"/>
      <c r="G168" s="723"/>
      <c r="I168" s="1561">
        <v>41639</v>
      </c>
      <c r="J168" s="1562"/>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3380</v>
      </c>
      <c r="L170" s="491" t="s">
        <v>89</v>
      </c>
    </row>
    <row r="171" spans="1:16" ht="39" customHeight="1">
      <c r="A171" s="1291" t="s">
        <v>4007</v>
      </c>
      <c r="B171" s="1350"/>
      <c r="C171" s="1350"/>
      <c r="D171" s="1350"/>
      <c r="E171" s="1350"/>
      <c r="F171" s="1350"/>
      <c r="G171" s="1350"/>
      <c r="H171" s="1350"/>
      <c r="I171" s="1350"/>
      <c r="J171" s="1351"/>
      <c r="K171" s="1294"/>
      <c r="L171" s="1352"/>
      <c r="M171" s="1352"/>
      <c r="N171" s="1352"/>
      <c r="O171" s="1352"/>
      <c r="P171" s="1353"/>
    </row>
    <row r="172" spans="1:16" ht="41.25" customHeight="1">
      <c r="A172" s="1295" t="s">
        <v>4109</v>
      </c>
      <c r="B172" s="1354"/>
      <c r="C172" s="1354"/>
      <c r="D172" s="1354"/>
      <c r="E172" s="1354"/>
      <c r="F172" s="1354"/>
      <c r="G172" s="1354"/>
      <c r="H172" s="1354"/>
      <c r="I172" s="1354"/>
      <c r="J172" s="1355"/>
      <c r="K172" s="1298"/>
      <c r="L172" s="1356"/>
      <c r="M172" s="1356"/>
      <c r="N172" s="1356"/>
      <c r="O172" s="1356"/>
      <c r="P172" s="1357"/>
    </row>
    <row r="173" spans="1:16" ht="38.450000000000003" customHeight="1">
      <c r="A173" s="1299" t="s">
        <v>3993</v>
      </c>
      <c r="B173" s="1358"/>
      <c r="C173" s="1358"/>
      <c r="D173" s="1358"/>
      <c r="E173" s="1358"/>
      <c r="F173" s="1358"/>
      <c r="G173" s="1358"/>
      <c r="H173" s="1358"/>
      <c r="I173" s="1358"/>
      <c r="J173" s="1359"/>
      <c r="K173" s="1302"/>
      <c r="L173" s="1360"/>
      <c r="M173" s="1360"/>
      <c r="N173" s="1360"/>
      <c r="O173" s="1360"/>
      <c r="P173" s="1361"/>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3636</v>
      </c>
      <c r="K182" s="623"/>
      <c r="L182" s="626"/>
      <c r="M182" s="627"/>
      <c r="N182" s="627" t="s">
        <v>953</v>
      </c>
      <c r="O182" s="628" t="s">
        <v>954</v>
      </c>
      <c r="P182" s="627" t="s">
        <v>3243</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3637</v>
      </c>
      <c r="O183" s="636" t="s">
        <v>3027</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3761</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3176</v>
      </c>
      <c r="K186" s="635"/>
      <c r="L186" s="626"/>
      <c r="M186" s="627"/>
      <c r="N186" s="636" t="s">
        <v>677</v>
      </c>
      <c r="O186" s="636" t="s">
        <v>3817</v>
      </c>
      <c r="P186" s="507" t="s">
        <v>2381</v>
      </c>
      <c r="Q186" s="611"/>
      <c r="S186" s="611"/>
      <c r="T186" s="636" t="s">
        <v>2369</v>
      </c>
      <c r="U186" s="636" t="s">
        <v>3816</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3178</v>
      </c>
      <c r="K187" s="635"/>
      <c r="L187" s="626"/>
      <c r="M187" s="627"/>
      <c r="N187" s="636" t="s">
        <v>3177</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3180</v>
      </c>
      <c r="K188" s="635"/>
      <c r="L188" s="626"/>
      <c r="M188" s="627"/>
      <c r="N188" s="636" t="s">
        <v>3179</v>
      </c>
      <c r="O188" s="636" t="s">
        <v>241</v>
      </c>
      <c r="P188" s="507" t="s">
        <v>2383</v>
      </c>
      <c r="Q188" s="611"/>
      <c r="S188" s="611"/>
      <c r="T188" s="636" t="s">
        <v>3222</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3886</v>
      </c>
      <c r="H189" s="632" t="s">
        <v>537</v>
      </c>
      <c r="I189" s="638"/>
      <c r="J189" s="634" t="s">
        <v>3182</v>
      </c>
      <c r="K189" s="635"/>
      <c r="L189" s="626"/>
      <c r="M189" s="627"/>
      <c r="N189" s="636" t="s">
        <v>3181</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3886</v>
      </c>
      <c r="H190" s="632" t="s">
        <v>537</v>
      </c>
      <c r="I190" s="638"/>
      <c r="J190" s="634" t="s">
        <v>3184</v>
      </c>
      <c r="K190" s="635"/>
      <c r="L190" s="626"/>
      <c r="M190" s="627"/>
      <c r="N190" s="636" t="s">
        <v>3183</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3887</v>
      </c>
      <c r="H191" s="632" t="s">
        <v>536</v>
      </c>
      <c r="I191" s="633"/>
      <c r="J191" s="634" t="s">
        <v>3039</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3888</v>
      </c>
      <c r="H192" s="632" t="s">
        <v>536</v>
      </c>
      <c r="I192" s="633"/>
      <c r="J192" s="634" t="s">
        <v>237</v>
      </c>
      <c r="K192" s="639"/>
      <c r="L192" s="507"/>
      <c r="M192" s="627"/>
      <c r="N192" s="636" t="s">
        <v>3040</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3889</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3892</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2901</v>
      </c>
      <c r="O200" s="636" t="s">
        <v>3284</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3845</v>
      </c>
      <c r="K203" s="635"/>
      <c r="L203" s="626"/>
      <c r="M203" s="627"/>
      <c r="N203" s="636" t="s">
        <v>3846</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3851</v>
      </c>
      <c r="K206" s="635"/>
      <c r="L206" s="626"/>
      <c r="M206" s="627"/>
      <c r="N206" s="636" t="s">
        <v>3852</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3854</v>
      </c>
      <c r="K208" s="635"/>
      <c r="L208" s="626"/>
      <c r="M208" s="627"/>
      <c r="N208" s="636" t="s">
        <v>3857</v>
      </c>
      <c r="O208" s="636" t="s">
        <v>2988</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3856</v>
      </c>
      <c r="K209" s="635"/>
      <c r="L209" s="626"/>
      <c r="M209" s="627"/>
      <c r="N209" s="636" t="s">
        <v>222</v>
      </c>
      <c r="O209" s="636" t="s">
        <v>221</v>
      </c>
      <c r="P209" s="1579"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3886</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3135</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3756</v>
      </c>
      <c r="D212" s="507" t="s">
        <v>1872</v>
      </c>
      <c r="E212" s="630" t="s">
        <v>3757</v>
      </c>
      <c r="F212" s="630"/>
      <c r="G212" s="631" t="s">
        <v>957</v>
      </c>
      <c r="H212" s="632" t="s">
        <v>536</v>
      </c>
      <c r="I212" s="633"/>
      <c r="J212" s="634" t="s">
        <v>1357</v>
      </c>
      <c r="K212" s="639"/>
      <c r="L212" s="626"/>
      <c r="M212" s="627"/>
      <c r="N212" s="636" t="s">
        <v>3167</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3758</v>
      </c>
      <c r="D213" s="507" t="s">
        <v>2036</v>
      </c>
      <c r="E213" s="637" t="s">
        <v>1339</v>
      </c>
      <c r="F213" s="637"/>
      <c r="G213" s="631" t="s">
        <v>3886</v>
      </c>
      <c r="H213" s="632" t="s">
        <v>537</v>
      </c>
      <c r="I213" s="638"/>
      <c r="J213" s="634" t="s">
        <v>1359</v>
      </c>
      <c r="K213" s="639"/>
      <c r="L213" s="626"/>
      <c r="M213" s="627"/>
      <c r="N213" s="636" t="s">
        <v>2031</v>
      </c>
      <c r="O213" s="636" t="s">
        <v>1740</v>
      </c>
      <c r="P213" s="1579" t="s">
        <v>1412</v>
      </c>
      <c r="Q213" s="611"/>
      <c r="S213" s="611"/>
      <c r="T213" s="611"/>
      <c r="U213" s="611"/>
      <c r="V213" s="611"/>
      <c r="W213" s="611"/>
      <c r="X213" s="611"/>
      <c r="Y213" s="611"/>
      <c r="Z213" s="611"/>
      <c r="AA213" s="611"/>
    </row>
    <row r="214" spans="1:27" ht="12" customHeight="1">
      <c r="A214" s="611"/>
      <c r="B214" s="507" t="s">
        <v>2049</v>
      </c>
      <c r="C214" s="507" t="s">
        <v>3759</v>
      </c>
      <c r="D214" s="507" t="s">
        <v>1872</v>
      </c>
      <c r="E214" s="630" t="s">
        <v>3760</v>
      </c>
      <c r="F214" s="630"/>
      <c r="G214" s="631" t="s">
        <v>958</v>
      </c>
      <c r="H214" s="632" t="s">
        <v>536</v>
      </c>
      <c r="I214" s="633"/>
      <c r="J214" s="634" t="s">
        <v>3168</v>
      </c>
      <c r="K214" s="639"/>
      <c r="L214" s="626"/>
      <c r="M214" s="627"/>
      <c r="N214" s="636" t="s">
        <v>3170</v>
      </c>
      <c r="O214" s="636" t="s">
        <v>3761</v>
      </c>
      <c r="P214" s="507" t="s">
        <v>2407</v>
      </c>
      <c r="Q214" s="631"/>
      <c r="S214" s="611"/>
      <c r="T214" s="611"/>
      <c r="U214" s="611"/>
      <c r="V214" s="611"/>
      <c r="W214" s="611"/>
      <c r="X214" s="611"/>
      <c r="Y214" s="611"/>
      <c r="Z214" s="611"/>
      <c r="AA214" s="611"/>
    </row>
    <row r="215" spans="1:27" ht="12" customHeight="1">
      <c r="A215" s="611"/>
      <c r="B215" s="507" t="s">
        <v>2050</v>
      </c>
      <c r="C215" s="507" t="s">
        <v>3761</v>
      </c>
      <c r="D215" s="507" t="s">
        <v>2012</v>
      </c>
      <c r="E215" s="637" t="s">
        <v>1339</v>
      </c>
      <c r="F215" s="637"/>
      <c r="G215" s="631" t="s">
        <v>3886</v>
      </c>
      <c r="H215" s="632" t="s">
        <v>537</v>
      </c>
      <c r="I215" s="638"/>
      <c r="J215" s="634" t="s">
        <v>3169</v>
      </c>
      <c r="K215" s="639"/>
      <c r="L215" s="626"/>
      <c r="M215" s="627"/>
      <c r="N215" s="636" t="s">
        <v>3077</v>
      </c>
      <c r="O215" s="636" t="s">
        <v>3280</v>
      </c>
      <c r="P215" s="507" t="s">
        <v>2408</v>
      </c>
      <c r="Q215" s="631"/>
      <c r="S215" s="611"/>
      <c r="T215" s="611"/>
      <c r="U215" s="611"/>
      <c r="V215" s="611"/>
      <c r="W215" s="611"/>
      <c r="X215" s="611"/>
      <c r="Y215" s="611"/>
      <c r="Z215" s="611"/>
      <c r="AA215" s="611"/>
    </row>
    <row r="216" spans="1:27" ht="12" customHeight="1">
      <c r="A216" s="611"/>
      <c r="B216" s="507" t="s">
        <v>2051</v>
      </c>
      <c r="C216" s="507" t="s">
        <v>3762</v>
      </c>
      <c r="D216" s="507" t="s">
        <v>1872</v>
      </c>
      <c r="E216" s="630" t="s">
        <v>3763</v>
      </c>
      <c r="F216" s="630"/>
      <c r="G216" s="631" t="s">
        <v>959</v>
      </c>
      <c r="H216" s="632" t="s">
        <v>536</v>
      </c>
      <c r="I216" s="633"/>
      <c r="J216" s="634" t="s">
        <v>3171</v>
      </c>
      <c r="K216" s="639"/>
      <c r="L216" s="626"/>
      <c r="M216" s="627"/>
      <c r="N216" s="636" t="s">
        <v>3172</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3764</v>
      </c>
      <c r="D217" s="507" t="s">
        <v>1872</v>
      </c>
      <c r="E217" s="630" t="s">
        <v>3815</v>
      </c>
      <c r="F217" s="630"/>
      <c r="G217" s="631" t="s">
        <v>960</v>
      </c>
      <c r="H217" s="632" t="s">
        <v>536</v>
      </c>
      <c r="I217" s="633"/>
      <c r="J217" s="634" t="s">
        <v>3203</v>
      </c>
      <c r="K217" s="639"/>
      <c r="L217" s="626"/>
      <c r="M217" s="627"/>
      <c r="N217" s="636" t="s">
        <v>3204</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3816</v>
      </c>
      <c r="D218" s="507" t="s">
        <v>2036</v>
      </c>
      <c r="E218" s="637" t="s">
        <v>1340</v>
      </c>
      <c r="F218" s="637"/>
      <c r="G218" s="631" t="s">
        <v>3911</v>
      </c>
      <c r="H218" s="632" t="s">
        <v>537</v>
      </c>
      <c r="I218" s="638"/>
      <c r="J218" s="634" t="s">
        <v>3205</v>
      </c>
      <c r="K218" s="639"/>
      <c r="L218" s="626"/>
      <c r="M218" s="627"/>
      <c r="N218" s="636" t="s">
        <v>3206</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3817</v>
      </c>
      <c r="D219" s="507" t="s">
        <v>1872</v>
      </c>
      <c r="E219" s="630" t="s">
        <v>3818</v>
      </c>
      <c r="F219" s="630"/>
      <c r="G219" s="631" t="s">
        <v>961</v>
      </c>
      <c r="H219" s="632" t="s">
        <v>536</v>
      </c>
      <c r="I219" s="633"/>
      <c r="J219" s="634" t="s">
        <v>3207</v>
      </c>
      <c r="K219" s="639"/>
      <c r="L219" s="626"/>
      <c r="M219" s="627"/>
      <c r="N219" s="636" t="s">
        <v>3208</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3819</v>
      </c>
      <c r="D220" s="507" t="s">
        <v>2036</v>
      </c>
      <c r="E220" s="637" t="s">
        <v>1339</v>
      </c>
      <c r="F220" s="637"/>
      <c r="G220" s="631" t="s">
        <v>3886</v>
      </c>
      <c r="H220" s="632" t="s">
        <v>537</v>
      </c>
      <c r="I220" s="638"/>
      <c r="J220" s="634" t="s">
        <v>3209</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3820</v>
      </c>
      <c r="D221" s="507" t="s">
        <v>2036</v>
      </c>
      <c r="E221" s="637" t="s">
        <v>2021</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3821</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3082</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3362</v>
      </c>
      <c r="K225" s="639"/>
      <c r="L225" s="626"/>
      <c r="M225" s="627"/>
      <c r="N225" s="636" t="s">
        <v>3363</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3035</v>
      </c>
      <c r="H227" s="632" t="s">
        <v>536</v>
      </c>
      <c r="I227" s="633"/>
      <c r="J227" s="634" t="s">
        <v>3366</v>
      </c>
      <c r="K227" s="639"/>
      <c r="L227" s="626"/>
      <c r="M227" s="627"/>
      <c r="N227" s="507" t="s">
        <v>3865</v>
      </c>
      <c r="O227" s="507" t="s">
        <v>964</v>
      </c>
      <c r="P227" s="1580" t="s">
        <v>3242</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3036</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3886</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3037</v>
      </c>
      <c r="H231" s="632" t="s">
        <v>536</v>
      </c>
      <c r="I231" s="633"/>
      <c r="J231" s="634" t="s">
        <v>3262</v>
      </c>
      <c r="K231" s="639"/>
      <c r="L231" s="626"/>
      <c r="M231" s="627"/>
      <c r="N231" s="636" t="s">
        <v>2805</v>
      </c>
      <c r="O231" s="636" t="s">
        <v>3088</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3892</v>
      </c>
      <c r="H232" s="632" t="s">
        <v>537</v>
      </c>
      <c r="I232" s="633"/>
      <c r="J232" s="634" t="s">
        <v>3263</v>
      </c>
      <c r="K232" s="639"/>
      <c r="L232" s="626"/>
      <c r="M232" s="627"/>
      <c r="N232" s="636" t="s">
        <v>1413</v>
      </c>
      <c r="O232" s="636" t="s">
        <v>3900</v>
      </c>
      <c r="P232" s="1579"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3692</v>
      </c>
      <c r="K234" s="635"/>
      <c r="L234" s="626"/>
      <c r="M234" s="627"/>
      <c r="N234" s="636" t="s">
        <v>3691</v>
      </c>
      <c r="O234" s="636" t="s">
        <v>1725</v>
      </c>
      <c r="P234" s="507" t="s">
        <v>2425</v>
      </c>
      <c r="Q234" s="631"/>
      <c r="S234" s="611"/>
      <c r="T234" s="611"/>
      <c r="U234" s="611"/>
      <c r="V234" s="611"/>
      <c r="W234" s="611"/>
      <c r="X234" s="611"/>
      <c r="Y234" s="611"/>
      <c r="Z234" s="611"/>
      <c r="AA234" s="611"/>
    </row>
    <row r="235" spans="1:27" ht="12" customHeight="1">
      <c r="A235" s="611"/>
      <c r="B235" s="640"/>
      <c r="C235" s="507" t="s">
        <v>3370</v>
      </c>
      <c r="D235" s="507" t="s">
        <v>1872</v>
      </c>
      <c r="E235" s="630" t="s">
        <v>3371</v>
      </c>
      <c r="F235" s="630"/>
      <c r="G235" s="631" t="s">
        <v>2038</v>
      </c>
      <c r="H235" s="632" t="s">
        <v>536</v>
      </c>
      <c r="I235" s="633"/>
      <c r="J235" s="634" t="s">
        <v>3694</v>
      </c>
      <c r="K235" s="635"/>
      <c r="L235" s="626"/>
      <c r="M235" s="627"/>
      <c r="N235" s="507" t="s">
        <v>3866</v>
      </c>
      <c r="O235" s="507" t="s">
        <v>414</v>
      </c>
      <c r="P235" s="1580" t="s">
        <v>3242</v>
      </c>
      <c r="Q235" s="631"/>
      <c r="S235" s="611"/>
      <c r="T235" s="611"/>
      <c r="U235" s="611"/>
      <c r="V235" s="611"/>
      <c r="W235" s="611"/>
      <c r="X235" s="611"/>
      <c r="Y235" s="611"/>
      <c r="Z235" s="611"/>
      <c r="AA235" s="611"/>
    </row>
    <row r="236" spans="1:27" ht="12" customHeight="1">
      <c r="A236" s="611"/>
      <c r="B236" s="640"/>
      <c r="C236" s="507" t="s">
        <v>3372</v>
      </c>
      <c r="D236" s="507" t="s">
        <v>1872</v>
      </c>
      <c r="E236" s="630" t="s">
        <v>998</v>
      </c>
      <c r="F236" s="630"/>
      <c r="G236" s="631" t="s">
        <v>2039</v>
      </c>
      <c r="H236" s="632" t="s">
        <v>536</v>
      </c>
      <c r="I236" s="633"/>
      <c r="J236" s="634" t="s">
        <v>3696</v>
      </c>
      <c r="K236" s="635"/>
      <c r="L236" s="626"/>
      <c r="M236" s="627"/>
      <c r="N236" s="636" t="s">
        <v>3693</v>
      </c>
      <c r="O236" s="636" t="s">
        <v>2991</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3697</v>
      </c>
      <c r="K237" s="635"/>
      <c r="L237" s="626"/>
      <c r="M237" s="627"/>
      <c r="N237" s="636" t="s">
        <v>3695</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3399</v>
      </c>
      <c r="F239" s="637"/>
      <c r="G239" s="631" t="s">
        <v>2041</v>
      </c>
      <c r="H239" s="632" t="s">
        <v>537</v>
      </c>
      <c r="I239" s="638"/>
      <c r="J239" s="634" t="s">
        <v>1065</v>
      </c>
      <c r="K239" s="635"/>
      <c r="L239" s="626"/>
      <c r="M239" s="627"/>
      <c r="N239" s="636" t="s">
        <v>3355</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3886</v>
      </c>
      <c r="H240" s="632" t="s">
        <v>537</v>
      </c>
      <c r="I240" s="638"/>
      <c r="J240" s="634" t="s">
        <v>1067</v>
      </c>
      <c r="K240" s="635"/>
      <c r="L240" s="626"/>
      <c r="M240" s="627"/>
      <c r="N240" s="636" t="s">
        <v>1066</v>
      </c>
      <c r="O240" s="636" t="s">
        <v>3756</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3886</v>
      </c>
      <c r="H242" s="632" t="s">
        <v>537</v>
      </c>
      <c r="I242" s="638"/>
      <c r="J242" s="634" t="s">
        <v>1071</v>
      </c>
      <c r="K242" s="635"/>
      <c r="L242" s="626"/>
      <c r="M242" s="627"/>
      <c r="N242" s="636" t="s">
        <v>1070</v>
      </c>
      <c r="O242" s="636" t="s">
        <v>3902</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3345</v>
      </c>
      <c r="K243" s="635"/>
      <c r="L243" s="626"/>
      <c r="M243" s="627"/>
      <c r="N243" s="507" t="s">
        <v>3867</v>
      </c>
      <c r="O243" s="507" t="s">
        <v>3758</v>
      </c>
      <c r="P243" s="1580" t="s">
        <v>3242</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3402</v>
      </c>
      <c r="K248" s="635"/>
      <c r="L248" s="626"/>
      <c r="M248" s="627"/>
      <c r="N248" s="636" t="s">
        <v>3477</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3626</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3628</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3886</v>
      </c>
      <c r="H257" s="632" t="s">
        <v>537</v>
      </c>
      <c r="I257" s="638"/>
      <c r="J257" s="634" t="s">
        <v>3566</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3889</v>
      </c>
      <c r="H266" s="632" t="s">
        <v>537</v>
      </c>
      <c r="I266" s="638"/>
      <c r="J266" s="634" t="s">
        <v>3428</v>
      </c>
      <c r="K266" s="635"/>
      <c r="L266" s="626"/>
      <c r="M266" s="627"/>
      <c r="N266" s="636" t="s">
        <v>3429</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3430</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3432</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3810</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3892</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3135</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2938</v>
      </c>
      <c r="D279" s="507" t="s">
        <v>2036</v>
      </c>
      <c r="E279" s="637" t="s">
        <v>1340</v>
      </c>
      <c r="F279" s="637"/>
      <c r="G279" s="631" t="s">
        <v>3911</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2939</v>
      </c>
      <c r="D280" s="507" t="s">
        <v>1872</v>
      </c>
      <c r="E280" s="630" t="s">
        <v>13</v>
      </c>
      <c r="F280" s="630"/>
      <c r="G280" s="631" t="s">
        <v>3891</v>
      </c>
      <c r="H280" s="632" t="s">
        <v>537</v>
      </c>
      <c r="I280" s="633"/>
      <c r="J280" s="634" t="s">
        <v>302</v>
      </c>
      <c r="K280" s="635"/>
      <c r="L280" s="626"/>
      <c r="M280" s="627"/>
      <c r="N280" s="636" t="s">
        <v>3156</v>
      </c>
      <c r="O280" s="636" t="s">
        <v>415</v>
      </c>
      <c r="P280" s="507" t="s">
        <v>2469</v>
      </c>
      <c r="Q280" s="631"/>
      <c r="S280" s="611"/>
      <c r="T280" s="611"/>
      <c r="U280" s="611"/>
      <c r="V280" s="611"/>
      <c r="W280" s="611"/>
      <c r="X280" s="611"/>
      <c r="Y280" s="611"/>
      <c r="Z280" s="611"/>
      <c r="AA280" s="611"/>
    </row>
    <row r="281" spans="1:27" ht="12" customHeight="1">
      <c r="A281" s="611"/>
      <c r="B281" s="640"/>
      <c r="C281" s="507" t="s">
        <v>2940</v>
      </c>
      <c r="D281" s="507" t="s">
        <v>2036</v>
      </c>
      <c r="E281" s="637" t="s">
        <v>1344</v>
      </c>
      <c r="F281" s="637"/>
      <c r="G281" s="631" t="s">
        <v>1051</v>
      </c>
      <c r="H281" s="632" t="s">
        <v>537</v>
      </c>
      <c r="I281" s="638"/>
      <c r="J281" s="634" t="s">
        <v>304</v>
      </c>
      <c r="K281" s="635"/>
      <c r="L281" s="626"/>
      <c r="M281" s="627"/>
      <c r="N281" s="636" t="s">
        <v>3158</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3160</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3155</v>
      </c>
      <c r="K283" s="635"/>
      <c r="L283" s="626"/>
      <c r="M283" s="627"/>
      <c r="N283" s="636" t="s">
        <v>3162</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3134</v>
      </c>
      <c r="F284" s="637"/>
      <c r="G284" s="631" t="s">
        <v>1054</v>
      </c>
      <c r="H284" s="632" t="s">
        <v>537</v>
      </c>
      <c r="I284" s="638"/>
      <c r="J284" s="634" t="s">
        <v>3157</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3159</v>
      </c>
      <c r="K285" s="635"/>
      <c r="L285" s="626"/>
      <c r="M285" s="627"/>
      <c r="N285" s="507" t="s">
        <v>3869</v>
      </c>
      <c r="O285" s="507" t="s">
        <v>3087</v>
      </c>
      <c r="P285" s="1580" t="s">
        <v>3242</v>
      </c>
      <c r="Q285" s="631"/>
      <c r="S285" s="611"/>
      <c r="T285" s="611"/>
      <c r="U285" s="611"/>
      <c r="V285" s="611"/>
      <c r="W285" s="611"/>
      <c r="X285" s="611"/>
      <c r="Y285" s="611"/>
      <c r="Z285" s="611"/>
      <c r="AA285" s="611"/>
    </row>
    <row r="286" spans="1:27" ht="12" customHeight="1">
      <c r="A286" s="611"/>
      <c r="B286" s="640"/>
      <c r="C286" s="507" t="s">
        <v>3896</v>
      </c>
      <c r="D286" s="507" t="s">
        <v>2036</v>
      </c>
      <c r="E286" s="637" t="s">
        <v>3897</v>
      </c>
      <c r="F286" s="637"/>
      <c r="G286" s="631" t="s">
        <v>1056</v>
      </c>
      <c r="H286" s="632" t="s">
        <v>536</v>
      </c>
      <c r="I286" s="638"/>
      <c r="J286" s="634" t="s">
        <v>3161</v>
      </c>
      <c r="K286" s="635"/>
      <c r="L286" s="626"/>
      <c r="M286" s="627"/>
      <c r="N286" s="636" t="s">
        <v>3164</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2012</v>
      </c>
      <c r="E287" s="630" t="s">
        <v>3899</v>
      </c>
      <c r="F287" s="630"/>
      <c r="G287" s="631" t="s">
        <v>3028</v>
      </c>
      <c r="H287" s="632" t="s">
        <v>537</v>
      </c>
      <c r="I287" s="633"/>
      <c r="J287" s="634" t="s">
        <v>3163</v>
      </c>
      <c r="K287" s="635"/>
      <c r="L287" s="626"/>
      <c r="M287" s="627"/>
      <c r="N287" s="636" t="s">
        <v>3166</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2036</v>
      </c>
      <c r="E288" s="637" t="s">
        <v>217</v>
      </c>
      <c r="F288" s="637"/>
      <c r="G288" s="631" t="s">
        <v>2699</v>
      </c>
      <c r="H288" s="632" t="s">
        <v>537</v>
      </c>
      <c r="I288" s="638"/>
      <c r="J288" s="634" t="s">
        <v>3165</v>
      </c>
      <c r="K288" s="635"/>
      <c r="L288" s="626"/>
      <c r="M288" s="627"/>
      <c r="N288" s="636" t="s">
        <v>1021</v>
      </c>
      <c r="O288" s="636" t="s">
        <v>3087</v>
      </c>
      <c r="P288" s="507" t="s">
        <v>2476</v>
      </c>
      <c r="Q288" s="631"/>
      <c r="S288" s="611"/>
      <c r="T288" s="611"/>
      <c r="U288" s="611"/>
      <c r="V288" s="611"/>
      <c r="W288" s="611"/>
      <c r="X288" s="611"/>
      <c r="Y288" s="611"/>
      <c r="Z288" s="611"/>
      <c r="AA288" s="611"/>
    </row>
    <row r="289" spans="1:27" ht="12" customHeight="1">
      <c r="A289" s="611"/>
      <c r="B289" s="640"/>
      <c r="C289" s="507" t="s">
        <v>3901</v>
      </c>
      <c r="D289" s="507" t="s">
        <v>2036</v>
      </c>
      <c r="E289" s="637" t="s">
        <v>1339</v>
      </c>
      <c r="F289" s="637"/>
      <c r="G289" s="631" t="s">
        <v>3886</v>
      </c>
      <c r="H289" s="632" t="s">
        <v>537</v>
      </c>
      <c r="I289" s="638"/>
      <c r="J289" s="634" t="s">
        <v>1020</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2036</v>
      </c>
      <c r="E290" s="630" t="s">
        <v>3135</v>
      </c>
      <c r="F290" s="630"/>
      <c r="G290" s="631" t="s">
        <v>956</v>
      </c>
      <c r="H290" s="632" t="s">
        <v>537</v>
      </c>
      <c r="I290" s="633"/>
      <c r="J290" s="634" t="s">
        <v>3474</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3903</v>
      </c>
      <c r="D291" s="507" t="s">
        <v>2036</v>
      </c>
      <c r="E291" s="630" t="s">
        <v>3135</v>
      </c>
      <c r="F291" s="630"/>
      <c r="G291" s="631" t="s">
        <v>956</v>
      </c>
      <c r="H291" s="632" t="s">
        <v>537</v>
      </c>
      <c r="I291" s="633"/>
      <c r="J291" s="634" t="s">
        <v>3475</v>
      </c>
      <c r="K291" s="635"/>
      <c r="L291" s="626"/>
      <c r="M291" s="627"/>
      <c r="N291" s="636" t="s">
        <v>1927</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2012</v>
      </c>
      <c r="E292" s="637" t="s">
        <v>1339</v>
      </c>
      <c r="F292" s="637"/>
      <c r="G292" s="631" t="s">
        <v>3886</v>
      </c>
      <c r="H292" s="632" t="s">
        <v>537</v>
      </c>
      <c r="I292" s="638"/>
      <c r="J292" s="634" t="s">
        <v>1924</v>
      </c>
      <c r="K292" s="635"/>
      <c r="L292" s="626"/>
      <c r="M292" s="627"/>
      <c r="N292" s="636" t="s">
        <v>3758</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3029</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3886</v>
      </c>
      <c r="H294" s="632" t="s">
        <v>537</v>
      </c>
      <c r="I294" s="638"/>
      <c r="J294" s="634" t="s">
        <v>1928</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3030</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3886</v>
      </c>
      <c r="H296" s="632" t="s">
        <v>537</v>
      </c>
      <c r="I296" s="638"/>
      <c r="J296" s="634" t="s">
        <v>1931</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3031</v>
      </c>
      <c r="H297" s="632" t="s">
        <v>536</v>
      </c>
      <c r="I297" s="633"/>
      <c r="J297" s="634" t="s">
        <v>3773</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3032</v>
      </c>
      <c r="H298" s="632" t="s">
        <v>536</v>
      </c>
      <c r="I298" s="638"/>
      <c r="J298" s="634" t="s">
        <v>92</v>
      </c>
      <c r="K298" s="635"/>
      <c r="L298" s="626"/>
      <c r="M298" s="627"/>
      <c r="N298" s="636" t="s">
        <v>1889</v>
      </c>
      <c r="O298" s="636" t="s">
        <v>3026</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3033</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9"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3290</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3911</v>
      </c>
      <c r="H303" s="632" t="s">
        <v>537</v>
      </c>
      <c r="I303" s="638"/>
      <c r="J303" s="634" t="s">
        <v>1890</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3886</v>
      </c>
      <c r="H304" s="632" t="s">
        <v>537</v>
      </c>
      <c r="I304" s="638"/>
      <c r="J304" s="634" t="s">
        <v>1892</v>
      </c>
      <c r="K304" s="635"/>
      <c r="L304" s="626"/>
      <c r="M304" s="627"/>
      <c r="N304" s="636" t="s">
        <v>217</v>
      </c>
      <c r="O304" s="636" t="s">
        <v>3900</v>
      </c>
      <c r="P304" s="1579"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3274</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1872</v>
      </c>
      <c r="E306" s="630" t="s">
        <v>3276</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3277</v>
      </c>
      <c r="D308" s="507" t="s">
        <v>1872</v>
      </c>
      <c r="E308" s="637" t="s">
        <v>3278</v>
      </c>
      <c r="F308" s="637"/>
      <c r="G308" s="631" t="s">
        <v>670</v>
      </c>
      <c r="H308" s="632" t="s">
        <v>536</v>
      </c>
      <c r="I308" s="638"/>
      <c r="J308" s="634" t="s">
        <v>1484</v>
      </c>
      <c r="K308" s="635"/>
      <c r="L308" s="626"/>
      <c r="M308" s="627"/>
      <c r="N308" s="507" t="s">
        <v>3870</v>
      </c>
      <c r="O308" s="507" t="s">
        <v>3758</v>
      </c>
      <c r="P308" s="1580" t="s">
        <v>3242</v>
      </c>
      <c r="Q308" s="611"/>
      <c r="S308" s="611"/>
      <c r="T308" s="611"/>
      <c r="U308" s="611"/>
      <c r="V308" s="611"/>
      <c r="W308" s="611"/>
      <c r="X308" s="611"/>
      <c r="Y308" s="611"/>
      <c r="Z308" s="611"/>
      <c r="AA308" s="611"/>
    </row>
    <row r="309" spans="1:27" ht="12" customHeight="1">
      <c r="A309" s="611"/>
      <c r="B309" s="640"/>
      <c r="C309" s="507" t="s">
        <v>3279</v>
      </c>
      <c r="D309" s="507" t="s">
        <v>2036</v>
      </c>
      <c r="E309" s="637" t="s">
        <v>1339</v>
      </c>
      <c r="F309" s="637"/>
      <c r="G309" s="631" t="s">
        <v>3886</v>
      </c>
      <c r="H309" s="632" t="s">
        <v>537</v>
      </c>
      <c r="I309" s="638"/>
      <c r="J309" s="634" t="s">
        <v>1485</v>
      </c>
      <c r="K309" s="635"/>
      <c r="L309" s="626"/>
      <c r="M309" s="627"/>
      <c r="N309" s="636" t="s">
        <v>3241</v>
      </c>
      <c r="O309" s="636" t="s">
        <v>1741</v>
      </c>
      <c r="P309" s="507" t="s">
        <v>2494</v>
      </c>
      <c r="Q309" s="631"/>
      <c r="S309" s="611"/>
      <c r="T309" s="611"/>
      <c r="U309" s="611"/>
      <c r="V309" s="611"/>
      <c r="W309" s="611"/>
      <c r="X309" s="611"/>
      <c r="Y309" s="611"/>
      <c r="Z309" s="611"/>
      <c r="AA309" s="611"/>
    </row>
    <row r="310" spans="1:27" ht="12" customHeight="1">
      <c r="A310" s="611"/>
      <c r="B310" s="640"/>
      <c r="C310" s="507" t="s">
        <v>3280</v>
      </c>
      <c r="D310" s="507" t="s">
        <v>2012</v>
      </c>
      <c r="E310" s="637" t="s">
        <v>3281</v>
      </c>
      <c r="F310" s="637"/>
      <c r="G310" s="631" t="s">
        <v>284</v>
      </c>
      <c r="H310" s="632" t="s">
        <v>536</v>
      </c>
      <c r="I310" s="633"/>
      <c r="J310" s="634" t="s">
        <v>1487</v>
      </c>
      <c r="K310" s="635"/>
      <c r="L310" s="626"/>
      <c r="M310" s="627"/>
      <c r="N310" s="636" t="s">
        <v>3152</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1872</v>
      </c>
      <c r="E311" s="630" t="s">
        <v>3283</v>
      </c>
      <c r="F311" s="630"/>
      <c r="G311" s="631" t="s">
        <v>2134</v>
      </c>
      <c r="H311" s="632" t="s">
        <v>536</v>
      </c>
      <c r="I311" s="633"/>
      <c r="J311" s="634" t="s">
        <v>1489</v>
      </c>
      <c r="K311" s="635"/>
      <c r="L311" s="626"/>
      <c r="M311" s="627"/>
      <c r="N311" s="636" t="s">
        <v>3154</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1872</v>
      </c>
      <c r="E312" s="630" t="s">
        <v>3285</v>
      </c>
      <c r="F312" s="630"/>
      <c r="G312" s="631" t="s">
        <v>2135</v>
      </c>
      <c r="H312" s="632" t="s">
        <v>536</v>
      </c>
      <c r="I312" s="633"/>
      <c r="J312" s="634" t="s">
        <v>3239</v>
      </c>
      <c r="K312" s="635"/>
      <c r="L312" s="626"/>
      <c r="M312" s="627"/>
      <c r="N312" s="636" t="s">
        <v>1414</v>
      </c>
      <c r="O312" s="636" t="s">
        <v>413</v>
      </c>
      <c r="P312" s="1579" t="s">
        <v>1412</v>
      </c>
      <c r="Q312" s="611"/>
      <c r="S312" s="611"/>
      <c r="T312" s="611"/>
      <c r="U312" s="611"/>
      <c r="V312" s="611"/>
      <c r="W312" s="611"/>
      <c r="X312" s="611"/>
      <c r="Y312" s="611"/>
      <c r="Z312" s="611"/>
      <c r="AA312" s="611"/>
    </row>
    <row r="313" spans="1:27" ht="12" customHeight="1">
      <c r="A313" s="611"/>
      <c r="B313" s="640"/>
      <c r="C313" s="507" t="s">
        <v>3286</v>
      </c>
      <c r="D313" s="507" t="s">
        <v>2036</v>
      </c>
      <c r="E313" s="630" t="s">
        <v>3287</v>
      </c>
      <c r="F313" s="630"/>
      <c r="G313" s="631" t="s">
        <v>2136</v>
      </c>
      <c r="H313" s="632" t="s">
        <v>536</v>
      </c>
      <c r="I313" s="633"/>
      <c r="J313" s="634" t="s">
        <v>3240</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2036</v>
      </c>
      <c r="E314" s="630" t="s">
        <v>3289</v>
      </c>
      <c r="F314" s="630"/>
      <c r="G314" s="631" t="s">
        <v>3093</v>
      </c>
      <c r="H314" s="632" t="s">
        <v>536</v>
      </c>
      <c r="I314" s="633"/>
      <c r="J314" s="634" t="s">
        <v>3151</v>
      </c>
      <c r="K314" s="635"/>
      <c r="L314" s="626"/>
      <c r="M314" s="627"/>
      <c r="N314" s="507" t="s">
        <v>3871</v>
      </c>
      <c r="O314" s="507" t="s">
        <v>2028</v>
      </c>
      <c r="P314" s="1580" t="s">
        <v>3242</v>
      </c>
      <c r="Q314" s="631"/>
      <c r="S314" s="611"/>
      <c r="T314" s="611"/>
      <c r="U314" s="611"/>
      <c r="V314" s="611"/>
      <c r="W314" s="611"/>
      <c r="X314" s="611"/>
      <c r="Y314" s="611"/>
      <c r="Z314" s="611"/>
      <c r="AA314" s="611"/>
    </row>
    <row r="315" spans="1:27" ht="12" customHeight="1">
      <c r="A315" s="611"/>
      <c r="B315" s="640"/>
      <c r="C315" s="507" t="s">
        <v>3290</v>
      </c>
      <c r="D315" s="507" t="s">
        <v>1872</v>
      </c>
      <c r="E315" s="630" t="s">
        <v>3291</v>
      </c>
      <c r="F315" s="630"/>
      <c r="G315" s="631" t="s">
        <v>3094</v>
      </c>
      <c r="H315" s="632" t="s">
        <v>536</v>
      </c>
      <c r="I315" s="633"/>
      <c r="J315" s="634" t="s">
        <v>3153</v>
      </c>
      <c r="K315" s="635"/>
      <c r="L315" s="626"/>
      <c r="M315" s="627"/>
      <c r="N315" s="636" t="s">
        <v>934</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2036</v>
      </c>
      <c r="E316" s="630" t="s">
        <v>1461</v>
      </c>
      <c r="F316" s="630"/>
      <c r="G316" s="631" t="s">
        <v>3095</v>
      </c>
      <c r="H316" s="632" t="s">
        <v>536</v>
      </c>
      <c r="I316" s="633"/>
      <c r="J316" s="634" t="s">
        <v>930</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3096</v>
      </c>
      <c r="H317" s="632" t="s">
        <v>536</v>
      </c>
      <c r="I317" s="638"/>
      <c r="J317" s="634" t="s">
        <v>931</v>
      </c>
      <c r="K317" s="635"/>
      <c r="L317" s="626"/>
      <c r="M317" s="627"/>
      <c r="N317" s="636" t="s">
        <v>938</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3097</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2979</v>
      </c>
      <c r="F320" s="637"/>
      <c r="G320" s="631" t="s">
        <v>1810</v>
      </c>
      <c r="H320" s="632" t="s">
        <v>536</v>
      </c>
      <c r="I320" s="638"/>
      <c r="J320" s="634" t="s">
        <v>936</v>
      </c>
      <c r="K320" s="635"/>
      <c r="L320" s="626"/>
      <c r="M320" s="627"/>
      <c r="N320" s="636" t="s">
        <v>843</v>
      </c>
      <c r="O320" s="636" t="s">
        <v>216</v>
      </c>
      <c r="P320" s="1579" t="s">
        <v>1412</v>
      </c>
      <c r="Q320" s="631"/>
      <c r="S320" s="611"/>
      <c r="T320" s="611"/>
      <c r="U320" s="611"/>
      <c r="V320" s="611"/>
      <c r="W320" s="611"/>
      <c r="X320" s="611"/>
      <c r="Y320" s="611"/>
      <c r="Z320" s="611"/>
      <c r="AA320" s="611"/>
    </row>
    <row r="321" spans="1:27" ht="12" customHeight="1">
      <c r="A321" s="611"/>
      <c r="B321" s="640"/>
      <c r="C321" s="507" t="s">
        <v>2980</v>
      </c>
      <c r="D321" s="507" t="s">
        <v>1872</v>
      </c>
      <c r="E321" s="637" t="s">
        <v>2981</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2982</v>
      </c>
      <c r="D322" s="507" t="s">
        <v>2012</v>
      </c>
      <c r="E322" s="637" t="s">
        <v>2983</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2984</v>
      </c>
      <c r="D323" s="507" t="s">
        <v>1872</v>
      </c>
      <c r="E323" s="637" t="s">
        <v>2985</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2986</v>
      </c>
      <c r="D324" s="507" t="s">
        <v>2036</v>
      </c>
      <c r="E324" s="630" t="s">
        <v>2987</v>
      </c>
      <c r="F324" s="630"/>
      <c r="G324" s="631" t="s">
        <v>1814</v>
      </c>
      <c r="H324" s="632" t="s">
        <v>536</v>
      </c>
      <c r="I324" s="638"/>
      <c r="J324" s="634" t="s">
        <v>842</v>
      </c>
      <c r="K324" s="635"/>
      <c r="L324" s="626"/>
      <c r="M324" s="627"/>
      <c r="N324" s="636" t="s">
        <v>3042</v>
      </c>
      <c r="O324" s="636" t="s">
        <v>3372</v>
      </c>
      <c r="P324" s="507" t="s">
        <v>2506</v>
      </c>
      <c r="Q324" s="631"/>
      <c r="S324" s="611"/>
      <c r="T324" s="611"/>
      <c r="U324" s="611"/>
      <c r="V324" s="611"/>
      <c r="W324" s="611"/>
      <c r="X324" s="611"/>
      <c r="Y324" s="611"/>
      <c r="Z324" s="611"/>
      <c r="AA324" s="611"/>
    </row>
    <row r="325" spans="1:27" ht="12" customHeight="1">
      <c r="A325" s="611"/>
      <c r="B325" s="640"/>
      <c r="C325" s="507" t="s">
        <v>2988</v>
      </c>
      <c r="D325" s="507" t="s">
        <v>1872</v>
      </c>
      <c r="E325" s="637" t="s">
        <v>2989</v>
      </c>
      <c r="F325" s="637"/>
      <c r="G325" s="631" t="s">
        <v>1815</v>
      </c>
      <c r="H325" s="632" t="s">
        <v>536</v>
      </c>
      <c r="I325" s="638"/>
      <c r="J325" s="634" t="s">
        <v>1799</v>
      </c>
      <c r="K325" s="635"/>
      <c r="L325" s="626"/>
      <c r="M325" s="627"/>
      <c r="N325" s="636" t="s">
        <v>3044</v>
      </c>
      <c r="O325" s="636" t="s">
        <v>3904</v>
      </c>
      <c r="P325" s="507" t="s">
        <v>2507</v>
      </c>
      <c r="Q325" s="631"/>
      <c r="S325" s="611"/>
      <c r="T325" s="611"/>
      <c r="U325" s="611"/>
      <c r="V325" s="611"/>
      <c r="W325" s="611"/>
      <c r="X325" s="611"/>
      <c r="Y325" s="611"/>
      <c r="Z325" s="611"/>
      <c r="AA325" s="611"/>
    </row>
    <row r="326" spans="1:27" ht="12" customHeight="1">
      <c r="A326" s="611"/>
      <c r="B326" s="640"/>
      <c r="C326" s="507" t="s">
        <v>2990</v>
      </c>
      <c r="D326" s="507" t="s">
        <v>2036</v>
      </c>
      <c r="E326" s="637" t="s">
        <v>2021</v>
      </c>
      <c r="F326" s="637"/>
      <c r="G326" s="631" t="s">
        <v>3889</v>
      </c>
      <c r="H326" s="632" t="s">
        <v>537</v>
      </c>
      <c r="I326" s="638"/>
      <c r="J326" s="634" t="s">
        <v>1236</v>
      </c>
      <c r="K326" s="635"/>
      <c r="L326" s="626"/>
      <c r="M326" s="627"/>
      <c r="N326" s="636" t="s">
        <v>431</v>
      </c>
      <c r="O326" s="636" t="s">
        <v>3026</v>
      </c>
      <c r="P326" s="507" t="s">
        <v>2508</v>
      </c>
      <c r="Q326" s="631"/>
      <c r="S326" s="611"/>
      <c r="T326" s="611"/>
      <c r="U326" s="611"/>
      <c r="V326" s="611"/>
      <c r="W326" s="611"/>
      <c r="X326" s="611"/>
      <c r="Y326" s="611"/>
      <c r="Z326" s="611"/>
      <c r="AA326" s="611"/>
    </row>
    <row r="327" spans="1:27" ht="12" customHeight="1">
      <c r="A327" s="611"/>
      <c r="B327" s="640"/>
      <c r="C327" s="507" t="s">
        <v>2991</v>
      </c>
      <c r="D327" s="507" t="s">
        <v>2012</v>
      </c>
      <c r="E327" s="637" t="s">
        <v>2992</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3085</v>
      </c>
      <c r="D328" s="507" t="s">
        <v>2036</v>
      </c>
      <c r="E328" s="630" t="s">
        <v>3086</v>
      </c>
      <c r="F328" s="630"/>
      <c r="G328" s="631" t="s">
        <v>1817</v>
      </c>
      <c r="H328" s="632" t="s">
        <v>536</v>
      </c>
      <c r="I328" s="638"/>
      <c r="J328" s="634" t="s">
        <v>3041</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3087</v>
      </c>
      <c r="D329" s="507" t="s">
        <v>2012</v>
      </c>
      <c r="E329" s="637" t="s">
        <v>2271</v>
      </c>
      <c r="F329" s="637"/>
      <c r="G329" s="631" t="s">
        <v>2697</v>
      </c>
      <c r="H329" s="632" t="s">
        <v>537</v>
      </c>
      <c r="I329" s="638"/>
      <c r="J329" s="634" t="s">
        <v>3043</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3088</v>
      </c>
      <c r="D330" s="507" t="s">
        <v>2036</v>
      </c>
      <c r="E330" s="637" t="s">
        <v>1339</v>
      </c>
      <c r="F330" s="637"/>
      <c r="G330" s="631" t="s">
        <v>3886</v>
      </c>
      <c r="H330" s="632" t="s">
        <v>537</v>
      </c>
      <c r="I330" s="638"/>
      <c r="J330" s="634" t="s">
        <v>430</v>
      </c>
      <c r="K330" s="635"/>
      <c r="L330" s="626"/>
      <c r="M330" s="627"/>
      <c r="N330" s="636" t="s">
        <v>439</v>
      </c>
      <c r="O330" s="636" t="s">
        <v>2939</v>
      </c>
      <c r="P330" s="507" t="s">
        <v>2512</v>
      </c>
      <c r="Q330" s="631"/>
      <c r="S330" s="611"/>
      <c r="T330" s="611"/>
      <c r="U330" s="611"/>
      <c r="V330" s="611"/>
      <c r="W330" s="611"/>
      <c r="X330" s="611"/>
      <c r="Y330" s="611"/>
      <c r="Z330" s="611"/>
      <c r="AA330" s="611"/>
    </row>
    <row r="331" spans="1:27" ht="12" customHeight="1">
      <c r="A331" s="611"/>
      <c r="B331" s="640"/>
      <c r="C331" s="507" t="s">
        <v>3089</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3013</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3259</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3284</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3562</v>
      </c>
      <c r="H336" s="632" t="s">
        <v>536</v>
      </c>
      <c r="I336" s="638"/>
      <c r="J336" s="634" t="s">
        <v>3012</v>
      </c>
      <c r="K336" s="635"/>
      <c r="L336" s="626"/>
      <c r="M336" s="627"/>
      <c r="N336" s="636" t="s">
        <v>211</v>
      </c>
      <c r="O336" s="636" t="s">
        <v>2938</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3563</v>
      </c>
      <c r="H337" s="632" t="s">
        <v>536</v>
      </c>
      <c r="I337" s="633"/>
      <c r="J337" s="634" t="s">
        <v>3014</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3026</v>
      </c>
      <c r="D338" s="507" t="s">
        <v>2012</v>
      </c>
      <c r="E338" s="630" t="s">
        <v>431</v>
      </c>
      <c r="F338" s="630"/>
      <c r="G338" s="631" t="s">
        <v>3564</v>
      </c>
      <c r="H338" s="632" t="s">
        <v>537</v>
      </c>
      <c r="I338" s="638"/>
      <c r="J338" s="634" t="s">
        <v>3258</v>
      </c>
      <c r="K338" s="635"/>
      <c r="L338" s="626"/>
      <c r="M338" s="627"/>
      <c r="N338" s="507" t="s">
        <v>3872</v>
      </c>
      <c r="O338" s="507" t="s">
        <v>3089</v>
      </c>
      <c r="P338" s="1580" t="s">
        <v>3242</v>
      </c>
      <c r="Q338" s="631"/>
      <c r="S338" s="611"/>
      <c r="T338" s="611"/>
      <c r="U338" s="611"/>
      <c r="V338" s="611"/>
      <c r="W338" s="611"/>
      <c r="X338" s="611"/>
      <c r="Y338" s="611"/>
      <c r="Z338" s="611"/>
      <c r="AA338" s="611"/>
    </row>
    <row r="339" spans="1:27" ht="12" customHeight="1">
      <c r="A339" s="611"/>
      <c r="B339" s="640"/>
      <c r="C339" s="507" t="s">
        <v>3027</v>
      </c>
      <c r="D339" s="507" t="s">
        <v>1872</v>
      </c>
      <c r="E339" s="637" t="s">
        <v>3630</v>
      </c>
      <c r="F339" s="637"/>
      <c r="G339" s="631" t="s">
        <v>3565</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3631</v>
      </c>
      <c r="D340" s="507" t="s">
        <v>2036</v>
      </c>
      <c r="E340" s="637" t="s">
        <v>3632</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3633</v>
      </c>
      <c r="D341" s="507" t="s">
        <v>2036</v>
      </c>
      <c r="E341" s="637" t="s">
        <v>3634</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3635</v>
      </c>
      <c r="D342" s="507" t="s">
        <v>1872</v>
      </c>
      <c r="E342" s="637" t="s">
        <v>2811</v>
      </c>
      <c r="F342" s="637"/>
      <c r="G342" s="631" t="s">
        <v>1804</v>
      </c>
      <c r="H342" s="632" t="s">
        <v>537</v>
      </c>
      <c r="I342" s="611"/>
      <c r="J342" s="634" t="s">
        <v>1372</v>
      </c>
      <c r="K342" s="635"/>
      <c r="L342" s="626"/>
      <c r="M342" s="627"/>
      <c r="N342" s="636" t="s">
        <v>3670</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3672</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3873</v>
      </c>
      <c r="O344" s="507" t="s">
        <v>1010</v>
      </c>
      <c r="P344" s="1580"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1464</v>
      </c>
      <c r="O349" s="636" t="s">
        <v>3762</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2995</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964</v>
      </c>
      <c r="P351" s="1580"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3759</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3875</v>
      </c>
      <c r="O359" s="507" t="s">
        <v>3279</v>
      </c>
      <c r="P359" s="1580"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3876</v>
      </c>
      <c r="O360" s="507" t="s">
        <v>3819</v>
      </c>
      <c r="P360" s="1580"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3800</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3764</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3898</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3372</v>
      </c>
      <c r="O375" s="507" t="s">
        <v>3816</v>
      </c>
      <c r="P375" s="1580"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3877</v>
      </c>
      <c r="O376" s="507" t="s">
        <v>3279</v>
      </c>
      <c r="P376" s="1580"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3878</v>
      </c>
      <c r="O377" s="507" t="s">
        <v>3761</v>
      </c>
      <c r="P377" s="1580"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3087</v>
      </c>
      <c r="P380" s="1580"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3619</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3758</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80"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3764</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3370</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3734</v>
      </c>
      <c r="O400" s="636" t="s">
        <v>2940</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3286</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9"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3290</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3088</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3633</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3819</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2940</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80"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3279</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3816</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2982</v>
      </c>
      <c r="P420" s="1580"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3085</v>
      </c>
      <c r="P426" s="1580"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3427</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3084</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2982</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1676</v>
      </c>
      <c r="O439" s="507" t="s">
        <v>1727</v>
      </c>
      <c r="P439" s="1580"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3016</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2631</v>
      </c>
      <c r="O444" s="636" t="s">
        <v>2986</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3449</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1677</v>
      </c>
      <c r="O453" s="507" t="s">
        <v>2270</v>
      </c>
      <c r="P453" s="1580"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1678</v>
      </c>
      <c r="O455" s="507" t="s">
        <v>3758</v>
      </c>
      <c r="P455" s="1580"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3051</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80"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2990</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3379</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3088</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80"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3073</v>
      </c>
      <c r="O477" s="636" t="s">
        <v>3087</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2986</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968</v>
      </c>
      <c r="O479" s="636" t="s">
        <v>3758</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80"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1682</v>
      </c>
      <c r="O483" s="507" t="s">
        <v>1741</v>
      </c>
      <c r="P483" s="1580"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1683</v>
      </c>
      <c r="O493" s="507" t="s">
        <v>3085</v>
      </c>
      <c r="P493" s="1580"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3087</v>
      </c>
      <c r="P495" s="1579"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9"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3088</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2940</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3087</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2940</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3771</v>
      </c>
      <c r="O510" s="636" t="s">
        <v>2980</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3761</v>
      </c>
      <c r="P511" s="1580"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3290</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2940</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3901</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3761</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3280</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3816</v>
      </c>
      <c r="P520" s="1580"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3903</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3633</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3469</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9"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3174</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3088</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80"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1686</v>
      </c>
      <c r="O546" s="507" t="s">
        <v>232</v>
      </c>
      <c r="P546" s="1580"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3758</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3907</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3191</v>
      </c>
      <c r="O552" s="636" t="s">
        <v>3764</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3417</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3417</v>
      </c>
      <c r="O558" s="507" t="s">
        <v>1867</v>
      </c>
      <c r="P558" s="1580"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9"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2339</v>
      </c>
      <c r="O567" s="636" t="s">
        <v>3762</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80"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80"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80"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3902</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3282</v>
      </c>
      <c r="P586" s="1579"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3901</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80"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3217</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2164</v>
      </c>
      <c r="O601" s="636" t="s">
        <v>415</v>
      </c>
      <c r="P601" s="627" t="s">
        <v>1164</v>
      </c>
      <c r="Q601" s="611"/>
      <c r="R601" s="507" t="s">
        <v>3865</v>
      </c>
      <c r="S601" s="507" t="s">
        <v>964</v>
      </c>
      <c r="T601" s="1580"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80" t="s">
        <v>3242</v>
      </c>
      <c r="Q602" s="611"/>
      <c r="R602" s="507" t="s">
        <v>3866</v>
      </c>
      <c r="S602" s="507" t="s">
        <v>414</v>
      </c>
      <c r="T602" s="1580"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3867</v>
      </c>
      <c r="S603" s="507" t="s">
        <v>3758</v>
      </c>
      <c r="T603" s="1580"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3868</v>
      </c>
      <c r="S604" s="507"/>
      <c r="T604" s="1580"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3148</v>
      </c>
      <c r="O605" s="636" t="s">
        <v>1549</v>
      </c>
      <c r="P605" s="627" t="s">
        <v>1167</v>
      </c>
      <c r="Q605" s="611"/>
      <c r="R605" s="507" t="s">
        <v>3869</v>
      </c>
      <c r="S605" s="507" t="s">
        <v>3087</v>
      </c>
      <c r="T605" s="1580"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1168</v>
      </c>
      <c r="Q606" s="611"/>
      <c r="R606" s="507" t="s">
        <v>3870</v>
      </c>
      <c r="S606" s="507" t="s">
        <v>3758</v>
      </c>
      <c r="T606" s="1580"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369</v>
      </c>
      <c r="O607" s="636" t="s">
        <v>3027</v>
      </c>
      <c r="P607" s="627" t="s">
        <v>1169</v>
      </c>
      <c r="Q607" s="611"/>
      <c r="R607" s="507" t="s">
        <v>3871</v>
      </c>
      <c r="S607" s="507" t="s">
        <v>2028</v>
      </c>
      <c r="T607" s="1580"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1170</v>
      </c>
      <c r="Q608" s="611"/>
      <c r="R608" s="507" t="s">
        <v>3872</v>
      </c>
      <c r="S608" s="507" t="s">
        <v>3089</v>
      </c>
      <c r="T608" s="1580"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3873</v>
      </c>
      <c r="S609" s="507" t="s">
        <v>1010</v>
      </c>
      <c r="T609" s="1580"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3874</v>
      </c>
      <c r="S610" s="507" t="s">
        <v>964</v>
      </c>
      <c r="T610" s="1580"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3875</v>
      </c>
      <c r="S611" s="507" t="s">
        <v>3279</v>
      </c>
      <c r="T611" s="1580"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3876</v>
      </c>
      <c r="S612" s="507" t="s">
        <v>3819</v>
      </c>
      <c r="T612" s="1580"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3901</v>
      </c>
      <c r="P613" s="627" t="s">
        <v>1175</v>
      </c>
      <c r="Q613" s="611"/>
      <c r="R613" s="507" t="s">
        <v>3372</v>
      </c>
      <c r="S613" s="507" t="s">
        <v>3816</v>
      </c>
      <c r="T613" s="1580"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3635</v>
      </c>
      <c r="P614" s="627" t="s">
        <v>1176</v>
      </c>
      <c r="Q614" s="611"/>
      <c r="R614" s="507" t="s">
        <v>3877</v>
      </c>
      <c r="S614" s="507" t="s">
        <v>3279</v>
      </c>
      <c r="T614" s="1580"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3761</v>
      </c>
      <c r="P615" s="627" t="s">
        <v>1177</v>
      </c>
      <c r="Q615" s="611"/>
      <c r="R615" s="507" t="s">
        <v>3878</v>
      </c>
      <c r="S615" s="507" t="s">
        <v>3761</v>
      </c>
      <c r="T615" s="1580"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9" t="s">
        <v>1412</v>
      </c>
      <c r="Q616" s="611"/>
      <c r="R616" s="507" t="s">
        <v>3879</v>
      </c>
      <c r="S616" s="507" t="s">
        <v>3087</v>
      </c>
      <c r="T616" s="1580"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80"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80" t="s">
        <v>3242</v>
      </c>
      <c r="Q618" s="611"/>
      <c r="R618" s="507" t="s">
        <v>1498</v>
      </c>
      <c r="S618" s="507" t="s">
        <v>1734</v>
      </c>
      <c r="T618" s="1580"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80"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2982</v>
      </c>
      <c r="T620" s="1580"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80" t="s">
        <v>3242</v>
      </c>
      <c r="Q621" s="611"/>
      <c r="R621" s="507" t="s">
        <v>1675</v>
      </c>
      <c r="S621" s="507" t="s">
        <v>3085</v>
      </c>
      <c r="T621" s="1580"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80"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1181</v>
      </c>
      <c r="Q623" s="1581"/>
      <c r="R623" s="507" t="s">
        <v>1677</v>
      </c>
      <c r="S623" s="507" t="s">
        <v>2270</v>
      </c>
      <c r="T623" s="1580"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1182</v>
      </c>
      <c r="Q624" s="611"/>
      <c r="R624" s="507" t="s">
        <v>1678</v>
      </c>
      <c r="S624" s="507" t="s">
        <v>3758</v>
      </c>
      <c r="T624" s="1580"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80" t="s">
        <v>3242</v>
      </c>
      <c r="Q625" s="611"/>
      <c r="R625" s="507" t="s">
        <v>1679</v>
      </c>
      <c r="S625" s="507" t="s">
        <v>215</v>
      </c>
      <c r="T625" s="1580"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1695</v>
      </c>
      <c r="O626" s="507" t="s">
        <v>411</v>
      </c>
      <c r="P626" s="1580" t="s">
        <v>3242</v>
      </c>
      <c r="Q626" s="611"/>
      <c r="R626" s="507" t="s">
        <v>1680</v>
      </c>
      <c r="S626" s="507" t="s">
        <v>2035</v>
      </c>
      <c r="T626" s="1580"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2028</v>
      </c>
      <c r="P627" s="627" t="s">
        <v>1183</v>
      </c>
      <c r="Q627" s="611"/>
      <c r="R627" s="507" t="s">
        <v>1681</v>
      </c>
      <c r="S627" s="507" t="s">
        <v>2270</v>
      </c>
      <c r="T627" s="1580"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3290</v>
      </c>
      <c r="P628" s="627" t="s">
        <v>1184</v>
      </c>
      <c r="Q628" s="611"/>
      <c r="R628" s="507" t="s">
        <v>1682</v>
      </c>
      <c r="S628" s="507" t="s">
        <v>1741</v>
      </c>
      <c r="T628" s="1580"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1185</v>
      </c>
      <c r="Q629" s="611"/>
      <c r="R629" s="507" t="s">
        <v>1683</v>
      </c>
      <c r="S629" s="507" t="s">
        <v>3085</v>
      </c>
      <c r="T629" s="1580"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2178</v>
      </c>
      <c r="P630" s="627" t="s">
        <v>1186</v>
      </c>
      <c r="Q630" s="611"/>
      <c r="R630" s="636" t="s">
        <v>1416</v>
      </c>
      <c r="S630" s="636" t="s">
        <v>1464</v>
      </c>
      <c r="T630" s="1580"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1011</v>
      </c>
      <c r="P631" s="627" t="s">
        <v>1187</v>
      </c>
      <c r="Q631" s="611"/>
      <c r="R631" s="507" t="s">
        <v>1684</v>
      </c>
      <c r="S631" s="507" t="s">
        <v>3761</v>
      </c>
      <c r="T631" s="1580"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1188</v>
      </c>
      <c r="Q632" s="611"/>
      <c r="R632" s="507" t="s">
        <v>2369</v>
      </c>
      <c r="S632" s="507" t="s">
        <v>3816</v>
      </c>
      <c r="T632" s="1580"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3292</v>
      </c>
      <c r="P633" s="627" t="s">
        <v>1189</v>
      </c>
      <c r="Q633" s="611"/>
      <c r="R633" s="507" t="s">
        <v>1685</v>
      </c>
      <c r="S633" s="507"/>
      <c r="T633" s="1580"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80"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80"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3282</v>
      </c>
      <c r="P636" s="627" t="s">
        <v>1192</v>
      </c>
      <c r="Q636" s="611"/>
      <c r="R636" s="507" t="s">
        <v>3417</v>
      </c>
      <c r="S636" s="507" t="s">
        <v>1867</v>
      </c>
      <c r="T636" s="1580"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80"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80"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80"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80"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3758</v>
      </c>
      <c r="P641" s="627" t="s">
        <v>1197</v>
      </c>
      <c r="Q641" s="611"/>
      <c r="R641" s="507" t="s">
        <v>1691</v>
      </c>
      <c r="S641" s="507" t="s">
        <v>2664</v>
      </c>
      <c r="T641" s="1580"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3764</v>
      </c>
      <c r="P642" s="627" t="s">
        <v>1198</v>
      </c>
      <c r="Q642" s="611"/>
      <c r="R642" s="507" t="s">
        <v>1692</v>
      </c>
      <c r="S642" s="507" t="s">
        <v>1551</v>
      </c>
      <c r="T642" s="1580"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3820</v>
      </c>
      <c r="P643" s="627" t="s">
        <v>1199</v>
      </c>
      <c r="Q643" s="611"/>
      <c r="R643" s="507" t="s">
        <v>1693</v>
      </c>
      <c r="S643" s="507" t="s">
        <v>137</v>
      </c>
      <c r="T643" s="1580"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80" t="s">
        <v>3242</v>
      </c>
      <c r="Q644" s="611"/>
      <c r="R644" s="507" t="s">
        <v>1694</v>
      </c>
      <c r="S644" s="507" t="s">
        <v>964</v>
      </c>
      <c r="T644" s="1580"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3027</v>
      </c>
      <c r="P645" s="627" t="s">
        <v>1200</v>
      </c>
      <c r="Q645" s="611"/>
      <c r="R645" s="507" t="s">
        <v>1695</v>
      </c>
      <c r="S645" s="507" t="s">
        <v>411</v>
      </c>
      <c r="T645" s="1580"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80"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3397</v>
      </c>
      <c r="O647" s="636" t="s">
        <v>3275</v>
      </c>
      <c r="P647" s="627" t="s">
        <v>1202</v>
      </c>
      <c r="Q647" s="611"/>
      <c r="R647" s="507" t="s">
        <v>1420</v>
      </c>
      <c r="S647" s="507" t="s">
        <v>2014</v>
      </c>
      <c r="T647" s="1580"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1002</v>
      </c>
      <c r="P648" s="627" t="s">
        <v>1203</v>
      </c>
      <c r="Q648" s="611"/>
      <c r="R648" s="507" t="s">
        <v>1697</v>
      </c>
      <c r="S648" s="507" t="s">
        <v>1010</v>
      </c>
      <c r="T648" s="1580"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1222</v>
      </c>
      <c r="P649" s="627" t="s">
        <v>1204</v>
      </c>
      <c r="Q649" s="611"/>
      <c r="R649" s="507" t="s">
        <v>1698</v>
      </c>
      <c r="S649" s="507" t="s">
        <v>2270</v>
      </c>
      <c r="T649" s="1580"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3087</v>
      </c>
      <c r="P650" s="627" t="s">
        <v>1205</v>
      </c>
      <c r="Q650" s="611"/>
      <c r="R650" s="507" t="s">
        <v>1699</v>
      </c>
      <c r="S650" s="507" t="s">
        <v>964</v>
      </c>
      <c r="T650" s="1580"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1867</v>
      </c>
      <c r="P651" s="627" t="s">
        <v>1206</v>
      </c>
      <c r="Q651" s="611"/>
      <c r="R651" s="507" t="s">
        <v>1700</v>
      </c>
      <c r="S651" s="507" t="s">
        <v>1002</v>
      </c>
      <c r="T651" s="1580"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1004</v>
      </c>
      <c r="P652" s="627" t="s">
        <v>747</v>
      </c>
      <c r="Q652" s="611"/>
      <c r="R652" s="507" t="s">
        <v>1701</v>
      </c>
      <c r="S652" s="507" t="s">
        <v>215</v>
      </c>
      <c r="T652" s="1580"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9" t="s">
        <v>1412</v>
      </c>
      <c r="Q653" s="611"/>
      <c r="R653" s="507" t="s">
        <v>1702</v>
      </c>
      <c r="S653" s="507" t="s">
        <v>2982</v>
      </c>
      <c r="T653" s="1580"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80" t="s">
        <v>3242</v>
      </c>
      <c r="Q654" s="611"/>
      <c r="R654" s="507" t="s">
        <v>1703</v>
      </c>
      <c r="S654" s="507" t="s">
        <v>3085</v>
      </c>
      <c r="T654" s="1580"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748</v>
      </c>
      <c r="Q655" s="611"/>
      <c r="R655" s="507" t="s">
        <v>1704</v>
      </c>
      <c r="S655" s="507" t="s">
        <v>964</v>
      </c>
      <c r="T655" s="1580"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80"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80" t="s">
        <v>3242</v>
      </c>
      <c r="Q657" s="611"/>
      <c r="R657" s="507" t="s">
        <v>1706</v>
      </c>
      <c r="S657" s="507" t="s">
        <v>3761</v>
      </c>
      <c r="T657" s="1580"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749</v>
      </c>
      <c r="Q658" s="611"/>
      <c r="R658" s="507" t="s">
        <v>1707</v>
      </c>
      <c r="S658" s="507" t="s">
        <v>215</v>
      </c>
      <c r="T658" s="1580"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80"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2003</v>
      </c>
      <c r="O660" s="636" t="s">
        <v>2980</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3814</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1699</v>
      </c>
      <c r="O665" s="507" t="s">
        <v>964</v>
      </c>
      <c r="P665" s="1580"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3819</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80"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3288</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3819</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3070</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80"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2947</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3761</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742</v>
      </c>
      <c r="O681" s="636" t="s">
        <v>3088</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3824</v>
      </c>
      <c r="O682" s="636" t="s">
        <v>2984</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3826</v>
      </c>
      <c r="O683" s="636" t="s">
        <v>3817</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1697</v>
      </c>
      <c r="O687" s="507" t="s">
        <v>1010</v>
      </c>
      <c r="P687" s="1580"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3198</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1532</v>
      </c>
      <c r="O691" s="636" t="s">
        <v>3370</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2963</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2966</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2968</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1399</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1702</v>
      </c>
      <c r="O699" s="507" t="s">
        <v>2982</v>
      </c>
      <c r="P699" s="1580"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1703</v>
      </c>
      <c r="O700" s="507" t="s">
        <v>3085</v>
      </c>
      <c r="P700" s="1580"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2123</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3386</v>
      </c>
      <c r="O704" s="636" t="s">
        <v>2988</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1747</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3140</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3046</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3048</v>
      </c>
      <c r="O711" s="636" t="s">
        <v>418</v>
      </c>
      <c r="P711" s="627" t="s">
        <v>560</v>
      </c>
      <c r="Q711" s="1581"/>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1421</v>
      </c>
      <c r="O716" s="636" t="s">
        <v>3085</v>
      </c>
      <c r="P716" s="1579"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3224</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2938</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3481</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80"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3026</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80"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3026</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2980</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9"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3761</v>
      </c>
      <c r="P747" s="1580"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3088</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2940</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3089</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2986</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9"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80"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80"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2940</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3085</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2982</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sqref="A1:XFD104857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2011-013 Ashley Auburn Pointe II , Atlanta, Fulton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950</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4" t="s">
        <v>3933</v>
      </c>
      <c r="I5" s="1190"/>
      <c r="J5" s="1190"/>
      <c r="K5" s="1190"/>
      <c r="L5" s="1190"/>
      <c r="M5" s="1190"/>
      <c r="N5" s="1191"/>
      <c r="O5" s="713" t="s">
        <v>3067</v>
      </c>
      <c r="P5" s="713"/>
      <c r="Q5" s="1444" t="s">
        <v>4110</v>
      </c>
      <c r="R5" s="1190"/>
      <c r="S5" s="1191"/>
    </row>
    <row r="6" spans="1:19" s="458" customFormat="1" ht="12.6" customHeight="1">
      <c r="D6" s="508"/>
      <c r="E6" s="464" t="s">
        <v>1641</v>
      </c>
      <c r="F6" s="472"/>
      <c r="H6" s="1444" t="s">
        <v>3920</v>
      </c>
      <c r="I6" s="1190"/>
      <c r="J6" s="1190"/>
      <c r="K6" s="1190"/>
      <c r="L6" s="1190"/>
      <c r="M6" s="1190"/>
      <c r="N6" s="1191"/>
      <c r="O6" s="713" t="s">
        <v>2775</v>
      </c>
      <c r="Q6" s="1444" t="s">
        <v>4112</v>
      </c>
      <c r="R6" s="1190"/>
      <c r="S6" s="1191"/>
    </row>
    <row r="7" spans="1:19" s="458" customFormat="1" ht="12.6" customHeight="1">
      <c r="D7" s="508"/>
      <c r="E7" s="464" t="s">
        <v>953</v>
      </c>
      <c r="H7" s="1444" t="s">
        <v>1866</v>
      </c>
      <c r="I7" s="1190"/>
      <c r="J7" s="1191"/>
      <c r="K7" s="1475" t="s">
        <v>1254</v>
      </c>
      <c r="L7" s="1444"/>
      <c r="M7" s="1190"/>
      <c r="N7" s="1191"/>
      <c r="O7" s="713" t="s">
        <v>2834</v>
      </c>
      <c r="Q7" s="1476">
        <v>4042241861</v>
      </c>
      <c r="R7" s="1477"/>
      <c r="S7" s="1478"/>
    </row>
    <row r="8" spans="1:19" s="458" customFormat="1" ht="12.6" customHeight="1">
      <c r="D8" s="508"/>
      <c r="E8" s="464" t="s">
        <v>2830</v>
      </c>
      <c r="H8" s="1441" t="s">
        <v>1438</v>
      </c>
      <c r="I8" s="723" t="s">
        <v>1973</v>
      </c>
      <c r="J8" s="1479">
        <v>303032540</v>
      </c>
      <c r="K8" s="1191"/>
      <c r="L8" s="398" t="s">
        <v>1976</v>
      </c>
      <c r="N8" s="1480">
        <v>5</v>
      </c>
      <c r="O8" s="713" t="s">
        <v>3056</v>
      </c>
      <c r="Q8" s="1476"/>
      <c r="R8" s="1477"/>
      <c r="S8" s="1478"/>
    </row>
    <row r="9" spans="1:19" s="458" customFormat="1" ht="12.6" customHeight="1">
      <c r="D9" s="508"/>
      <c r="E9" s="464" t="s">
        <v>3062</v>
      </c>
      <c r="H9" s="1476">
        <v>4042241860</v>
      </c>
      <c r="I9" s="1478"/>
      <c r="J9" s="1481"/>
      <c r="K9" s="723" t="s">
        <v>2833</v>
      </c>
      <c r="L9" s="1482">
        <v>4042241899</v>
      </c>
      <c r="M9" s="1191"/>
      <c r="N9" s="466" t="s">
        <v>3061</v>
      </c>
      <c r="O9" s="1483" t="s">
        <v>4113</v>
      </c>
      <c r="P9" s="1484"/>
      <c r="Q9" s="1484"/>
      <c r="R9" s="1484"/>
      <c r="S9" s="1485"/>
    </row>
    <row r="10" spans="1:19" s="458" customFormat="1" ht="13.15" customHeight="1">
      <c r="D10" s="508"/>
      <c r="E10" s="441" t="s">
        <v>997</v>
      </c>
      <c r="H10" s="501"/>
      <c r="L10" s="550" t="s">
        <v>1974</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1971</v>
      </c>
      <c r="O12" s="1486" t="s">
        <v>1972</v>
      </c>
      <c r="P12" s="1486"/>
      <c r="Q12" s="1486"/>
      <c r="R12" s="1486"/>
      <c r="S12" s="1486"/>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1975</v>
      </c>
      <c r="M14" s="482"/>
      <c r="O14" s="1487" t="s">
        <v>1970</v>
      </c>
      <c r="P14" s="1487"/>
      <c r="Q14" s="1487"/>
      <c r="R14" s="1487"/>
      <c r="S14" s="1487"/>
    </row>
    <row r="15" spans="1:19" s="458" customFormat="1" ht="4.1500000000000004" customHeight="1">
      <c r="D15" s="510"/>
      <c r="E15" s="511"/>
      <c r="H15" s="1488"/>
      <c r="I15" s="1488"/>
      <c r="J15" s="1488"/>
      <c r="K15" s="714"/>
      <c r="L15" s="1488"/>
      <c r="M15" s="1488"/>
      <c r="N15" s="714"/>
      <c r="O15" s="1489"/>
      <c r="P15" s="1489"/>
      <c r="Q15" s="723"/>
      <c r="R15" s="1489"/>
      <c r="S15" s="1489"/>
    </row>
    <row r="16" spans="1:19" s="458" customFormat="1" ht="12.6" customHeight="1">
      <c r="D16" s="461" t="s">
        <v>3213</v>
      </c>
      <c r="E16" s="458" t="s">
        <v>2911</v>
      </c>
      <c r="H16" s="1444" t="s">
        <v>3935</v>
      </c>
      <c r="I16" s="1190"/>
      <c r="J16" s="1190"/>
      <c r="K16" s="1190"/>
      <c r="L16" s="1190"/>
      <c r="M16" s="1190"/>
      <c r="N16" s="1191"/>
      <c r="O16" s="713" t="s">
        <v>3067</v>
      </c>
      <c r="P16" s="713"/>
      <c r="Q16" s="1444" t="s">
        <v>4111</v>
      </c>
      <c r="R16" s="1190"/>
      <c r="S16" s="1191"/>
    </row>
    <row r="17" spans="4:19" s="458" customFormat="1" ht="12.6" customHeight="1">
      <c r="D17" s="508"/>
      <c r="E17" s="464" t="s">
        <v>1641</v>
      </c>
      <c r="F17" s="472"/>
      <c r="H17" s="1444" t="s">
        <v>3920</v>
      </c>
      <c r="I17" s="1190"/>
      <c r="J17" s="1190"/>
      <c r="K17" s="1190"/>
      <c r="L17" s="1190"/>
      <c r="M17" s="1190"/>
      <c r="N17" s="1191"/>
      <c r="O17" s="713" t="s">
        <v>2775</v>
      </c>
      <c r="Q17" s="1444" t="s">
        <v>3921</v>
      </c>
      <c r="R17" s="1190"/>
      <c r="S17" s="1191"/>
    </row>
    <row r="18" spans="4:19" s="458" customFormat="1" ht="12.6" customHeight="1">
      <c r="D18" s="508"/>
      <c r="E18" s="464" t="s">
        <v>953</v>
      </c>
      <c r="H18" s="1444" t="s">
        <v>1866</v>
      </c>
      <c r="I18" s="1190"/>
      <c r="J18" s="1191"/>
      <c r="O18" s="713" t="s">
        <v>2834</v>
      </c>
      <c r="Q18" s="1476">
        <v>4042241882</v>
      </c>
      <c r="R18" s="1477"/>
      <c r="S18" s="1478"/>
    </row>
    <row r="19" spans="4:19" s="458" customFormat="1" ht="12.6" customHeight="1">
      <c r="D19" s="461"/>
      <c r="E19" s="464" t="s">
        <v>2830</v>
      </c>
      <c r="H19" s="1441" t="s">
        <v>1438</v>
      </c>
      <c r="I19" s="723" t="s">
        <v>1973</v>
      </c>
      <c r="J19" s="1479">
        <v>303032540</v>
      </c>
      <c r="K19" s="1191"/>
      <c r="L19" s="398" t="s">
        <v>1976</v>
      </c>
      <c r="N19" s="1480">
        <v>5</v>
      </c>
      <c r="O19" s="713" t="s">
        <v>3056</v>
      </c>
      <c r="Q19" s="1476"/>
      <c r="R19" s="1477"/>
      <c r="S19" s="1478"/>
    </row>
    <row r="20" spans="4:19" s="458" customFormat="1" ht="12.6" customHeight="1">
      <c r="D20" s="508"/>
      <c r="E20" s="464" t="s">
        <v>3062</v>
      </c>
      <c r="H20" s="1476">
        <v>4042241860</v>
      </c>
      <c r="I20" s="1478"/>
      <c r="J20" s="1481"/>
      <c r="K20" s="723" t="s">
        <v>2833</v>
      </c>
      <c r="L20" s="1482">
        <v>4042241899</v>
      </c>
      <c r="M20" s="1191"/>
      <c r="N20" s="466" t="s">
        <v>3061</v>
      </c>
      <c r="O20" s="1483" t="s">
        <v>4114</v>
      </c>
      <c r="P20" s="1484"/>
      <c r="Q20" s="1484"/>
      <c r="R20" s="1484"/>
      <c r="S20" s="1485"/>
    </row>
    <row r="21" spans="4:19" ht="4.1500000000000004" customHeight="1">
      <c r="D21" s="491"/>
      <c r="H21" s="1490"/>
      <c r="I21" s="1490"/>
      <c r="J21" s="1490"/>
      <c r="K21" s="723"/>
      <c r="L21" s="1490"/>
      <c r="M21" s="1490"/>
      <c r="N21" s="714"/>
      <c r="O21" s="1489"/>
      <c r="P21" s="1489"/>
      <c r="Q21" s="723"/>
      <c r="R21" s="1489"/>
      <c r="S21" s="1489"/>
    </row>
    <row r="22" spans="4:19" s="458" customFormat="1" ht="12.6" customHeight="1">
      <c r="D22" s="461" t="s">
        <v>3214</v>
      </c>
      <c r="E22" s="458" t="s">
        <v>2912</v>
      </c>
      <c r="F22" s="721"/>
      <c r="H22" s="1444" t="s">
        <v>4081</v>
      </c>
      <c r="I22" s="1190"/>
      <c r="J22" s="1190"/>
      <c r="K22" s="1190"/>
      <c r="L22" s="1190"/>
      <c r="M22" s="1190"/>
      <c r="N22" s="1191"/>
      <c r="O22" s="713" t="s">
        <v>3067</v>
      </c>
      <c r="P22" s="713"/>
      <c r="Q22" s="1444" t="s">
        <v>3937</v>
      </c>
      <c r="R22" s="1190"/>
      <c r="S22" s="1191"/>
    </row>
    <row r="23" spans="4:19" s="458" customFormat="1" ht="12.6" customHeight="1">
      <c r="D23" s="508"/>
      <c r="E23" s="464" t="s">
        <v>1641</v>
      </c>
      <c r="F23" s="472"/>
      <c r="H23" s="1444" t="s">
        <v>3940</v>
      </c>
      <c r="I23" s="1190"/>
      <c r="J23" s="1190"/>
      <c r="K23" s="1190"/>
      <c r="L23" s="1190"/>
      <c r="M23" s="1190"/>
      <c r="N23" s="1191"/>
      <c r="O23" s="713" t="s">
        <v>2775</v>
      </c>
      <c r="Q23" s="1444" t="s">
        <v>3938</v>
      </c>
      <c r="R23" s="1190"/>
      <c r="S23" s="1191"/>
    </row>
    <row r="24" spans="4:19" s="458" customFormat="1" ht="12.6" customHeight="1">
      <c r="D24" s="508"/>
      <c r="E24" s="464" t="s">
        <v>953</v>
      </c>
      <c r="H24" s="1444" t="s">
        <v>1866</v>
      </c>
      <c r="I24" s="1190"/>
      <c r="J24" s="1191"/>
      <c r="O24" s="713" t="s">
        <v>2834</v>
      </c>
      <c r="Q24" s="1476">
        <v>4048177201</v>
      </c>
      <c r="R24" s="1477"/>
      <c r="S24" s="1478"/>
    </row>
    <row r="25" spans="4:19" s="458" customFormat="1" ht="12.6" customHeight="1">
      <c r="E25" s="464" t="s">
        <v>2830</v>
      </c>
      <c r="H25" s="1441" t="s">
        <v>1438</v>
      </c>
      <c r="I25" s="493" t="s">
        <v>3353</v>
      </c>
      <c r="J25" s="1479">
        <v>303032540</v>
      </c>
      <c r="K25" s="1191"/>
      <c r="O25" s="713" t="s">
        <v>3056</v>
      </c>
      <c r="Q25" s="1476"/>
      <c r="R25" s="1477"/>
      <c r="S25" s="1478"/>
    </row>
    <row r="26" spans="4:19" s="458" customFormat="1" ht="12.6" customHeight="1">
      <c r="D26" s="508"/>
      <c r="E26" s="464" t="s">
        <v>3062</v>
      </c>
      <c r="H26" s="1476">
        <v>4048924700</v>
      </c>
      <c r="I26" s="1478"/>
      <c r="J26" s="1481"/>
      <c r="K26" s="723" t="s">
        <v>2833</v>
      </c>
      <c r="L26" s="1482"/>
      <c r="M26" s="1191"/>
      <c r="N26" s="466" t="s">
        <v>3061</v>
      </c>
      <c r="O26" s="1483" t="s">
        <v>3939</v>
      </c>
      <c r="P26" s="1484"/>
      <c r="Q26" s="1484"/>
      <c r="R26" s="1484"/>
      <c r="S26" s="1485"/>
    </row>
    <row r="27" spans="4:19" s="458" customFormat="1" ht="4.1500000000000004" customHeight="1">
      <c r="D27" s="508"/>
      <c r="E27" s="721"/>
      <c r="F27" s="721"/>
      <c r="G27" s="713"/>
      <c r="H27" s="1490"/>
      <c r="I27" s="1490"/>
      <c r="J27" s="1490"/>
      <c r="K27" s="723"/>
      <c r="L27" s="1490"/>
      <c r="M27" s="1490"/>
      <c r="N27" s="714"/>
      <c r="O27" s="1489"/>
      <c r="P27" s="1489"/>
      <c r="Q27" s="723"/>
      <c r="R27" s="1489"/>
      <c r="S27" s="1489"/>
    </row>
    <row r="28" spans="4:19" s="458" customFormat="1" ht="12.6" customHeight="1">
      <c r="D28" s="461" t="s">
        <v>2761</v>
      </c>
      <c r="E28" s="458" t="s">
        <v>2912</v>
      </c>
      <c r="F28" s="721"/>
      <c r="H28" s="1444"/>
      <c r="I28" s="1190"/>
      <c r="J28" s="1190"/>
      <c r="K28" s="1190"/>
      <c r="L28" s="1190"/>
      <c r="M28" s="1190"/>
      <c r="N28" s="1191"/>
      <c r="O28" s="713" t="s">
        <v>3067</v>
      </c>
      <c r="P28" s="713"/>
      <c r="Q28" s="1444"/>
      <c r="R28" s="1190"/>
      <c r="S28" s="1191"/>
    </row>
    <row r="29" spans="4:19" s="458" customFormat="1" ht="12.6" customHeight="1">
      <c r="D29" s="508"/>
      <c r="E29" s="464" t="s">
        <v>1641</v>
      </c>
      <c r="F29" s="472"/>
      <c r="H29" s="1444"/>
      <c r="I29" s="1190"/>
      <c r="J29" s="1190"/>
      <c r="K29" s="1190"/>
      <c r="L29" s="1190"/>
      <c r="M29" s="1190"/>
      <c r="N29" s="1191"/>
      <c r="O29" s="713" t="s">
        <v>2775</v>
      </c>
      <c r="Q29" s="1444"/>
      <c r="R29" s="1190"/>
      <c r="S29" s="1191"/>
    </row>
    <row r="30" spans="4:19" s="458" customFormat="1" ht="12.6" customHeight="1">
      <c r="D30" s="508"/>
      <c r="E30" s="464" t="s">
        <v>953</v>
      </c>
      <c r="H30" s="1444"/>
      <c r="I30" s="1190"/>
      <c r="J30" s="1191"/>
      <c r="O30" s="713" t="s">
        <v>2834</v>
      </c>
      <c r="Q30" s="1476"/>
      <c r="R30" s="1477"/>
      <c r="S30" s="1478"/>
    </row>
    <row r="31" spans="4:19" s="458" customFormat="1" ht="12.6" customHeight="1">
      <c r="E31" s="464" t="s">
        <v>2830</v>
      </c>
      <c r="H31" s="1441"/>
      <c r="I31" s="493" t="s">
        <v>3353</v>
      </c>
      <c r="J31" s="1479"/>
      <c r="K31" s="1191"/>
      <c r="O31" s="713" t="s">
        <v>3056</v>
      </c>
      <c r="Q31" s="1476"/>
      <c r="R31" s="1477"/>
      <c r="S31" s="1478"/>
    </row>
    <row r="32" spans="4:19" s="458" customFormat="1" ht="12.6" customHeight="1">
      <c r="D32" s="508"/>
      <c r="E32" s="464" t="s">
        <v>3062</v>
      </c>
      <c r="H32" s="1476"/>
      <c r="I32" s="1478"/>
      <c r="J32" s="1481"/>
      <c r="K32" s="723" t="s">
        <v>2833</v>
      </c>
      <c r="L32" s="1482"/>
      <c r="M32" s="1191"/>
      <c r="N32" s="466" t="s">
        <v>3061</v>
      </c>
      <c r="O32" s="1483"/>
      <c r="P32" s="1484"/>
      <c r="Q32" s="1484"/>
      <c r="R32" s="1484"/>
      <c r="S32" s="1485"/>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8"/>
      <c r="I35" s="1488"/>
      <c r="J35" s="1488"/>
      <c r="K35" s="714"/>
      <c r="L35" s="1488"/>
      <c r="M35" s="1488"/>
      <c r="N35" s="714"/>
      <c r="O35" s="1489"/>
      <c r="P35" s="1489"/>
      <c r="Q35" s="723"/>
      <c r="R35" s="1489"/>
      <c r="S35" s="1489"/>
    </row>
    <row r="36" spans="3:19" s="458" customFormat="1" ht="12.6" customHeight="1">
      <c r="D36" s="461" t="s">
        <v>3213</v>
      </c>
      <c r="E36" s="458" t="s">
        <v>1239</v>
      </c>
      <c r="H36" s="1444" t="s">
        <v>4031</v>
      </c>
      <c r="I36" s="1190"/>
      <c r="J36" s="1190"/>
      <c r="K36" s="1190"/>
      <c r="L36" s="1190"/>
      <c r="M36" s="1190"/>
      <c r="N36" s="1191"/>
      <c r="O36" s="713" t="s">
        <v>3067</v>
      </c>
      <c r="P36" s="713"/>
      <c r="Q36" s="1444" t="s">
        <v>4034</v>
      </c>
      <c r="R36" s="1190"/>
      <c r="S36" s="1191"/>
    </row>
    <row r="37" spans="3:19" s="458" customFormat="1" ht="12.6" customHeight="1">
      <c r="D37" s="508"/>
      <c r="E37" s="464" t="s">
        <v>1641</v>
      </c>
      <c r="F37" s="472"/>
      <c r="H37" s="1444" t="s">
        <v>4032</v>
      </c>
      <c r="I37" s="1190"/>
      <c r="J37" s="1190"/>
      <c r="K37" s="1190"/>
      <c r="L37" s="1190"/>
      <c r="M37" s="1190"/>
      <c r="N37" s="1191"/>
      <c r="O37" s="713" t="s">
        <v>2775</v>
      </c>
      <c r="Q37" s="1444" t="s">
        <v>4035</v>
      </c>
      <c r="R37" s="1190"/>
      <c r="S37" s="1191"/>
    </row>
    <row r="38" spans="3:19" s="458" customFormat="1" ht="12.6" customHeight="1">
      <c r="D38" s="508"/>
      <c r="E38" s="464" t="s">
        <v>953</v>
      </c>
      <c r="H38" s="1444" t="s">
        <v>4033</v>
      </c>
      <c r="I38" s="1190"/>
      <c r="J38" s="1191"/>
      <c r="O38" s="713" t="s">
        <v>2834</v>
      </c>
      <c r="Q38" s="1476">
        <v>2122184469</v>
      </c>
      <c r="R38" s="1477"/>
      <c r="S38" s="1478"/>
    </row>
    <row r="39" spans="3:19" s="458" customFormat="1" ht="12.6" customHeight="1">
      <c r="E39" s="464" t="s">
        <v>2830</v>
      </c>
      <c r="H39" s="1441" t="s">
        <v>2050</v>
      </c>
      <c r="I39" s="493" t="s">
        <v>3353</v>
      </c>
      <c r="J39" s="1479">
        <v>101110000</v>
      </c>
      <c r="K39" s="1191"/>
      <c r="O39" s="713" t="s">
        <v>3056</v>
      </c>
      <c r="Q39" s="1476"/>
      <c r="R39" s="1477"/>
      <c r="S39" s="1478"/>
    </row>
    <row r="40" spans="3:19" s="458" customFormat="1" ht="12.6" customHeight="1">
      <c r="D40" s="508"/>
      <c r="E40" s="464" t="s">
        <v>3062</v>
      </c>
      <c r="H40" s="1476">
        <v>2122184488</v>
      </c>
      <c r="I40" s="1478"/>
      <c r="J40" s="1481"/>
      <c r="K40" s="723" t="s">
        <v>2833</v>
      </c>
      <c r="L40" s="1482"/>
      <c r="M40" s="1191"/>
      <c r="N40" s="466" t="s">
        <v>3061</v>
      </c>
      <c r="O40" s="1483" t="s">
        <v>4068</v>
      </c>
      <c r="P40" s="1484"/>
      <c r="Q40" s="1484"/>
      <c r="R40" s="1484"/>
      <c r="S40" s="1485"/>
    </row>
    <row r="41" spans="3:19" ht="4.1500000000000004" customHeight="1">
      <c r="H41" s="1490"/>
      <c r="I41" s="1490"/>
      <c r="J41" s="1490"/>
      <c r="K41" s="723"/>
      <c r="L41" s="1490"/>
      <c r="M41" s="1490"/>
      <c r="N41" s="714"/>
      <c r="O41" s="1489"/>
      <c r="P41" s="1489"/>
      <c r="Q41" s="723"/>
      <c r="R41" s="1489"/>
      <c r="S41" s="1489"/>
    </row>
    <row r="42" spans="3:19" s="458" customFormat="1" ht="12.6" customHeight="1">
      <c r="D42" s="461" t="s">
        <v>3214</v>
      </c>
      <c r="E42" s="458" t="s">
        <v>1240</v>
      </c>
      <c r="F42" s="461"/>
      <c r="H42" s="1444" t="s">
        <v>4036</v>
      </c>
      <c r="I42" s="1190"/>
      <c r="J42" s="1190"/>
      <c r="K42" s="1190"/>
      <c r="L42" s="1190"/>
      <c r="M42" s="1190"/>
      <c r="N42" s="1191"/>
      <c r="O42" s="713" t="s">
        <v>3067</v>
      </c>
      <c r="P42" s="713"/>
      <c r="Q42" s="1444" t="s">
        <v>4071</v>
      </c>
      <c r="R42" s="1190"/>
      <c r="S42" s="1191"/>
    </row>
    <row r="43" spans="3:19" s="458" customFormat="1" ht="12.6" customHeight="1">
      <c r="D43" s="508"/>
      <c r="E43" s="464" t="s">
        <v>1641</v>
      </c>
      <c r="F43" s="472"/>
      <c r="H43" s="1444" t="s">
        <v>4037</v>
      </c>
      <c r="I43" s="1190"/>
      <c r="J43" s="1190"/>
      <c r="K43" s="1190"/>
      <c r="L43" s="1190"/>
      <c r="M43" s="1190"/>
      <c r="N43" s="1191"/>
      <c r="O43" s="713" t="s">
        <v>2775</v>
      </c>
      <c r="Q43" s="1444" t="s">
        <v>4072</v>
      </c>
      <c r="R43" s="1190"/>
      <c r="S43" s="1191"/>
    </row>
    <row r="44" spans="3:19" s="458" customFormat="1" ht="12.6" customHeight="1">
      <c r="D44" s="508"/>
      <c r="E44" s="464" t="s">
        <v>953</v>
      </c>
      <c r="H44" s="1444" t="s">
        <v>4038</v>
      </c>
      <c r="I44" s="1190"/>
      <c r="J44" s="1191"/>
      <c r="O44" s="713" t="s">
        <v>2834</v>
      </c>
      <c r="Q44" s="1476">
        <v>3149682205</v>
      </c>
      <c r="R44" s="1477"/>
      <c r="S44" s="1478"/>
    </row>
    <row r="45" spans="3:19" s="458" customFormat="1" ht="12.6" customHeight="1">
      <c r="D45" s="461"/>
      <c r="E45" s="464" t="s">
        <v>2830</v>
      </c>
      <c r="H45" s="1441" t="s">
        <v>2043</v>
      </c>
      <c r="I45" s="493" t="s">
        <v>3353</v>
      </c>
      <c r="J45" s="1479">
        <v>63119000</v>
      </c>
      <c r="K45" s="1191"/>
      <c r="O45" s="713" t="s">
        <v>3056</v>
      </c>
      <c r="Q45" s="1476">
        <v>3144821700</v>
      </c>
      <c r="R45" s="1477"/>
      <c r="S45" s="1478"/>
    </row>
    <row r="46" spans="3:19" s="458" customFormat="1" ht="12.6" customHeight="1">
      <c r="D46" s="508"/>
      <c r="E46" s="464" t="s">
        <v>3062</v>
      </c>
      <c r="H46" s="1476">
        <v>3149682205</v>
      </c>
      <c r="I46" s="1478"/>
      <c r="J46" s="1481">
        <v>158</v>
      </c>
      <c r="K46" s="723" t="s">
        <v>2833</v>
      </c>
      <c r="L46" s="1482"/>
      <c r="M46" s="1191"/>
      <c r="N46" s="466" t="s">
        <v>3061</v>
      </c>
      <c r="O46" s="1483" t="s">
        <v>4073</v>
      </c>
      <c r="P46" s="1484"/>
      <c r="Q46" s="1484"/>
      <c r="R46" s="1484"/>
      <c r="S46" s="1485"/>
    </row>
    <row r="47" spans="3:19" s="458" customFormat="1" ht="4.1500000000000004" customHeight="1">
      <c r="D47" s="508"/>
      <c r="E47" s="464"/>
      <c r="F47" s="461"/>
      <c r="H47" s="501"/>
      <c r="I47" s="501"/>
      <c r="J47" s="1491"/>
      <c r="K47" s="723"/>
      <c r="L47" s="501"/>
      <c r="M47" s="501"/>
      <c r="N47" s="723"/>
      <c r="O47" s="501"/>
      <c r="P47" s="501"/>
      <c r="Q47" s="723"/>
      <c r="R47" s="501"/>
      <c r="S47" s="501"/>
    </row>
    <row r="48" spans="3:19" s="458" customFormat="1" ht="13.15" customHeight="1">
      <c r="C48" s="512" t="s">
        <v>3822</v>
      </c>
      <c r="D48" s="506" t="s">
        <v>994</v>
      </c>
      <c r="H48" s="721"/>
      <c r="I48" s="721"/>
      <c r="J48" s="721"/>
      <c r="K48" s="721"/>
      <c r="L48" s="721"/>
      <c r="M48" s="721"/>
    </row>
    <row r="49" spans="1:19" s="458" customFormat="1" ht="4.1500000000000004" customHeight="1">
      <c r="D49" s="512"/>
      <c r="E49" s="511"/>
      <c r="H49" s="1488"/>
      <c r="I49" s="1488"/>
      <c r="J49" s="1488"/>
      <c r="K49" s="714"/>
      <c r="L49" s="1488"/>
      <c r="M49" s="1488"/>
      <c r="N49" s="714"/>
      <c r="O49" s="1489"/>
      <c r="P49" s="1489"/>
      <c r="Q49" s="723"/>
      <c r="R49" s="1489"/>
      <c r="S49" s="1489"/>
    </row>
    <row r="50" spans="1:19" s="458" customFormat="1" ht="12.6" customHeight="1">
      <c r="E50" s="458" t="s">
        <v>103</v>
      </c>
      <c r="H50" s="1444"/>
      <c r="I50" s="1190"/>
      <c r="J50" s="1190"/>
      <c r="K50" s="1190"/>
      <c r="L50" s="1190"/>
      <c r="M50" s="1190"/>
      <c r="N50" s="1191"/>
      <c r="O50" s="713" t="s">
        <v>3067</v>
      </c>
      <c r="P50" s="713"/>
      <c r="Q50" s="1444"/>
      <c r="R50" s="1190"/>
      <c r="S50" s="1191"/>
    </row>
    <row r="51" spans="1:19" s="458" customFormat="1" ht="12.6" customHeight="1">
      <c r="D51" s="508"/>
      <c r="E51" s="464" t="s">
        <v>1641</v>
      </c>
      <c r="F51" s="472"/>
      <c r="H51" s="1444"/>
      <c r="I51" s="1190"/>
      <c r="J51" s="1190"/>
      <c r="K51" s="1190"/>
      <c r="L51" s="1190"/>
      <c r="M51" s="1190"/>
      <c r="N51" s="1191"/>
      <c r="O51" s="713" t="s">
        <v>2775</v>
      </c>
      <c r="Q51" s="1444"/>
      <c r="R51" s="1190"/>
      <c r="S51" s="1191"/>
    </row>
    <row r="52" spans="1:19" s="458" customFormat="1" ht="12.6" customHeight="1">
      <c r="D52" s="508"/>
      <c r="E52" s="464" t="s">
        <v>953</v>
      </c>
      <c r="H52" s="1444"/>
      <c r="I52" s="1190"/>
      <c r="J52" s="1191"/>
      <c r="O52" s="713" t="s">
        <v>2834</v>
      </c>
      <c r="Q52" s="1476"/>
      <c r="R52" s="1477"/>
      <c r="S52" s="1478"/>
    </row>
    <row r="53" spans="1:19" s="458" customFormat="1" ht="12.6" customHeight="1">
      <c r="E53" s="464" t="s">
        <v>2830</v>
      </c>
      <c r="H53" s="1441"/>
      <c r="I53" s="493" t="s">
        <v>3353</v>
      </c>
      <c r="J53" s="1479"/>
      <c r="K53" s="1191"/>
      <c r="O53" s="713" t="s">
        <v>3056</v>
      </c>
      <c r="Q53" s="1476"/>
      <c r="R53" s="1477"/>
      <c r="S53" s="1478"/>
    </row>
    <row r="54" spans="1:19" s="458" customFormat="1" ht="12.6" customHeight="1">
      <c r="D54" s="508"/>
      <c r="E54" s="464" t="s">
        <v>3062</v>
      </c>
      <c r="H54" s="1476"/>
      <c r="I54" s="1478"/>
      <c r="J54" s="1481"/>
      <c r="K54" s="723" t="s">
        <v>2833</v>
      </c>
      <c r="L54" s="1482"/>
      <c r="M54" s="1191"/>
      <c r="N54" s="466" t="s">
        <v>3061</v>
      </c>
      <c r="O54" s="1483"/>
      <c r="P54" s="1484"/>
      <c r="Q54" s="1484"/>
      <c r="R54" s="1484"/>
      <c r="S54" s="1485"/>
    </row>
    <row r="55" spans="1:19" ht="13.15" customHeight="1"/>
    <row r="56" spans="1:19" s="458" customFormat="1" ht="13.15" customHeight="1">
      <c r="A56" s="461" t="s">
        <v>1229</v>
      </c>
      <c r="B56" s="461" t="s">
        <v>995</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8"/>
      <c r="I57" s="1488"/>
      <c r="J57" s="1488"/>
      <c r="K57" s="714"/>
      <c r="L57" s="1488"/>
      <c r="M57" s="1488"/>
      <c r="N57" s="714"/>
      <c r="O57" s="1489"/>
      <c r="P57" s="1489"/>
      <c r="Q57" s="723"/>
      <c r="R57" s="1489"/>
      <c r="S57" s="1489"/>
    </row>
    <row r="58" spans="1:19" s="458" customFormat="1" ht="13.15" customHeight="1">
      <c r="B58" s="461" t="s">
        <v>3060</v>
      </c>
      <c r="C58" s="461" t="s">
        <v>375</v>
      </c>
      <c r="H58" s="1444" t="s">
        <v>3936</v>
      </c>
      <c r="I58" s="1190"/>
      <c r="J58" s="1190"/>
      <c r="K58" s="1190"/>
      <c r="L58" s="1190"/>
      <c r="M58" s="1190"/>
      <c r="N58" s="1191"/>
      <c r="O58" s="713" t="s">
        <v>3067</v>
      </c>
      <c r="P58" s="713"/>
      <c r="Q58" s="1444" t="s">
        <v>3932</v>
      </c>
      <c r="R58" s="1190"/>
      <c r="S58" s="1191"/>
    </row>
    <row r="59" spans="1:19" s="458" customFormat="1" ht="13.15" customHeight="1">
      <c r="D59" s="508"/>
      <c r="E59" s="464" t="s">
        <v>1641</v>
      </c>
      <c r="F59" s="472"/>
      <c r="H59" s="1444" t="s">
        <v>3920</v>
      </c>
      <c r="I59" s="1190"/>
      <c r="J59" s="1190"/>
      <c r="K59" s="1190"/>
      <c r="L59" s="1190"/>
      <c r="M59" s="1190"/>
      <c r="N59" s="1191"/>
      <c r="O59" s="713" t="s">
        <v>2775</v>
      </c>
      <c r="Q59" s="1444" t="s">
        <v>3921</v>
      </c>
      <c r="R59" s="1190"/>
      <c r="S59" s="1191"/>
    </row>
    <row r="60" spans="1:19" s="458" customFormat="1" ht="13.15" customHeight="1">
      <c r="D60" s="508"/>
      <c r="E60" s="464" t="s">
        <v>953</v>
      </c>
      <c r="H60" s="1444" t="s">
        <v>1866</v>
      </c>
      <c r="I60" s="1190"/>
      <c r="J60" s="1191"/>
      <c r="O60" s="713" t="s">
        <v>2834</v>
      </c>
      <c r="Q60" s="1476">
        <v>4042241889</v>
      </c>
      <c r="R60" s="1477"/>
      <c r="S60" s="1478"/>
    </row>
    <row r="61" spans="1:19" s="458" customFormat="1" ht="13.15" customHeight="1">
      <c r="E61" s="464" t="s">
        <v>2830</v>
      </c>
      <c r="H61" s="1441" t="s">
        <v>1438</v>
      </c>
      <c r="I61" s="493" t="s">
        <v>3353</v>
      </c>
      <c r="J61" s="1479">
        <v>303032540</v>
      </c>
      <c r="K61" s="1191"/>
      <c r="O61" s="713" t="s">
        <v>3056</v>
      </c>
      <c r="Q61" s="1476">
        <v>4044490062</v>
      </c>
      <c r="R61" s="1477"/>
      <c r="S61" s="1478"/>
    </row>
    <row r="62" spans="1:19" s="458" customFormat="1" ht="13.15" customHeight="1">
      <c r="D62" s="508"/>
      <c r="E62" s="464" t="s">
        <v>3062</v>
      </c>
      <c r="H62" s="1476">
        <v>4042241860</v>
      </c>
      <c r="I62" s="1478"/>
      <c r="J62" s="1481"/>
      <c r="K62" s="723" t="s">
        <v>2833</v>
      </c>
      <c r="L62" s="1482">
        <v>4042241899</v>
      </c>
      <c r="M62" s="1191"/>
      <c r="N62" s="466" t="s">
        <v>3061</v>
      </c>
      <c r="O62" s="1483" t="s">
        <v>3922</v>
      </c>
      <c r="P62" s="1484"/>
      <c r="Q62" s="1484"/>
      <c r="R62" s="1484"/>
      <c r="S62" s="1485"/>
    </row>
    <row r="63" spans="1:19" s="458" customFormat="1" ht="6.6" customHeight="1">
      <c r="D63" s="508"/>
      <c r="E63" s="721"/>
      <c r="F63" s="721"/>
      <c r="G63" s="713"/>
      <c r="H63" s="1490"/>
      <c r="I63" s="1490"/>
      <c r="J63" s="1490"/>
      <c r="K63" s="723"/>
      <c r="L63" s="1490"/>
      <c r="M63" s="1490"/>
      <c r="N63" s="714"/>
      <c r="O63" s="1489"/>
      <c r="P63" s="1489"/>
      <c r="Q63" s="723"/>
      <c r="R63" s="1489"/>
      <c r="S63" s="1489"/>
    </row>
    <row r="64" spans="1:19" s="458" customFormat="1" ht="13.15" customHeight="1">
      <c r="B64" s="461" t="s">
        <v>3063</v>
      </c>
      <c r="C64" s="461" t="s">
        <v>376</v>
      </c>
      <c r="H64" s="1444" t="s">
        <v>3965</v>
      </c>
      <c r="I64" s="1190"/>
      <c r="J64" s="1190"/>
      <c r="K64" s="1190"/>
      <c r="L64" s="1190"/>
      <c r="M64" s="1190"/>
      <c r="N64" s="1191"/>
      <c r="O64" s="713" t="s">
        <v>3067</v>
      </c>
      <c r="P64" s="713"/>
      <c r="Q64" s="1444" t="s">
        <v>3937</v>
      </c>
      <c r="R64" s="1190"/>
      <c r="S64" s="1191"/>
    </row>
    <row r="65" spans="2:19" s="458" customFormat="1" ht="13.15" customHeight="1">
      <c r="D65" s="508"/>
      <c r="E65" s="464" t="s">
        <v>1641</v>
      </c>
      <c r="F65" s="472"/>
      <c r="H65" s="1444" t="s">
        <v>3940</v>
      </c>
      <c r="I65" s="1190"/>
      <c r="J65" s="1190"/>
      <c r="K65" s="1190"/>
      <c r="L65" s="1190"/>
      <c r="M65" s="1190"/>
      <c r="N65" s="1191"/>
      <c r="O65" s="713" t="s">
        <v>2775</v>
      </c>
      <c r="Q65" s="1444" t="s">
        <v>3938</v>
      </c>
      <c r="R65" s="1190"/>
      <c r="S65" s="1191"/>
    </row>
    <row r="66" spans="2:19" s="458" customFormat="1" ht="13.15" customHeight="1">
      <c r="D66" s="508"/>
      <c r="E66" s="464" t="s">
        <v>953</v>
      </c>
      <c r="H66" s="1444" t="s">
        <v>1866</v>
      </c>
      <c r="I66" s="1190"/>
      <c r="J66" s="1191"/>
      <c r="O66" s="713" t="s">
        <v>2834</v>
      </c>
      <c r="Q66" s="1476">
        <v>4048177201</v>
      </c>
      <c r="R66" s="1477"/>
      <c r="S66" s="1478"/>
    </row>
    <row r="67" spans="2:19" s="458" customFormat="1" ht="13.15" customHeight="1">
      <c r="E67" s="464" t="s">
        <v>2830</v>
      </c>
      <c r="H67" s="1441" t="s">
        <v>1438</v>
      </c>
      <c r="I67" s="493" t="s">
        <v>3353</v>
      </c>
      <c r="J67" s="1479">
        <v>303030000</v>
      </c>
      <c r="K67" s="1191"/>
      <c r="O67" s="713" t="s">
        <v>3056</v>
      </c>
      <c r="Q67" s="1476"/>
      <c r="R67" s="1477"/>
      <c r="S67" s="1478"/>
    </row>
    <row r="68" spans="2:19" s="458" customFormat="1" ht="13.15" customHeight="1">
      <c r="D68" s="508"/>
      <c r="E68" s="464" t="s">
        <v>3062</v>
      </c>
      <c r="H68" s="1476">
        <v>4048924700</v>
      </c>
      <c r="I68" s="1478"/>
      <c r="J68" s="1481"/>
      <c r="K68" s="723" t="s">
        <v>2833</v>
      </c>
      <c r="L68" s="1482">
        <v>4043320100</v>
      </c>
      <c r="M68" s="1191"/>
      <c r="N68" s="466" t="s">
        <v>3061</v>
      </c>
      <c r="O68" s="1483" t="s">
        <v>3939</v>
      </c>
      <c r="P68" s="1484"/>
      <c r="Q68" s="1484"/>
      <c r="R68" s="1484"/>
      <c r="S68" s="1485"/>
    </row>
    <row r="69" spans="2:19" s="458" customFormat="1" ht="6.6" customHeight="1">
      <c r="D69" s="508"/>
      <c r="E69" s="721"/>
      <c r="F69" s="721"/>
      <c r="G69" s="713"/>
      <c r="H69" s="1490"/>
      <c r="I69" s="1490"/>
      <c r="J69" s="1490"/>
      <c r="K69" s="723"/>
      <c r="L69" s="1490"/>
      <c r="M69" s="1490"/>
      <c r="N69" s="714"/>
      <c r="O69" s="1489"/>
      <c r="P69" s="1489"/>
      <c r="Q69" s="723"/>
      <c r="R69" s="1489"/>
      <c r="S69" s="1489"/>
    </row>
    <row r="70" spans="2:19" s="458" customFormat="1" ht="13.15" customHeight="1">
      <c r="B70" s="461" t="s">
        <v>1238</v>
      </c>
      <c r="C70" s="461" t="s">
        <v>2279</v>
      </c>
      <c r="H70" s="1444"/>
      <c r="I70" s="1190"/>
      <c r="J70" s="1190"/>
      <c r="K70" s="1190"/>
      <c r="L70" s="1190"/>
      <c r="M70" s="1190"/>
      <c r="N70" s="1191"/>
      <c r="O70" s="713" t="s">
        <v>3067</v>
      </c>
      <c r="P70" s="713"/>
      <c r="Q70" s="1444"/>
      <c r="R70" s="1190"/>
      <c r="S70" s="1191"/>
    </row>
    <row r="71" spans="2:19" s="458" customFormat="1" ht="13.15" customHeight="1">
      <c r="D71" s="508"/>
      <c r="E71" s="464" t="s">
        <v>1641</v>
      </c>
      <c r="F71" s="472"/>
      <c r="H71" s="1444"/>
      <c r="I71" s="1190"/>
      <c r="J71" s="1190"/>
      <c r="K71" s="1190"/>
      <c r="L71" s="1190"/>
      <c r="M71" s="1190"/>
      <c r="N71" s="1191"/>
      <c r="O71" s="713" t="s">
        <v>2775</v>
      </c>
      <c r="Q71" s="1444"/>
      <c r="R71" s="1190"/>
      <c r="S71" s="1191"/>
    </row>
    <row r="72" spans="2:19" s="458" customFormat="1" ht="13.15" customHeight="1">
      <c r="D72" s="508"/>
      <c r="E72" s="464" t="s">
        <v>953</v>
      </c>
      <c r="H72" s="1444"/>
      <c r="I72" s="1190"/>
      <c r="J72" s="1191"/>
      <c r="O72" s="713" t="s">
        <v>2834</v>
      </c>
      <c r="Q72" s="1476"/>
      <c r="R72" s="1477"/>
      <c r="S72" s="1478"/>
    </row>
    <row r="73" spans="2:19" s="458" customFormat="1" ht="13.15" customHeight="1">
      <c r="E73" s="464" t="s">
        <v>2830</v>
      </c>
      <c r="H73" s="1441"/>
      <c r="I73" s="493" t="s">
        <v>3353</v>
      </c>
      <c r="J73" s="1479"/>
      <c r="K73" s="1191"/>
      <c r="O73" s="713" t="s">
        <v>3056</v>
      </c>
      <c r="Q73" s="1476"/>
      <c r="R73" s="1477"/>
      <c r="S73" s="1478"/>
    </row>
    <row r="74" spans="2:19" s="458" customFormat="1" ht="13.15" customHeight="1">
      <c r="D74" s="508"/>
      <c r="E74" s="464" t="s">
        <v>3062</v>
      </c>
      <c r="H74" s="1476"/>
      <c r="I74" s="1478"/>
      <c r="J74" s="1481"/>
      <c r="K74" s="723" t="s">
        <v>2833</v>
      </c>
      <c r="L74" s="1482"/>
      <c r="M74" s="1191"/>
      <c r="N74" s="466" t="s">
        <v>3061</v>
      </c>
      <c r="O74" s="1483"/>
      <c r="P74" s="1484"/>
      <c r="Q74" s="1484"/>
      <c r="R74" s="1484"/>
      <c r="S74" s="1485"/>
    </row>
    <row r="75" spans="2:19" ht="6.6" customHeight="1">
      <c r="H75" s="1490"/>
      <c r="I75" s="1490"/>
      <c r="J75" s="1490"/>
      <c r="K75" s="723"/>
      <c r="L75" s="1490"/>
      <c r="M75" s="1490"/>
      <c r="N75" s="714"/>
      <c r="O75" s="1489"/>
      <c r="P75" s="1489"/>
      <c r="Q75" s="723"/>
      <c r="R75" s="1489"/>
      <c r="S75" s="1489"/>
    </row>
    <row r="76" spans="2:19" s="458" customFormat="1" ht="13.15" customHeight="1">
      <c r="B76" s="461" t="s">
        <v>3212</v>
      </c>
      <c r="C76" s="461" t="s">
        <v>377</v>
      </c>
      <c r="H76" s="1444"/>
      <c r="I76" s="1190"/>
      <c r="J76" s="1190"/>
      <c r="K76" s="1190"/>
      <c r="L76" s="1190"/>
      <c r="M76" s="1190"/>
      <c r="N76" s="1191"/>
      <c r="O76" s="713" t="s">
        <v>3067</v>
      </c>
      <c r="P76" s="713"/>
      <c r="Q76" s="1444"/>
      <c r="R76" s="1190"/>
      <c r="S76" s="1191"/>
    </row>
    <row r="77" spans="2:19" s="458" customFormat="1" ht="13.15" customHeight="1">
      <c r="D77" s="508"/>
      <c r="E77" s="464" t="s">
        <v>1641</v>
      </c>
      <c r="F77" s="472"/>
      <c r="H77" s="1444"/>
      <c r="I77" s="1190"/>
      <c r="J77" s="1190"/>
      <c r="K77" s="1190"/>
      <c r="L77" s="1190"/>
      <c r="M77" s="1190"/>
      <c r="N77" s="1191"/>
      <c r="O77" s="713" t="s">
        <v>2775</v>
      </c>
      <c r="Q77" s="1444"/>
      <c r="R77" s="1190"/>
      <c r="S77" s="1191"/>
    </row>
    <row r="78" spans="2:19" s="458" customFormat="1" ht="13.15" customHeight="1">
      <c r="D78" s="508"/>
      <c r="E78" s="464" t="s">
        <v>953</v>
      </c>
      <c r="H78" s="1444"/>
      <c r="I78" s="1190"/>
      <c r="J78" s="1191"/>
      <c r="O78" s="713" t="s">
        <v>2834</v>
      </c>
      <c r="Q78" s="1476"/>
      <c r="R78" s="1477"/>
      <c r="S78" s="1478"/>
    </row>
    <row r="79" spans="2:19" s="458" customFormat="1" ht="13.15" customHeight="1">
      <c r="E79" s="464" t="s">
        <v>2830</v>
      </c>
      <c r="H79" s="1441"/>
      <c r="I79" s="493" t="s">
        <v>3353</v>
      </c>
      <c r="J79" s="1479"/>
      <c r="K79" s="1191"/>
      <c r="O79" s="713" t="s">
        <v>3056</v>
      </c>
      <c r="Q79" s="1476"/>
      <c r="R79" s="1477"/>
      <c r="S79" s="1478"/>
    </row>
    <row r="80" spans="2:19" s="458" customFormat="1" ht="13.15" customHeight="1">
      <c r="D80" s="508"/>
      <c r="E80" s="464" t="s">
        <v>3062</v>
      </c>
      <c r="H80" s="1476"/>
      <c r="I80" s="1478"/>
      <c r="J80" s="1481"/>
      <c r="K80" s="723" t="s">
        <v>2833</v>
      </c>
      <c r="L80" s="1482"/>
      <c r="M80" s="1191"/>
      <c r="N80" s="466" t="s">
        <v>3061</v>
      </c>
      <c r="O80" s="1483"/>
      <c r="P80" s="1484"/>
      <c r="Q80" s="1484"/>
      <c r="R80" s="1484"/>
      <c r="S80" s="1485"/>
    </row>
    <row r="81" spans="1:19" ht="13.15" customHeight="1"/>
    <row r="82" spans="1:19" s="464" customFormat="1" ht="13.15" customHeight="1">
      <c r="A82" s="465" t="s">
        <v>1231</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8"/>
      <c r="I83" s="1488"/>
      <c r="J83" s="1488"/>
      <c r="K83" s="714"/>
      <c r="L83" s="1488"/>
      <c r="M83" s="1488"/>
      <c r="N83" s="714"/>
      <c r="O83" s="1489"/>
      <c r="P83" s="1489"/>
      <c r="Q83" s="723"/>
      <c r="R83" s="1489"/>
      <c r="S83" s="1489"/>
    </row>
    <row r="84" spans="1:19" s="458" customFormat="1" ht="13.15" customHeight="1">
      <c r="B84" s="461" t="s">
        <v>3060</v>
      </c>
      <c r="C84" s="461" t="s">
        <v>379</v>
      </c>
      <c r="H84" s="1444"/>
      <c r="I84" s="1190"/>
      <c r="J84" s="1190"/>
      <c r="K84" s="1190"/>
      <c r="L84" s="1190"/>
      <c r="M84" s="1190"/>
      <c r="N84" s="1191"/>
      <c r="O84" s="713" t="s">
        <v>3067</v>
      </c>
      <c r="P84" s="713"/>
      <c r="Q84" s="1444"/>
      <c r="R84" s="1190"/>
      <c r="S84" s="1191"/>
    </row>
    <row r="85" spans="1:19" s="458" customFormat="1" ht="13.15" customHeight="1">
      <c r="D85" s="508"/>
      <c r="E85" s="464" t="s">
        <v>1641</v>
      </c>
      <c r="F85" s="472"/>
      <c r="H85" s="1444"/>
      <c r="I85" s="1190"/>
      <c r="J85" s="1190"/>
      <c r="K85" s="1190"/>
      <c r="L85" s="1190"/>
      <c r="M85" s="1190"/>
      <c r="N85" s="1191"/>
      <c r="O85" s="713" t="s">
        <v>2775</v>
      </c>
      <c r="Q85" s="1444"/>
      <c r="R85" s="1190"/>
      <c r="S85" s="1191"/>
    </row>
    <row r="86" spans="1:19" s="458" customFormat="1" ht="13.15" customHeight="1">
      <c r="D86" s="508"/>
      <c r="E86" s="464" t="s">
        <v>953</v>
      </c>
      <c r="H86" s="1444"/>
      <c r="I86" s="1190"/>
      <c r="J86" s="1191"/>
      <c r="O86" s="713" t="s">
        <v>2834</v>
      </c>
      <c r="Q86" s="1476"/>
      <c r="R86" s="1477"/>
      <c r="S86" s="1478"/>
    </row>
    <row r="87" spans="1:19" s="458" customFormat="1" ht="13.15" customHeight="1">
      <c r="E87" s="464" t="s">
        <v>2830</v>
      </c>
      <c r="H87" s="1441"/>
      <c r="I87" s="493" t="s">
        <v>3353</v>
      </c>
      <c r="J87" s="1479"/>
      <c r="K87" s="1191"/>
      <c r="O87" s="713" t="s">
        <v>3056</v>
      </c>
      <c r="Q87" s="1476"/>
      <c r="R87" s="1477"/>
      <c r="S87" s="1478"/>
    </row>
    <row r="88" spans="1:19" s="458" customFormat="1" ht="13.15" customHeight="1">
      <c r="D88" s="508"/>
      <c r="E88" s="464" t="s">
        <v>3062</v>
      </c>
      <c r="H88" s="1476"/>
      <c r="I88" s="1478"/>
      <c r="J88" s="1481"/>
      <c r="K88" s="723" t="s">
        <v>2833</v>
      </c>
      <c r="L88" s="1482"/>
      <c r="M88" s="1191"/>
      <c r="N88" s="466" t="s">
        <v>3061</v>
      </c>
      <c r="O88" s="1483"/>
      <c r="P88" s="1484"/>
      <c r="Q88" s="1484"/>
      <c r="R88" s="1484"/>
      <c r="S88" s="1485"/>
    </row>
    <row r="89" spans="1:19" ht="6.6" customHeight="1">
      <c r="H89" s="1490"/>
      <c r="I89" s="1490"/>
      <c r="J89" s="1490"/>
      <c r="K89" s="723"/>
      <c r="L89" s="1490"/>
      <c r="M89" s="1490"/>
      <c r="N89" s="714"/>
      <c r="O89" s="1489"/>
      <c r="P89" s="1489"/>
      <c r="Q89" s="723"/>
      <c r="R89" s="1489"/>
      <c r="S89" s="1489"/>
    </row>
    <row r="90" spans="1:19" s="458" customFormat="1" ht="13.15" customHeight="1">
      <c r="B90" s="461" t="s">
        <v>3063</v>
      </c>
      <c r="C90" s="461" t="s">
        <v>380</v>
      </c>
      <c r="H90" s="1444" t="s">
        <v>3968</v>
      </c>
      <c r="I90" s="1190"/>
      <c r="J90" s="1190"/>
      <c r="K90" s="1190"/>
      <c r="L90" s="1190"/>
      <c r="M90" s="1190"/>
      <c r="N90" s="1191"/>
      <c r="O90" s="713" t="s">
        <v>3067</v>
      </c>
      <c r="P90" s="713"/>
      <c r="Q90" s="1444" t="s">
        <v>3942</v>
      </c>
      <c r="R90" s="1190"/>
      <c r="S90" s="1191"/>
    </row>
    <row r="91" spans="1:19" s="458" customFormat="1" ht="13.15" customHeight="1">
      <c r="D91" s="508"/>
      <c r="E91" s="464" t="s">
        <v>1641</v>
      </c>
      <c r="F91" s="472"/>
      <c r="H91" s="1444" t="s">
        <v>3941</v>
      </c>
      <c r="I91" s="1190"/>
      <c r="J91" s="1190"/>
      <c r="K91" s="1190"/>
      <c r="L91" s="1190"/>
      <c r="M91" s="1190"/>
      <c r="N91" s="1191"/>
      <c r="O91" s="713" t="s">
        <v>2775</v>
      </c>
      <c r="Q91" s="1444" t="s">
        <v>3943</v>
      </c>
      <c r="R91" s="1190"/>
      <c r="S91" s="1191"/>
    </row>
    <row r="92" spans="1:19" s="458" customFormat="1" ht="13.15" customHeight="1">
      <c r="D92" s="508"/>
      <c r="E92" s="464" t="s">
        <v>953</v>
      </c>
      <c r="H92" s="1444" t="s">
        <v>1866</v>
      </c>
      <c r="I92" s="1190"/>
      <c r="J92" s="1191"/>
      <c r="O92" s="713" t="s">
        <v>2834</v>
      </c>
      <c r="Q92" s="1476">
        <v>4042241871</v>
      </c>
      <c r="R92" s="1477"/>
      <c r="S92" s="1478"/>
    </row>
    <row r="93" spans="1:19" s="458" customFormat="1" ht="13.15" customHeight="1">
      <c r="E93" s="464" t="s">
        <v>2830</v>
      </c>
      <c r="H93" s="1441" t="s">
        <v>1438</v>
      </c>
      <c r="I93" s="493" t="s">
        <v>3353</v>
      </c>
      <c r="J93" s="1479">
        <v>303030000</v>
      </c>
      <c r="K93" s="1191"/>
      <c r="O93" s="713" t="s">
        <v>3056</v>
      </c>
      <c r="Q93" s="1476"/>
      <c r="R93" s="1477"/>
      <c r="S93" s="1478"/>
    </row>
    <row r="94" spans="1:19" s="458" customFormat="1" ht="13.15" customHeight="1">
      <c r="D94" s="508"/>
      <c r="E94" s="464" t="s">
        <v>3062</v>
      </c>
      <c r="H94" s="1476">
        <v>4042241870</v>
      </c>
      <c r="I94" s="1478"/>
      <c r="J94" s="1481"/>
      <c r="K94" s="723" t="s">
        <v>2833</v>
      </c>
      <c r="L94" s="1482">
        <v>4042245177</v>
      </c>
      <c r="M94" s="1191"/>
      <c r="N94" s="466" t="s">
        <v>3061</v>
      </c>
      <c r="O94" s="1483" t="s">
        <v>3944</v>
      </c>
      <c r="P94" s="1484"/>
      <c r="Q94" s="1484"/>
      <c r="R94" s="1484"/>
      <c r="S94" s="1485"/>
    </row>
    <row r="95" spans="1:19" ht="6.6" customHeight="1">
      <c r="H95" s="1490"/>
      <c r="I95" s="1490"/>
      <c r="J95" s="1490"/>
      <c r="K95" s="723"/>
      <c r="L95" s="1490"/>
      <c r="M95" s="1490"/>
      <c r="N95" s="714"/>
      <c r="O95" s="1489"/>
      <c r="P95" s="1489"/>
      <c r="Q95" s="723"/>
      <c r="R95" s="1489"/>
      <c r="S95" s="1489"/>
    </row>
    <row r="96" spans="1:19" s="458" customFormat="1" ht="13.15" customHeight="1">
      <c r="B96" s="461" t="s">
        <v>1238</v>
      </c>
      <c r="C96" s="461" t="s">
        <v>381</v>
      </c>
      <c r="F96" s="482"/>
      <c r="H96" s="1444" t="s">
        <v>3967</v>
      </c>
      <c r="I96" s="1190"/>
      <c r="J96" s="1190"/>
      <c r="K96" s="1190"/>
      <c r="L96" s="1190"/>
      <c r="M96" s="1190"/>
      <c r="N96" s="1191"/>
      <c r="O96" s="713" t="s">
        <v>3067</v>
      </c>
      <c r="P96" s="713"/>
      <c r="Q96" s="1444" t="s">
        <v>3945</v>
      </c>
      <c r="R96" s="1190"/>
      <c r="S96" s="1191"/>
    </row>
    <row r="97" spans="2:19" s="458" customFormat="1" ht="13.15" customHeight="1">
      <c r="D97" s="508"/>
      <c r="E97" s="464" t="s">
        <v>1641</v>
      </c>
      <c r="F97" s="472"/>
      <c r="H97" s="1444" t="s">
        <v>3941</v>
      </c>
      <c r="I97" s="1190"/>
      <c r="J97" s="1190"/>
      <c r="K97" s="1190"/>
      <c r="L97" s="1190"/>
      <c r="M97" s="1190"/>
      <c r="N97" s="1191"/>
      <c r="O97" s="713" t="s">
        <v>2775</v>
      </c>
      <c r="Q97" s="1444" t="s">
        <v>3946</v>
      </c>
      <c r="R97" s="1190"/>
      <c r="S97" s="1191"/>
    </row>
    <row r="98" spans="2:19" s="458" customFormat="1" ht="13.15" customHeight="1">
      <c r="D98" s="508"/>
      <c r="E98" s="464" t="s">
        <v>953</v>
      </c>
      <c r="H98" s="1444" t="s">
        <v>1866</v>
      </c>
      <c r="I98" s="1190"/>
      <c r="J98" s="1191"/>
      <c r="O98" s="713" t="s">
        <v>2834</v>
      </c>
      <c r="Q98" s="1476">
        <v>4045261882</v>
      </c>
      <c r="R98" s="1477"/>
      <c r="S98" s="1478"/>
    </row>
    <row r="99" spans="2:19" s="458" customFormat="1" ht="13.15" customHeight="1">
      <c r="D99" s="508"/>
      <c r="E99" s="464" t="s">
        <v>2830</v>
      </c>
      <c r="H99" s="1441" t="s">
        <v>1438</v>
      </c>
      <c r="I99" s="493" t="s">
        <v>3353</v>
      </c>
      <c r="J99" s="1479">
        <v>303030000</v>
      </c>
      <c r="K99" s="1191"/>
      <c r="O99" s="713" t="s">
        <v>3056</v>
      </c>
      <c r="Q99" s="1476"/>
      <c r="R99" s="1477"/>
      <c r="S99" s="1478"/>
    </row>
    <row r="100" spans="2:19" s="458" customFormat="1" ht="13.15" customHeight="1">
      <c r="D100" s="508"/>
      <c r="E100" s="464" t="s">
        <v>3062</v>
      </c>
      <c r="H100" s="1476">
        <v>4042230588</v>
      </c>
      <c r="I100" s="1478"/>
      <c r="J100" s="1481"/>
      <c r="K100" s="723" t="s">
        <v>2833</v>
      </c>
      <c r="L100" s="1482">
        <v>4042233201</v>
      </c>
      <c r="M100" s="1191"/>
      <c r="N100" s="466" t="s">
        <v>3061</v>
      </c>
      <c r="O100" s="1483" t="s">
        <v>3947</v>
      </c>
      <c r="P100" s="1484"/>
      <c r="Q100" s="1484"/>
      <c r="R100" s="1484"/>
      <c r="S100" s="1485"/>
    </row>
    <row r="101" spans="2:19" ht="6.6" customHeight="1">
      <c r="H101" s="1490"/>
      <c r="I101" s="1490"/>
      <c r="J101" s="1490"/>
      <c r="K101" s="723"/>
      <c r="L101" s="1490"/>
      <c r="M101" s="1490"/>
      <c r="N101" s="714"/>
      <c r="O101" s="1489"/>
      <c r="P101" s="1489"/>
      <c r="Q101" s="723"/>
      <c r="R101" s="1489"/>
      <c r="S101" s="1489"/>
    </row>
    <row r="102" spans="2:19" s="458" customFormat="1" ht="13.15" customHeight="1">
      <c r="B102" s="461" t="s">
        <v>3212</v>
      </c>
      <c r="C102" s="461" t="s">
        <v>382</v>
      </c>
      <c r="H102" s="1444" t="s">
        <v>3948</v>
      </c>
      <c r="I102" s="1190"/>
      <c r="J102" s="1190"/>
      <c r="K102" s="1190"/>
      <c r="L102" s="1190"/>
      <c r="M102" s="1190"/>
      <c r="N102" s="1191"/>
      <c r="O102" s="713" t="s">
        <v>3067</v>
      </c>
      <c r="P102" s="713"/>
      <c r="Q102" s="1444" t="s">
        <v>3950</v>
      </c>
      <c r="R102" s="1190"/>
      <c r="S102" s="1191"/>
    </row>
    <row r="103" spans="2:19" s="458" customFormat="1" ht="13.15" customHeight="1">
      <c r="D103" s="508"/>
      <c r="E103" s="464" t="s">
        <v>1641</v>
      </c>
      <c r="F103" s="472"/>
      <c r="H103" s="1444" t="s">
        <v>3949</v>
      </c>
      <c r="I103" s="1190"/>
      <c r="J103" s="1190"/>
      <c r="K103" s="1190"/>
      <c r="L103" s="1190"/>
      <c r="M103" s="1190"/>
      <c r="N103" s="1191"/>
      <c r="O103" s="713" t="s">
        <v>2775</v>
      </c>
      <c r="Q103" s="1444" t="s">
        <v>3951</v>
      </c>
      <c r="R103" s="1190"/>
      <c r="S103" s="1191"/>
    </row>
    <row r="104" spans="2:19" s="458" customFormat="1" ht="13.15" customHeight="1">
      <c r="D104" s="508"/>
      <c r="E104" s="464" t="s">
        <v>953</v>
      </c>
      <c r="H104" s="1444" t="s">
        <v>1866</v>
      </c>
      <c r="I104" s="1190"/>
      <c r="J104" s="1191"/>
      <c r="O104" s="713" t="s">
        <v>2834</v>
      </c>
      <c r="Q104" s="1476">
        <v>4048738656</v>
      </c>
      <c r="R104" s="1477"/>
      <c r="S104" s="1478"/>
    </row>
    <row r="105" spans="2:19" s="458" customFormat="1" ht="13.15" customHeight="1">
      <c r="D105" s="508"/>
      <c r="E105" s="464" t="s">
        <v>2830</v>
      </c>
      <c r="H105" s="1441" t="s">
        <v>1438</v>
      </c>
      <c r="I105" s="493" t="s">
        <v>3353</v>
      </c>
      <c r="J105" s="1479">
        <v>303630000</v>
      </c>
      <c r="K105" s="1191"/>
      <c r="O105" s="713" t="s">
        <v>3056</v>
      </c>
      <c r="Q105" s="1476"/>
      <c r="R105" s="1477"/>
      <c r="S105" s="1478"/>
    </row>
    <row r="106" spans="2:19" ht="13.15" customHeight="1">
      <c r="E106" s="464" t="s">
        <v>3062</v>
      </c>
      <c r="F106" s="458"/>
      <c r="G106" s="458"/>
      <c r="H106" s="1476">
        <v>4048738500</v>
      </c>
      <c r="I106" s="1478"/>
      <c r="J106" s="1481"/>
      <c r="K106" s="723" t="s">
        <v>2833</v>
      </c>
      <c r="L106" s="1482">
        <v>4048738657</v>
      </c>
      <c r="M106" s="1191"/>
      <c r="N106" s="466" t="s">
        <v>3061</v>
      </c>
      <c r="O106" s="1483" t="s">
        <v>3952</v>
      </c>
      <c r="P106" s="1484"/>
      <c r="Q106" s="1484"/>
      <c r="R106" s="1484"/>
      <c r="S106" s="1485"/>
    </row>
    <row r="107" spans="2:19" ht="6" customHeight="1">
      <c r="E107" s="464"/>
      <c r="F107" s="458"/>
      <c r="G107" s="458"/>
      <c r="H107" s="458"/>
      <c r="I107" s="458"/>
      <c r="J107" s="458"/>
      <c r="K107" s="458"/>
      <c r="L107" s="458"/>
      <c r="M107" s="458"/>
      <c r="N107" s="458"/>
      <c r="O107" s="458"/>
      <c r="P107" s="458"/>
      <c r="Q107" s="723"/>
      <c r="R107" s="723"/>
      <c r="S107" s="1492"/>
    </row>
    <row r="108" spans="2:19" ht="0.6" customHeight="1">
      <c r="E108" s="464"/>
      <c r="F108" s="458"/>
      <c r="G108" s="721"/>
      <c r="H108" s="1488"/>
      <c r="I108" s="1488"/>
      <c r="J108" s="1488"/>
      <c r="K108" s="714"/>
      <c r="L108" s="1488"/>
      <c r="M108" s="1488"/>
      <c r="N108" s="714"/>
      <c r="O108" s="1489"/>
      <c r="P108" s="1489"/>
      <c r="Q108" s="723"/>
      <c r="R108" s="1489"/>
      <c r="S108" s="1489"/>
    </row>
    <row r="109" spans="2:19" s="458" customFormat="1" ht="13.15" customHeight="1">
      <c r="B109" s="461" t="s">
        <v>2762</v>
      </c>
      <c r="C109" s="461" t="s">
        <v>383</v>
      </c>
      <c r="H109" s="1444" t="s">
        <v>3994</v>
      </c>
      <c r="I109" s="1190"/>
      <c r="J109" s="1190"/>
      <c r="K109" s="1190"/>
      <c r="L109" s="1190"/>
      <c r="M109" s="1190"/>
      <c r="N109" s="1191"/>
      <c r="O109" s="713" t="s">
        <v>3067</v>
      </c>
      <c r="P109" s="713"/>
      <c r="Q109" s="1444" t="s">
        <v>3995</v>
      </c>
      <c r="R109" s="1190"/>
      <c r="S109" s="1191"/>
    </row>
    <row r="110" spans="2:19" s="458" customFormat="1" ht="13.15" customHeight="1">
      <c r="D110" s="508"/>
      <c r="E110" s="464" t="s">
        <v>1641</v>
      </c>
      <c r="F110" s="472"/>
      <c r="H110" s="1444" t="s">
        <v>3949</v>
      </c>
      <c r="I110" s="1190"/>
      <c r="J110" s="1190"/>
      <c r="K110" s="1190"/>
      <c r="L110" s="1190"/>
      <c r="M110" s="1190"/>
      <c r="N110" s="1191"/>
      <c r="O110" s="713" t="s">
        <v>2775</v>
      </c>
      <c r="Q110" s="1444" t="s">
        <v>3996</v>
      </c>
      <c r="R110" s="1190"/>
      <c r="S110" s="1191"/>
    </row>
    <row r="111" spans="2:19" s="458" customFormat="1" ht="13.15" customHeight="1">
      <c r="D111" s="508"/>
      <c r="E111" s="464" t="s">
        <v>953</v>
      </c>
      <c r="H111" s="1444" t="s">
        <v>1866</v>
      </c>
      <c r="I111" s="1190"/>
      <c r="J111" s="1191"/>
      <c r="O111" s="713" t="s">
        <v>2834</v>
      </c>
      <c r="Q111" s="1476">
        <v>7703537115</v>
      </c>
      <c r="R111" s="1477"/>
      <c r="S111" s="1478"/>
    </row>
    <row r="112" spans="2:19" s="458" customFormat="1" ht="13.15" customHeight="1">
      <c r="D112" s="508"/>
      <c r="E112" s="464" t="s">
        <v>2830</v>
      </c>
      <c r="H112" s="1441" t="s">
        <v>1438</v>
      </c>
      <c r="I112" s="493" t="s">
        <v>3353</v>
      </c>
      <c r="J112" s="1479">
        <v>303630000</v>
      </c>
      <c r="K112" s="1191"/>
      <c r="O112" s="713" t="s">
        <v>3056</v>
      </c>
      <c r="Q112" s="1476"/>
      <c r="R112" s="1477"/>
      <c r="S112" s="1478"/>
    </row>
    <row r="113" spans="1:19" ht="13.15" customHeight="1">
      <c r="E113" s="464" t="s">
        <v>3062</v>
      </c>
      <c r="F113" s="458"/>
      <c r="G113" s="458"/>
      <c r="H113" s="1476">
        <v>4048929651</v>
      </c>
      <c r="I113" s="1478"/>
      <c r="J113" s="1481"/>
      <c r="K113" s="723" t="s">
        <v>2833</v>
      </c>
      <c r="L113" s="1482">
        <v>7703513271</v>
      </c>
      <c r="M113" s="1191"/>
      <c r="N113" s="466" t="s">
        <v>3061</v>
      </c>
      <c r="O113" s="1483" t="s">
        <v>3997</v>
      </c>
      <c r="P113" s="1484"/>
      <c r="Q113" s="1484"/>
      <c r="R113" s="1484"/>
      <c r="S113" s="1485"/>
    </row>
    <row r="114" spans="1:19" ht="6.6" customHeight="1">
      <c r="E114" s="464"/>
      <c r="F114" s="458"/>
      <c r="G114" s="721"/>
      <c r="H114" s="1490"/>
      <c r="I114" s="1490"/>
      <c r="J114" s="1490"/>
      <c r="K114" s="723"/>
      <c r="L114" s="1490"/>
      <c r="M114" s="1490"/>
      <c r="N114" s="714"/>
      <c r="O114" s="1489"/>
      <c r="P114" s="1489"/>
      <c r="Q114" s="723"/>
      <c r="R114" s="1489"/>
      <c r="S114" s="1489"/>
    </row>
    <row r="115" spans="1:19" s="458" customFormat="1" ht="13.15" customHeight="1">
      <c r="B115" s="461" t="s">
        <v>2763</v>
      </c>
      <c r="C115" s="461" t="s">
        <v>384</v>
      </c>
      <c r="H115" s="1444" t="s">
        <v>4064</v>
      </c>
      <c r="I115" s="1190"/>
      <c r="J115" s="1190"/>
      <c r="K115" s="1190"/>
      <c r="L115" s="1190"/>
      <c r="M115" s="1190"/>
      <c r="N115" s="1191"/>
      <c r="O115" s="713" t="s">
        <v>3067</v>
      </c>
      <c r="P115" s="713"/>
      <c r="Q115" s="1444" t="s">
        <v>4009</v>
      </c>
      <c r="R115" s="1190"/>
      <c r="S115" s="1191"/>
    </row>
    <row r="116" spans="1:19" s="458" customFormat="1" ht="13.15" customHeight="1">
      <c r="D116" s="508"/>
      <c r="E116" s="464" t="s">
        <v>1641</v>
      </c>
      <c r="F116" s="472"/>
      <c r="H116" s="1444" t="s">
        <v>4008</v>
      </c>
      <c r="I116" s="1190"/>
      <c r="J116" s="1190"/>
      <c r="K116" s="1190"/>
      <c r="L116" s="1190"/>
      <c r="M116" s="1190"/>
      <c r="N116" s="1191"/>
      <c r="O116" s="713" t="s">
        <v>2775</v>
      </c>
      <c r="Q116" s="1444" t="s">
        <v>3746</v>
      </c>
      <c r="R116" s="1190"/>
      <c r="S116" s="1191"/>
    </row>
    <row r="117" spans="1:19" s="458" customFormat="1" ht="13.15" customHeight="1">
      <c r="D117" s="508"/>
      <c r="E117" s="464" t="s">
        <v>953</v>
      </c>
      <c r="H117" s="1444" t="s">
        <v>1866</v>
      </c>
      <c r="I117" s="1190"/>
      <c r="J117" s="1191"/>
      <c r="O117" s="713" t="s">
        <v>2834</v>
      </c>
      <c r="Q117" s="1476">
        <v>4042281958</v>
      </c>
      <c r="R117" s="1477"/>
      <c r="S117" s="1478"/>
    </row>
    <row r="118" spans="1:19" s="458" customFormat="1" ht="13.15" customHeight="1">
      <c r="D118" s="513"/>
      <c r="E118" s="464" t="s">
        <v>2830</v>
      </c>
      <c r="H118" s="1441" t="s">
        <v>1438</v>
      </c>
      <c r="I118" s="493" t="s">
        <v>3353</v>
      </c>
      <c r="J118" s="1479">
        <v>303180000</v>
      </c>
      <c r="K118" s="1191"/>
      <c r="O118" s="713" t="s">
        <v>3056</v>
      </c>
      <c r="Q118" s="1476"/>
      <c r="R118" s="1477"/>
      <c r="S118" s="1478"/>
    </row>
    <row r="119" spans="1:19" s="458" customFormat="1" ht="13.15" customHeight="1">
      <c r="D119" s="513"/>
      <c r="E119" s="464" t="s">
        <v>3062</v>
      </c>
      <c r="H119" s="1476">
        <v>4042281958</v>
      </c>
      <c r="I119" s="1478"/>
      <c r="J119" s="1481"/>
      <c r="K119" s="723" t="s">
        <v>2833</v>
      </c>
      <c r="L119" s="1482"/>
      <c r="M119" s="1191"/>
      <c r="N119" s="466" t="s">
        <v>3061</v>
      </c>
      <c r="O119" s="1483" t="s">
        <v>4010</v>
      </c>
      <c r="P119" s="1484"/>
      <c r="Q119" s="1484"/>
      <c r="R119" s="1484"/>
      <c r="S119" s="1485"/>
    </row>
    <row r="120" spans="1:19" ht="13.15" customHeight="1"/>
    <row r="121" spans="1:19" s="458" customFormat="1" ht="13.15" customHeight="1">
      <c r="A121" s="461" t="s">
        <v>2823</v>
      </c>
      <c r="B121" s="461" t="s">
        <v>3918</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976</v>
      </c>
      <c r="B123" s="1493"/>
      <c r="C123" s="1493"/>
      <c r="D123" s="1494"/>
      <c r="E123" s="806" t="s">
        <v>3542</v>
      </c>
      <c r="F123" s="809" t="s">
        <v>3535</v>
      </c>
      <c r="G123" s="813" t="s">
        <v>3536</v>
      </c>
      <c r="H123" s="814"/>
      <c r="I123" s="815"/>
      <c r="J123" s="813" t="s">
        <v>3537</v>
      </c>
      <c r="K123" s="822"/>
      <c r="L123" s="813" t="s">
        <v>3538</v>
      </c>
      <c r="M123" s="827"/>
      <c r="N123" s="813" t="s">
        <v>3539</v>
      </c>
      <c r="O123" s="815"/>
      <c r="P123" s="813" t="s">
        <v>3540</v>
      </c>
      <c r="Q123" s="815"/>
      <c r="R123" s="813" t="s">
        <v>3541</v>
      </c>
      <c r="S123" s="832"/>
    </row>
    <row r="124" spans="1:19" s="458" customFormat="1" ht="21.6" customHeight="1">
      <c r="A124" s="1495"/>
      <c r="B124" s="1496"/>
      <c r="C124" s="1496"/>
      <c r="D124" s="1497"/>
      <c r="E124" s="807"/>
      <c r="F124" s="810"/>
      <c r="G124" s="816"/>
      <c r="H124" s="817"/>
      <c r="I124" s="818"/>
      <c r="J124" s="823"/>
      <c r="K124" s="824"/>
      <c r="L124" s="816"/>
      <c r="M124" s="828"/>
      <c r="N124" s="816"/>
      <c r="O124" s="818"/>
      <c r="P124" s="816"/>
      <c r="Q124" s="818"/>
      <c r="R124" s="816"/>
      <c r="S124" s="833"/>
    </row>
    <row r="125" spans="1:19" s="458" customFormat="1" ht="21.6" customHeight="1">
      <c r="A125" s="1495"/>
      <c r="B125" s="1496"/>
      <c r="C125" s="1496"/>
      <c r="D125" s="1497"/>
      <c r="E125" s="807"/>
      <c r="F125" s="811"/>
      <c r="G125" s="816"/>
      <c r="H125" s="817"/>
      <c r="I125" s="818"/>
      <c r="J125" s="823"/>
      <c r="K125" s="824"/>
      <c r="L125" s="829"/>
      <c r="M125" s="828"/>
      <c r="N125" s="816"/>
      <c r="O125" s="818"/>
      <c r="P125" s="816"/>
      <c r="Q125" s="818"/>
      <c r="R125" s="834"/>
      <c r="S125" s="833"/>
    </row>
    <row r="126" spans="1:19" s="458" customFormat="1" ht="21.6" customHeight="1">
      <c r="A126" s="1495"/>
      <c r="B126" s="1496"/>
      <c r="C126" s="1496"/>
      <c r="D126" s="1497"/>
      <c r="E126" s="807"/>
      <c r="F126" s="811"/>
      <c r="G126" s="816"/>
      <c r="H126" s="817"/>
      <c r="I126" s="818"/>
      <c r="J126" s="823"/>
      <c r="K126" s="824"/>
      <c r="L126" s="829"/>
      <c r="M126" s="828"/>
      <c r="N126" s="816"/>
      <c r="O126" s="818"/>
      <c r="P126" s="816"/>
      <c r="Q126" s="818"/>
      <c r="R126" s="834"/>
      <c r="S126" s="833"/>
    </row>
    <row r="127" spans="1:19" s="458" customFormat="1" ht="21.6" customHeight="1">
      <c r="A127" s="1498"/>
      <c r="B127" s="1499"/>
      <c r="C127" s="1499"/>
      <c r="D127" s="1500"/>
      <c r="E127" s="808"/>
      <c r="F127" s="812"/>
      <c r="G127" s="819"/>
      <c r="H127" s="820"/>
      <c r="I127" s="821"/>
      <c r="J127" s="825"/>
      <c r="K127" s="826"/>
      <c r="L127" s="830"/>
      <c r="M127" s="831"/>
      <c r="N127" s="819"/>
      <c r="O127" s="821"/>
      <c r="P127" s="819"/>
      <c r="Q127" s="821"/>
      <c r="R127" s="835"/>
      <c r="S127" s="836"/>
    </row>
    <row r="128" spans="1:19" s="458" customFormat="1" ht="13.9" customHeight="1">
      <c r="A128" s="718" t="s">
        <v>3534</v>
      </c>
      <c r="B128" s="719"/>
      <c r="C128" s="719"/>
      <c r="D128" s="726"/>
      <c r="E128" s="1501" t="s">
        <v>3924</v>
      </c>
      <c r="F128" s="1501" t="s">
        <v>3926</v>
      </c>
      <c r="G128" s="1502" t="s">
        <v>3924</v>
      </c>
      <c r="H128" s="1503"/>
      <c r="I128" s="1504"/>
      <c r="J128" s="1502" t="s">
        <v>3926</v>
      </c>
      <c r="K128" s="1504"/>
      <c r="L128" s="1502" t="s">
        <v>3924</v>
      </c>
      <c r="M128" s="1504"/>
      <c r="N128" s="1502" t="s">
        <v>3924</v>
      </c>
      <c r="O128" s="1504"/>
      <c r="P128" s="1505" t="s">
        <v>3953</v>
      </c>
      <c r="Q128" s="1506"/>
      <c r="R128" s="1507">
        <v>1E-4</v>
      </c>
      <c r="S128" s="1508"/>
    </row>
    <row r="129" spans="1:19" s="458" customFormat="1" ht="13.9" customHeight="1">
      <c r="A129" s="720" t="s">
        <v>3524</v>
      </c>
      <c r="B129" s="721"/>
      <c r="C129" s="721"/>
      <c r="D129" s="722"/>
      <c r="E129" s="1509" t="s">
        <v>3924</v>
      </c>
      <c r="F129" s="1509" t="s">
        <v>3924</v>
      </c>
      <c r="G129" s="1510" t="s">
        <v>3924</v>
      </c>
      <c r="H129" s="1511"/>
      <c r="I129" s="1512"/>
      <c r="J129" s="1510" t="s">
        <v>3924</v>
      </c>
      <c r="K129" s="1512"/>
      <c r="L129" s="1510" t="s">
        <v>3924</v>
      </c>
      <c r="M129" s="1512"/>
      <c r="N129" s="1510" t="s">
        <v>3924</v>
      </c>
      <c r="O129" s="1512"/>
      <c r="P129" s="1513" t="s">
        <v>3913</v>
      </c>
      <c r="Q129" s="1514"/>
      <c r="R129" s="1515">
        <v>1E-4</v>
      </c>
      <c r="S129" s="1516"/>
    </row>
    <row r="130" spans="1:19" s="458" customFormat="1" ht="13.9" customHeight="1">
      <c r="A130" s="720" t="s">
        <v>3525</v>
      </c>
      <c r="B130" s="721"/>
      <c r="C130" s="721"/>
      <c r="D130" s="722"/>
      <c r="E130" s="1509"/>
      <c r="F130" s="1509"/>
      <c r="G130" s="1510"/>
      <c r="H130" s="1511"/>
      <c r="I130" s="1512"/>
      <c r="J130" s="1510"/>
      <c r="K130" s="1512"/>
      <c r="L130" s="1510"/>
      <c r="M130" s="1512"/>
      <c r="N130" s="1510"/>
      <c r="O130" s="1512"/>
      <c r="P130" s="1513"/>
      <c r="Q130" s="1514"/>
      <c r="R130" s="1515"/>
      <c r="S130" s="1516"/>
    </row>
    <row r="131" spans="1:19" s="458" customFormat="1" ht="13.9" customHeight="1">
      <c r="A131" s="720" t="s">
        <v>3526</v>
      </c>
      <c r="B131" s="721"/>
      <c r="C131" s="721"/>
      <c r="D131" s="722"/>
      <c r="E131" s="1509" t="s">
        <v>3924</v>
      </c>
      <c r="F131" s="1509" t="s">
        <v>3924</v>
      </c>
      <c r="G131" s="1510" t="s">
        <v>3924</v>
      </c>
      <c r="H131" s="1511"/>
      <c r="I131" s="1512"/>
      <c r="J131" s="1510" t="s">
        <v>3924</v>
      </c>
      <c r="K131" s="1512"/>
      <c r="L131" s="1510" t="s">
        <v>3924</v>
      </c>
      <c r="M131" s="1512"/>
      <c r="N131" s="1510" t="s">
        <v>3924</v>
      </c>
      <c r="O131" s="1512"/>
      <c r="P131" s="1513" t="s">
        <v>3953</v>
      </c>
      <c r="Q131" s="1514"/>
      <c r="R131" s="1515">
        <v>0.98980000000000001</v>
      </c>
      <c r="S131" s="1516"/>
    </row>
    <row r="132" spans="1:19" s="458" customFormat="1" ht="13.9" customHeight="1">
      <c r="A132" s="720" t="s">
        <v>3527</v>
      </c>
      <c r="B132" s="721"/>
      <c r="C132" s="721"/>
      <c r="D132" s="722"/>
      <c r="E132" s="1509" t="s">
        <v>3924</v>
      </c>
      <c r="F132" s="1509" t="s">
        <v>3924</v>
      </c>
      <c r="G132" s="1510" t="s">
        <v>3924</v>
      </c>
      <c r="H132" s="1511"/>
      <c r="I132" s="1512"/>
      <c r="J132" s="1510" t="s">
        <v>3924</v>
      </c>
      <c r="K132" s="1512"/>
      <c r="L132" s="1510" t="s">
        <v>3924</v>
      </c>
      <c r="M132" s="1512"/>
      <c r="N132" s="1510" t="s">
        <v>3924</v>
      </c>
      <c r="O132" s="1512"/>
      <c r="P132" s="1513" t="s">
        <v>3953</v>
      </c>
      <c r="Q132" s="1514"/>
      <c r="R132" s="1515">
        <v>0.01</v>
      </c>
      <c r="S132" s="1516"/>
    </row>
    <row r="133" spans="1:19" s="458" customFormat="1" ht="13.9" customHeight="1">
      <c r="A133" s="720" t="s">
        <v>3528</v>
      </c>
      <c r="B133" s="721"/>
      <c r="C133" s="721"/>
      <c r="D133" s="722"/>
      <c r="E133" s="1509"/>
      <c r="F133" s="1509"/>
      <c r="G133" s="1510"/>
      <c r="H133" s="1511"/>
      <c r="I133" s="1512"/>
      <c r="J133" s="1510"/>
      <c r="K133" s="1512"/>
      <c r="L133" s="1510"/>
      <c r="M133" s="1512"/>
      <c r="N133" s="1510"/>
      <c r="O133" s="1512"/>
      <c r="P133" s="1513"/>
      <c r="Q133" s="1514"/>
      <c r="R133" s="1515"/>
      <c r="S133" s="1516"/>
    </row>
    <row r="134" spans="1:19" s="458" customFormat="1" ht="13.9" customHeight="1">
      <c r="A134" s="720" t="s">
        <v>996</v>
      </c>
      <c r="B134" s="721"/>
      <c r="C134" s="721"/>
      <c r="D134" s="722"/>
      <c r="E134" s="1509" t="s">
        <v>3924</v>
      </c>
      <c r="F134" s="1509" t="s">
        <v>3926</v>
      </c>
      <c r="G134" s="1510" t="s">
        <v>3924</v>
      </c>
      <c r="H134" s="1511"/>
      <c r="I134" s="1512"/>
      <c r="J134" s="1510" t="s">
        <v>3926</v>
      </c>
      <c r="K134" s="1512"/>
      <c r="L134" s="1510" t="s">
        <v>3924</v>
      </c>
      <c r="M134" s="1512"/>
      <c r="N134" s="1510" t="s">
        <v>3924</v>
      </c>
      <c r="O134" s="1512"/>
      <c r="P134" s="1513" t="s">
        <v>3953</v>
      </c>
      <c r="Q134" s="1514"/>
      <c r="R134" s="1515"/>
      <c r="S134" s="1516"/>
    </row>
    <row r="135" spans="1:19" s="458" customFormat="1" ht="13.9" customHeight="1">
      <c r="A135" s="720" t="s">
        <v>3529</v>
      </c>
      <c r="B135" s="721"/>
      <c r="C135" s="721"/>
      <c r="D135" s="722"/>
      <c r="E135" s="1509" t="s">
        <v>3924</v>
      </c>
      <c r="F135" s="1509" t="s">
        <v>3924</v>
      </c>
      <c r="G135" s="1510" t="s">
        <v>3924</v>
      </c>
      <c r="H135" s="1511"/>
      <c r="I135" s="1512"/>
      <c r="J135" s="1510" t="s">
        <v>3924</v>
      </c>
      <c r="K135" s="1512"/>
      <c r="L135" s="1510" t="s">
        <v>3924</v>
      </c>
      <c r="M135" s="1512"/>
      <c r="N135" s="1510" t="s">
        <v>3924</v>
      </c>
      <c r="O135" s="1512"/>
      <c r="P135" s="1513" t="s">
        <v>3913</v>
      </c>
      <c r="Q135" s="1514"/>
      <c r="R135" s="1515"/>
      <c r="S135" s="1516"/>
    </row>
    <row r="136" spans="1:19" s="458" customFormat="1" ht="13.9" customHeight="1">
      <c r="A136" s="720" t="s">
        <v>3530</v>
      </c>
      <c r="B136" s="721"/>
      <c r="C136" s="721"/>
      <c r="D136" s="722"/>
      <c r="E136" s="1509"/>
      <c r="F136" s="1509"/>
      <c r="G136" s="1510"/>
      <c r="H136" s="1511"/>
      <c r="I136" s="1512"/>
      <c r="J136" s="1510"/>
      <c r="K136" s="1512"/>
      <c r="L136" s="1510"/>
      <c r="M136" s="1512"/>
      <c r="N136" s="1510"/>
      <c r="O136" s="1512"/>
      <c r="P136" s="1513"/>
      <c r="Q136" s="1514"/>
      <c r="R136" s="1515"/>
      <c r="S136" s="1516"/>
    </row>
    <row r="137" spans="1:19" s="458" customFormat="1" ht="13.9" customHeight="1">
      <c r="A137" s="720" t="s">
        <v>3531</v>
      </c>
      <c r="B137" s="721"/>
      <c r="C137" s="721"/>
      <c r="D137" s="722"/>
      <c r="E137" s="1509"/>
      <c r="F137" s="1509"/>
      <c r="G137" s="1510"/>
      <c r="H137" s="1511"/>
      <c r="I137" s="1512"/>
      <c r="J137" s="1510"/>
      <c r="K137" s="1512"/>
      <c r="L137" s="1510"/>
      <c r="M137" s="1512"/>
      <c r="N137" s="1510"/>
      <c r="O137" s="1512"/>
      <c r="P137" s="1513"/>
      <c r="Q137" s="1514"/>
      <c r="R137" s="1515"/>
      <c r="S137" s="1516"/>
    </row>
    <row r="138" spans="1:19" s="458" customFormat="1" ht="13.9" customHeight="1">
      <c r="A138" s="720" t="s">
        <v>3532</v>
      </c>
      <c r="B138" s="721"/>
      <c r="C138" s="721"/>
      <c r="D138" s="722"/>
      <c r="E138" s="1509"/>
      <c r="F138" s="1509"/>
      <c r="G138" s="1510"/>
      <c r="H138" s="1511"/>
      <c r="I138" s="1512"/>
      <c r="J138" s="1510"/>
      <c r="K138" s="1512"/>
      <c r="L138" s="1510"/>
      <c r="M138" s="1512"/>
      <c r="N138" s="1510"/>
      <c r="O138" s="1512"/>
      <c r="P138" s="1513"/>
      <c r="Q138" s="1514"/>
      <c r="R138" s="1515"/>
      <c r="S138" s="1516"/>
    </row>
    <row r="139" spans="1:19" s="458" customFormat="1" ht="13.9" customHeight="1">
      <c r="A139" s="720" t="s">
        <v>2280</v>
      </c>
      <c r="B139" s="721"/>
      <c r="C139" s="721"/>
      <c r="D139" s="722"/>
      <c r="E139" s="1509" t="s">
        <v>3924</v>
      </c>
      <c r="F139" s="1509" t="s">
        <v>3926</v>
      </c>
      <c r="G139" s="1510" t="s">
        <v>3924</v>
      </c>
      <c r="H139" s="1511"/>
      <c r="I139" s="1512"/>
      <c r="J139" s="1510" t="s">
        <v>3926</v>
      </c>
      <c r="K139" s="1512"/>
      <c r="L139" s="1510" t="s">
        <v>3924</v>
      </c>
      <c r="M139" s="1512"/>
      <c r="N139" s="1510" t="s">
        <v>3924</v>
      </c>
      <c r="O139" s="1512"/>
      <c r="P139" s="1513" t="s">
        <v>3953</v>
      </c>
      <c r="Q139" s="1514"/>
      <c r="R139" s="1515"/>
      <c r="S139" s="1516"/>
    </row>
    <row r="140" spans="1:19" s="458" customFormat="1" ht="13.9" customHeight="1">
      <c r="A140" s="724" t="s">
        <v>3533</v>
      </c>
      <c r="B140" s="725"/>
      <c r="C140" s="725"/>
      <c r="D140" s="514"/>
      <c r="E140" s="1517" t="s">
        <v>3924</v>
      </c>
      <c r="F140" s="1517" t="s">
        <v>3926</v>
      </c>
      <c r="G140" s="1518" t="s">
        <v>3924</v>
      </c>
      <c r="H140" s="1519"/>
      <c r="I140" s="1520"/>
      <c r="J140" s="1518" t="s">
        <v>3926</v>
      </c>
      <c r="K140" s="1520"/>
      <c r="L140" s="1518" t="s">
        <v>3924</v>
      </c>
      <c r="M140" s="1520"/>
      <c r="N140" s="1518" t="s">
        <v>3924</v>
      </c>
      <c r="O140" s="1520"/>
      <c r="P140" s="1521" t="s">
        <v>3953</v>
      </c>
      <c r="Q140" s="1522"/>
      <c r="R140" s="1523"/>
      <c r="S140" s="1524"/>
    </row>
    <row r="141" spans="1:19" s="721" customFormat="1" ht="13.9" customHeight="1">
      <c r="G141" s="470"/>
      <c r="H141" s="470"/>
      <c r="I141" s="470"/>
      <c r="J141" s="723"/>
      <c r="K141" s="723"/>
      <c r="L141" s="723"/>
      <c r="M141" s="723"/>
      <c r="P141" s="468"/>
      <c r="Q141" s="489" t="s">
        <v>832</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291" t="s">
        <v>4074</v>
      </c>
      <c r="B145" s="1350"/>
      <c r="C145" s="1350"/>
      <c r="D145" s="1350"/>
      <c r="E145" s="1350"/>
      <c r="F145" s="1350"/>
      <c r="G145" s="1350"/>
      <c r="H145" s="1350"/>
      <c r="I145" s="1350"/>
      <c r="J145" s="1350"/>
      <c r="K145" s="1350"/>
      <c r="L145" s="1350"/>
      <c r="M145" s="1351"/>
      <c r="N145" s="1294"/>
      <c r="O145" s="1352"/>
      <c r="P145" s="1352"/>
      <c r="Q145" s="1352"/>
      <c r="R145" s="1352"/>
      <c r="S145" s="1353"/>
    </row>
    <row r="146" spans="1:19" s="458" customFormat="1" ht="42.6" customHeight="1">
      <c r="A146" s="1295" t="s">
        <v>4040</v>
      </c>
      <c r="B146" s="1354"/>
      <c r="C146" s="1354"/>
      <c r="D146" s="1354"/>
      <c r="E146" s="1354"/>
      <c r="F146" s="1354"/>
      <c r="G146" s="1354"/>
      <c r="H146" s="1354"/>
      <c r="I146" s="1354"/>
      <c r="J146" s="1354"/>
      <c r="K146" s="1354"/>
      <c r="L146" s="1354"/>
      <c r="M146" s="1355"/>
      <c r="N146" s="1298"/>
      <c r="O146" s="1356"/>
      <c r="P146" s="1356"/>
      <c r="Q146" s="1356"/>
      <c r="R146" s="1356"/>
      <c r="S146" s="1357"/>
    </row>
    <row r="147" spans="1:19" s="458" customFormat="1" ht="42.6" customHeight="1">
      <c r="A147" s="1299"/>
      <c r="B147" s="1358"/>
      <c r="C147" s="1358"/>
      <c r="D147" s="1358"/>
      <c r="E147" s="1358"/>
      <c r="F147" s="1358"/>
      <c r="G147" s="1358"/>
      <c r="H147" s="1358"/>
      <c r="I147" s="1358"/>
      <c r="J147" s="1358"/>
      <c r="K147" s="1358"/>
      <c r="L147" s="1358"/>
      <c r="M147" s="1359"/>
      <c r="N147" s="1302"/>
      <c r="O147" s="1360"/>
      <c r="P147" s="1360"/>
      <c r="Q147" s="1360"/>
      <c r="R147" s="1360"/>
      <c r="S147" s="1361"/>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5"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3"/>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2011-013 Ashley Auburn Pointe II , Atlanta,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3770</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1" t="s">
        <v>3926</v>
      </c>
      <c r="C5" s="713" t="s">
        <v>3652</v>
      </c>
      <c r="D5" s="458"/>
      <c r="E5" s="1441"/>
      <c r="F5" s="715" t="s">
        <v>2653</v>
      </c>
      <c r="G5" s="458"/>
      <c r="J5" s="1442"/>
      <c r="K5" s="1443"/>
      <c r="M5" s="1441"/>
      <c r="N5" s="713" t="s">
        <v>845</v>
      </c>
    </row>
    <row r="6" spans="1:17" s="398" customFormat="1" ht="16.899999999999999" customHeight="1">
      <c r="A6" s="733"/>
      <c r="B6" s="1441"/>
      <c r="C6" s="713" t="s">
        <v>2835</v>
      </c>
      <c r="D6" s="458"/>
      <c r="E6" s="1441"/>
      <c r="F6" s="715" t="s">
        <v>3311</v>
      </c>
      <c r="J6" s="1441"/>
      <c r="K6" s="721" t="s">
        <v>846</v>
      </c>
      <c r="M6" s="1441" t="s">
        <v>3926</v>
      </c>
      <c r="N6" s="715" t="s">
        <v>844</v>
      </c>
    </row>
    <row r="7" spans="1:17" s="398" customFormat="1" ht="16.899999999999999" customHeight="1">
      <c r="A7" s="458"/>
      <c r="B7" s="1441"/>
      <c r="C7" s="713" t="s">
        <v>2836</v>
      </c>
      <c r="E7" s="1441"/>
      <c r="F7" s="715" t="s">
        <v>3310</v>
      </c>
      <c r="G7" s="458"/>
      <c r="J7" s="1441"/>
      <c r="K7" s="721" t="s">
        <v>2290</v>
      </c>
      <c r="M7" s="1441"/>
      <c r="N7" s="464" t="s">
        <v>1981</v>
      </c>
      <c r="P7" s="1442"/>
      <c r="Q7" s="1443"/>
    </row>
    <row r="8" spans="1:17" s="398" customFormat="1" ht="16.899999999999999" customHeight="1">
      <c r="A8" s="733"/>
      <c r="B8" s="1441"/>
      <c r="C8" s="721" t="s">
        <v>3914</v>
      </c>
      <c r="D8" s="458"/>
      <c r="E8" s="1441"/>
      <c r="F8" s="487" t="s">
        <v>3915</v>
      </c>
      <c r="H8" s="1441" t="s">
        <v>3926</v>
      </c>
      <c r="I8" s="458" t="s">
        <v>3653</v>
      </c>
      <c r="J8" s="1441"/>
      <c r="K8" s="458" t="s">
        <v>874</v>
      </c>
      <c r="M8" s="1441"/>
      <c r="N8" s="1444" t="s">
        <v>3232</v>
      </c>
      <c r="O8" s="1445"/>
      <c r="P8" s="1445"/>
      <c r="Q8" s="1446"/>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1229</v>
      </c>
      <c r="B11" s="395" t="s">
        <v>3494</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2927</v>
      </c>
      <c r="C13" s="458"/>
      <c r="D13" s="458"/>
      <c r="E13" s="458"/>
      <c r="F13" s="458"/>
      <c r="G13" s="458"/>
      <c r="H13" s="839" t="s">
        <v>1997</v>
      </c>
      <c r="I13" s="839"/>
      <c r="J13" s="839"/>
      <c r="K13" s="839"/>
      <c r="L13" s="797" t="s">
        <v>3068</v>
      </c>
      <c r="M13" s="797"/>
      <c r="N13" s="797" t="s">
        <v>2257</v>
      </c>
      <c r="O13" s="797"/>
      <c r="P13" s="797" t="s">
        <v>2536</v>
      </c>
      <c r="Q13" s="797"/>
    </row>
    <row r="14" spans="1:17" s="398" customFormat="1" ht="16.899999999999999" customHeight="1">
      <c r="A14" s="458"/>
      <c r="B14" s="862" t="s">
        <v>2347</v>
      </c>
      <c r="C14" s="863"/>
      <c r="D14" s="863"/>
      <c r="E14" s="719"/>
      <c r="F14" s="719"/>
      <c r="G14" s="719"/>
      <c r="H14" s="1444" t="s">
        <v>4024</v>
      </c>
      <c r="I14" s="1445"/>
      <c r="J14" s="1445"/>
      <c r="K14" s="1446"/>
      <c r="L14" s="1393">
        <v>3700000</v>
      </c>
      <c r="M14" s="1394"/>
      <c r="N14" s="1447">
        <v>0.06</v>
      </c>
      <c r="O14" s="1448"/>
      <c r="P14" s="1449">
        <v>13</v>
      </c>
      <c r="Q14" s="1450"/>
    </row>
    <row r="15" spans="1:17" s="398" customFormat="1" ht="16.899999999999999" customHeight="1">
      <c r="A15" s="458"/>
      <c r="B15" s="857" t="s">
        <v>2348</v>
      </c>
      <c r="C15" s="858"/>
      <c r="D15" s="858"/>
      <c r="E15" s="721"/>
      <c r="F15" s="721"/>
      <c r="G15" s="721"/>
      <c r="H15" s="1444" t="s">
        <v>4025</v>
      </c>
      <c r="I15" s="1445"/>
      <c r="J15" s="1445"/>
      <c r="K15" s="1446"/>
      <c r="L15" s="1393">
        <v>5500000</v>
      </c>
      <c r="M15" s="1394"/>
      <c r="N15" s="1447">
        <v>4.9099999999999998E-2</v>
      </c>
      <c r="O15" s="1448"/>
      <c r="P15" s="1451">
        <v>24</v>
      </c>
      <c r="Q15" s="1452"/>
    </row>
    <row r="16" spans="1:17" s="398" customFormat="1" ht="16.899999999999999" customHeight="1">
      <c r="A16" s="458"/>
      <c r="B16" s="865" t="s">
        <v>2349</v>
      </c>
      <c r="C16" s="866"/>
      <c r="D16" s="866"/>
      <c r="E16" s="725"/>
      <c r="F16" s="725"/>
      <c r="G16" s="725"/>
      <c r="H16" s="1444"/>
      <c r="I16" s="1445"/>
      <c r="J16" s="1445"/>
      <c r="K16" s="1446"/>
      <c r="L16" s="1393"/>
      <c r="M16" s="1394"/>
      <c r="N16" s="1447"/>
      <c r="O16" s="1448"/>
      <c r="P16" s="1451"/>
      <c r="Q16" s="1452"/>
    </row>
    <row r="17" spans="1:17" s="398" customFormat="1" ht="16.899999999999999" customHeight="1">
      <c r="A17" s="458"/>
      <c r="B17" s="862" t="s">
        <v>3332</v>
      </c>
      <c r="C17" s="863"/>
      <c r="D17" s="863"/>
      <c r="E17" s="721"/>
      <c r="F17" s="721"/>
      <c r="G17" s="721"/>
      <c r="H17" s="1444"/>
      <c r="I17" s="1445"/>
      <c r="J17" s="1445"/>
      <c r="K17" s="1446"/>
      <c r="L17" s="1393"/>
      <c r="M17" s="1394"/>
      <c r="N17" s="847"/>
      <c r="O17" s="848"/>
      <c r="P17" s="846"/>
      <c r="Q17" s="846"/>
    </row>
    <row r="18" spans="1:17" s="398" customFormat="1" ht="16.899999999999999" customHeight="1">
      <c r="A18" s="458"/>
      <c r="B18" s="857" t="s">
        <v>1383</v>
      </c>
      <c r="C18" s="858"/>
      <c r="D18" s="858"/>
      <c r="E18" s="721"/>
      <c r="H18" s="1444"/>
      <c r="I18" s="1445"/>
      <c r="J18" s="1445"/>
      <c r="K18" s="1446"/>
      <c r="L18" s="1393"/>
      <c r="M18" s="1394"/>
      <c r="N18" s="847"/>
      <c r="O18" s="848"/>
      <c r="P18" s="846"/>
      <c r="Q18" s="846"/>
    </row>
    <row r="19" spans="1:17" s="398" customFormat="1" ht="16.899999999999999" customHeight="1">
      <c r="A19" s="458"/>
      <c r="B19" s="857" t="s">
        <v>977</v>
      </c>
      <c r="C19" s="858"/>
      <c r="D19" s="858"/>
      <c r="E19" s="721"/>
      <c r="H19" s="1444"/>
      <c r="I19" s="1445"/>
      <c r="J19" s="1445"/>
      <c r="K19" s="1446"/>
      <c r="L19" s="1393"/>
      <c r="M19" s="1394"/>
      <c r="N19" s="847"/>
      <c r="O19" s="848"/>
      <c r="P19" s="846"/>
      <c r="Q19" s="846"/>
    </row>
    <row r="20" spans="1:17" s="398" customFormat="1" ht="16.899999999999999" customHeight="1">
      <c r="A20" s="458"/>
      <c r="B20" s="857" t="s">
        <v>1384</v>
      </c>
      <c r="C20" s="858"/>
      <c r="D20" s="858"/>
      <c r="E20" s="721"/>
      <c r="H20" s="1444" t="s">
        <v>4029</v>
      </c>
      <c r="I20" s="1445"/>
      <c r="J20" s="1445"/>
      <c r="K20" s="1446"/>
      <c r="L20" s="1453">
        <v>4589505</v>
      </c>
      <c r="M20" s="1394"/>
      <c r="N20" s="458"/>
      <c r="O20" s="458"/>
      <c r="P20" s="458"/>
      <c r="Q20" s="458"/>
    </row>
    <row r="21" spans="1:17" s="398" customFormat="1" ht="16.899999999999999" customHeight="1">
      <c r="A21" s="458"/>
      <c r="B21" s="857" t="s">
        <v>1385</v>
      </c>
      <c r="C21" s="858"/>
      <c r="D21" s="858"/>
      <c r="E21" s="721"/>
      <c r="H21" s="1444" t="s">
        <v>4030</v>
      </c>
      <c r="I21" s="1445"/>
      <c r="J21" s="1445"/>
      <c r="K21" s="1446"/>
      <c r="L21" s="1453">
        <v>1416627</v>
      </c>
      <c r="M21" s="1394"/>
      <c r="N21" s="458"/>
      <c r="O21" s="458"/>
      <c r="P21" s="458"/>
      <c r="Q21" s="458"/>
    </row>
    <row r="22" spans="1:17" s="398" customFormat="1" ht="16.899999999999999" customHeight="1">
      <c r="A22" s="458"/>
      <c r="B22" s="720" t="s">
        <v>309</v>
      </c>
      <c r="C22" s="721"/>
      <c r="D22" s="1454"/>
      <c r="E22" s="1454"/>
      <c r="F22" s="1454"/>
      <c r="G22" s="1454"/>
      <c r="H22" s="1444"/>
      <c r="I22" s="1445"/>
      <c r="J22" s="1445"/>
      <c r="K22" s="1446"/>
      <c r="L22" s="1393"/>
      <c r="M22" s="1394"/>
      <c r="N22" s="458"/>
      <c r="O22" s="458"/>
      <c r="P22" s="458"/>
      <c r="Q22" s="458"/>
    </row>
    <row r="23" spans="1:17" s="398" customFormat="1" ht="16.899999999999999" customHeight="1">
      <c r="A23" s="458"/>
      <c r="B23" s="720" t="s">
        <v>309</v>
      </c>
      <c r="C23" s="721"/>
      <c r="D23" s="1454"/>
      <c r="E23" s="1454"/>
      <c r="F23" s="1454"/>
      <c r="G23" s="1454"/>
      <c r="H23" s="1444"/>
      <c r="I23" s="1445"/>
      <c r="J23" s="1445"/>
      <c r="K23" s="1446"/>
      <c r="L23" s="1393"/>
      <c r="M23" s="1394"/>
      <c r="N23" s="458"/>
      <c r="O23" s="458"/>
      <c r="P23" s="458"/>
      <c r="Q23" s="458"/>
    </row>
    <row r="24" spans="1:17" s="398" customFormat="1" ht="16.899999999999999" customHeight="1">
      <c r="A24" s="458"/>
      <c r="B24" s="724" t="s">
        <v>309</v>
      </c>
      <c r="C24" s="725"/>
      <c r="D24" s="1454"/>
      <c r="E24" s="1454"/>
      <c r="F24" s="1454"/>
      <c r="G24" s="1454"/>
      <c r="H24" s="1444"/>
      <c r="I24" s="1445"/>
      <c r="J24" s="1445"/>
      <c r="K24" s="1446"/>
      <c r="L24" s="1393"/>
      <c r="M24" s="1394"/>
      <c r="N24" s="458"/>
      <c r="O24" s="458"/>
      <c r="P24" s="458"/>
      <c r="Q24" s="458"/>
    </row>
    <row r="25" spans="1:17" s="398" customFormat="1" ht="16.899999999999999" customHeight="1">
      <c r="A25" s="458"/>
      <c r="B25" s="395" t="s">
        <v>1998</v>
      </c>
      <c r="C25" s="458"/>
      <c r="D25" s="458"/>
      <c r="E25" s="458"/>
      <c r="F25" s="458"/>
      <c r="G25" s="458"/>
      <c r="H25" s="458"/>
      <c r="I25" s="458"/>
      <c r="L25" s="853">
        <f>SUM(L14:L24)</f>
        <v>15206132</v>
      </c>
      <c r="M25" s="854"/>
      <c r="N25" s="482"/>
      <c r="O25" s="482"/>
      <c r="P25" s="482"/>
      <c r="Q25" s="482"/>
    </row>
    <row r="26" spans="1:17" s="398" customFormat="1" ht="16.899999999999999" customHeight="1">
      <c r="A26" s="458"/>
      <c r="B26" s="713" t="s">
        <v>1999</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15206132</v>
      </c>
      <c r="M26" s="854"/>
      <c r="N26" s="849"/>
      <c r="O26" s="850"/>
      <c r="P26" s="850"/>
      <c r="Q26" s="850"/>
    </row>
    <row r="27" spans="1:17" s="398" customFormat="1" ht="16.899999999999999" customHeight="1">
      <c r="A27" s="458"/>
      <c r="B27" s="464" t="s">
        <v>3261</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1231</v>
      </c>
      <c r="B29" s="395" t="s">
        <v>1382</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3195</v>
      </c>
      <c r="K30" s="723" t="s">
        <v>1995</v>
      </c>
      <c r="L30" s="723" t="s">
        <v>2000</v>
      </c>
      <c r="M30" s="799" t="s">
        <v>40</v>
      </c>
      <c r="N30" s="799"/>
      <c r="O30" s="717"/>
      <c r="P30" s="723"/>
      <c r="Q30" s="867" t="s">
        <v>3491</v>
      </c>
    </row>
    <row r="31" spans="1:17" s="398" customFormat="1" ht="13.15" customHeight="1" thickBot="1">
      <c r="A31" s="458"/>
      <c r="B31" s="727" t="s">
        <v>2927</v>
      </c>
      <c r="C31" s="725"/>
      <c r="D31" s="725"/>
      <c r="E31" s="858" t="s">
        <v>1997</v>
      </c>
      <c r="F31" s="858"/>
      <c r="G31" s="858"/>
      <c r="H31" s="797" t="s">
        <v>719</v>
      </c>
      <c r="I31" s="797"/>
      <c r="J31" s="714" t="s">
        <v>2843</v>
      </c>
      <c r="K31" s="714" t="s">
        <v>3331</v>
      </c>
      <c r="L31" s="714" t="s">
        <v>3331</v>
      </c>
      <c r="M31" s="1455"/>
      <c r="N31" s="1455"/>
      <c r="O31" s="797" t="s">
        <v>84</v>
      </c>
      <c r="P31" s="797"/>
      <c r="Q31" s="868"/>
    </row>
    <row r="32" spans="1:17" s="398" customFormat="1" ht="13.15" customHeight="1" thickBot="1">
      <c r="A32" s="458"/>
      <c r="B32" s="862" t="str">
        <f>IF(E32 ="&lt;&lt;Select applicable option&gt;&gt;", "Make a selection FIRST --&gt;",IF(E32 = "Neither","N/A","Mortgage A"))</f>
        <v>Mortgage A</v>
      </c>
      <c r="C32" s="863"/>
      <c r="D32" s="863"/>
      <c r="E32" s="1456" t="s">
        <v>3954</v>
      </c>
      <c r="F32" s="1457"/>
      <c r="G32" s="1458"/>
      <c r="H32" s="877">
        <f>IF($E$32="USDA 538 Loan", 'Part III B-USDA 538 Loan'!C5,IF($E$32="HUD Insured Loan", 'Part III C-HUD Insured Loan'!D5,0))</f>
        <v>3700000</v>
      </c>
      <c r="I32" s="878"/>
      <c r="J32" s="553">
        <f>IF($E$32="USDA 538 Loan",'Part III B-USDA 538 Loan'!C7,IF($E$32="HUD Insured Loan", 'Part III C-HUD Insured Loan'!D10,0))</f>
        <v>6.0000000000000005E-2</v>
      </c>
      <c r="K32" s="554">
        <f>IF($E$32="USDA 538 Loan", 'Part III B-USDA 538 Loan'!C9,IF($E$32="HUD Insured Loan", 'Part III C-HUD Insured Loan'!D14,0))</f>
        <v>40</v>
      </c>
      <c r="L32" s="554">
        <f>IF($E$32="USDA 538 Loan", 'Part III B-USDA 538 Loan'!C10,IF($E$32="HUD Insured Loan", 'Part III C-HUD Insured Loan'!D16,0))</f>
        <v>40</v>
      </c>
      <c r="M32" s="851">
        <f>IF(OR(H32&lt;=0,H32=""),"",IF(O32="Amortizing",-PMT(J32/12,L32*12,H32,0,0)*12,IF(NOT(O32="Amortizing"),'Part VII-Pro Forma'!B23,"")))</f>
        <v>244294.8564282002</v>
      </c>
      <c r="N32" s="852"/>
      <c r="O32" s="840" t="s">
        <v>3018</v>
      </c>
      <c r="P32" s="841"/>
      <c r="Q32" s="1459" t="s">
        <v>2760</v>
      </c>
    </row>
    <row r="33" spans="1:19" s="398" customFormat="1" ht="13.15" customHeight="1">
      <c r="A33" s="458"/>
      <c r="B33" s="857" t="str">
        <f>IF(OR(E32 = "Neither",E32 = "&lt;&lt;Select applicable option&gt;&gt;"), "Mortgage A","Mortgage B")</f>
        <v>Mortgage B</v>
      </c>
      <c r="C33" s="858"/>
      <c r="D33" s="859"/>
      <c r="E33" s="1460" t="s">
        <v>4026</v>
      </c>
      <c r="F33" s="1461"/>
      <c r="G33" s="1462"/>
      <c r="H33" s="1463">
        <v>5500000</v>
      </c>
      <c r="I33" s="1464"/>
      <c r="J33" s="1465">
        <v>0.01</v>
      </c>
      <c r="K33" s="1441">
        <v>53</v>
      </c>
      <c r="L33" s="1441"/>
      <c r="M33" s="1466" t="str">
        <f>IF(OR(H33&lt;=0,H33=""),"",IF(O33="Amortizing",-PMT(J33/12,L33*12,H33,0,0)*12,""))</f>
        <v/>
      </c>
      <c r="N33" s="1467"/>
      <c r="O33" s="1404" t="s">
        <v>1809</v>
      </c>
      <c r="P33" s="1405"/>
      <c r="Q33" s="1468"/>
    </row>
    <row r="34" spans="1:19" s="398" customFormat="1" ht="13.15" customHeight="1">
      <c r="A34" s="458"/>
      <c r="B34" s="720" t="str">
        <f>IF(OR(E32 = "Neither",E32 = "&lt;&lt;Select applicable option&gt;&gt;"), "Mortgage B","Mortgage C")</f>
        <v>Mortgage C</v>
      </c>
      <c r="C34" s="721"/>
      <c r="D34" s="722"/>
      <c r="E34" s="1444"/>
      <c r="F34" s="1469"/>
      <c r="G34" s="1464"/>
      <c r="H34" s="1463"/>
      <c r="I34" s="1464"/>
      <c r="J34" s="1465"/>
      <c r="K34" s="1441"/>
      <c r="L34" s="1441"/>
      <c r="M34" s="1466" t="str">
        <f>IF(OR(H34&lt;=0,H34=""),"",IF(O34="Amortizing",-PMT(J34/12,L34*12,H34,0,0)*12,""))</f>
        <v/>
      </c>
      <c r="N34" s="1467"/>
      <c r="O34" s="1404"/>
      <c r="P34" s="1405"/>
      <c r="Q34" s="1468"/>
    </row>
    <row r="35" spans="1:19" s="398" customFormat="1" ht="13.15" customHeight="1">
      <c r="A35" s="458"/>
      <c r="B35" s="720" t="s">
        <v>1230</v>
      </c>
      <c r="C35" s="1404"/>
      <c r="D35" s="1405"/>
      <c r="E35" s="1444"/>
      <c r="F35" s="1469"/>
      <c r="G35" s="1464"/>
      <c r="H35" s="1463"/>
      <c r="I35" s="1464"/>
      <c r="J35" s="1465"/>
      <c r="K35" s="1441"/>
      <c r="L35" s="1441"/>
      <c r="M35" s="1466" t="str">
        <f>IF(OR(H35&lt;=0,H35=""),"",IF(O35="Amortizing",-PMT(J35/12,L35*12,H35,0,0)*12,""))</f>
        <v/>
      </c>
      <c r="N35" s="1467"/>
      <c r="O35" s="1404"/>
      <c r="P35" s="1405"/>
      <c r="Q35" s="1468"/>
    </row>
    <row r="36" spans="1:19" s="398" customFormat="1" ht="13.15" customHeight="1">
      <c r="A36" s="458"/>
      <c r="B36" s="720" t="s">
        <v>2085</v>
      </c>
      <c r="C36" s="721"/>
      <c r="D36" s="722"/>
      <c r="E36" s="1444"/>
      <c r="F36" s="1469"/>
      <c r="G36" s="1464"/>
      <c r="H36" s="1463"/>
      <c r="I36" s="1464"/>
      <c r="J36" s="1465"/>
      <c r="K36" s="1441"/>
      <c r="L36" s="1441"/>
      <c r="M36" s="1466" t="str">
        <f>IF(OR(H36&lt;=0,H36=""),"",IF(O36="Amortizing",-PMT(J36/12,L36*12,H36,0,0)*12,""))</f>
        <v/>
      </c>
      <c r="N36" s="1467"/>
      <c r="O36" s="1404"/>
      <c r="P36" s="1405"/>
      <c r="Q36" s="1468"/>
    </row>
    <row r="37" spans="1:19" s="398" customFormat="1" ht="13.15" customHeight="1">
      <c r="A37" s="458"/>
      <c r="B37" s="724" t="s">
        <v>292</v>
      </c>
      <c r="C37" s="725"/>
      <c r="D37" s="555">
        <f>IF(OR(H37="",H37=0,'Part IV-Uses of Funds'!$G$109="",'Part IV-Uses of Funds'!$G$109=0),"",H37/'Part IV-Uses of Funds'!$G$109)</f>
        <v>5.8634444444444447E-2</v>
      </c>
      <c r="E37" s="1444" t="s">
        <v>3936</v>
      </c>
      <c r="F37" s="1469"/>
      <c r="G37" s="1464"/>
      <c r="H37" s="1463">
        <v>105542</v>
      </c>
      <c r="I37" s="1464"/>
      <c r="J37" s="1465">
        <v>4.0500000000000001E-2</v>
      </c>
      <c r="K37" s="1441">
        <v>15</v>
      </c>
      <c r="L37" s="1441"/>
      <c r="M37" s="1466" t="str">
        <f>IF(OR(H37&lt;=0,H37=""),"",IF(O37="Amortizing",-PMT(J37/12,L37*12,H37,0,0)*12,""))</f>
        <v/>
      </c>
      <c r="N37" s="1467"/>
      <c r="O37" s="1404"/>
      <c r="P37" s="1405"/>
      <c r="Q37" s="1468"/>
    </row>
    <row r="38" spans="1:19" s="398" customFormat="1" ht="13.15" customHeight="1">
      <c r="A38" s="458"/>
      <c r="B38" s="862" t="s">
        <v>3332</v>
      </c>
      <c r="C38" s="863"/>
      <c r="D38" s="864"/>
      <c r="E38" s="1444"/>
      <c r="F38" s="1469"/>
      <c r="G38" s="1464"/>
      <c r="H38" s="1470"/>
      <c r="I38" s="1471"/>
      <c r="K38" s="556"/>
      <c r="L38" s="556"/>
      <c r="M38" s="556"/>
      <c r="N38" s="556"/>
      <c r="O38" s="556"/>
      <c r="P38" s="556"/>
      <c r="Q38" s="556"/>
      <c r="S38" s="648" t="s">
        <v>808</v>
      </c>
    </row>
    <row r="39" spans="1:19" s="398" customFormat="1" ht="13.15" customHeight="1">
      <c r="A39" s="458"/>
      <c r="B39" s="857" t="s">
        <v>1383</v>
      </c>
      <c r="C39" s="858"/>
      <c r="D39" s="859"/>
      <c r="E39" s="1444"/>
      <c r="F39" s="1469"/>
      <c r="G39" s="1464"/>
      <c r="H39" s="1470"/>
      <c r="I39" s="1471"/>
      <c r="J39" s="869" t="s">
        <v>809</v>
      </c>
      <c r="K39" s="870"/>
      <c r="L39" s="652" t="s">
        <v>810</v>
      </c>
      <c r="M39" s="557"/>
      <c r="N39" s="557"/>
      <c r="O39" s="557"/>
      <c r="P39" s="557"/>
      <c r="Q39" s="556"/>
      <c r="S39" s="649" t="s">
        <v>3864</v>
      </c>
    </row>
    <row r="40" spans="1:19" s="398" customFormat="1" ht="13.15" customHeight="1">
      <c r="A40" s="458"/>
      <c r="B40" s="857" t="s">
        <v>1384</v>
      </c>
      <c r="C40" s="858"/>
      <c r="D40" s="859"/>
      <c r="E40" s="1444" t="s">
        <v>4029</v>
      </c>
      <c r="F40" s="1445"/>
      <c r="G40" s="1446"/>
      <c r="H40" s="1463">
        <v>7284928</v>
      </c>
      <c r="I40" s="1472"/>
      <c r="J40" s="871">
        <f>'Part IV-Uses of Funds'!$J$165*10*'Part IV-Uses of Funds'!$N$158</f>
        <v>7360000</v>
      </c>
      <c r="K40" s="872"/>
      <c r="L40" s="653">
        <f>H40-J40</f>
        <v>-75072</v>
      </c>
      <c r="M40" s="805" t="s">
        <v>2537</v>
      </c>
      <c r="N40" s="873"/>
      <c r="O40" s="873"/>
      <c r="P40" s="873"/>
      <c r="Q40" s="874"/>
      <c r="S40" s="650">
        <f>H40/H50</f>
        <v>0.38564036971358345</v>
      </c>
    </row>
    <row r="41" spans="1:19" s="398" customFormat="1" ht="13.15" customHeight="1">
      <c r="A41" s="458"/>
      <c r="B41" s="857" t="s">
        <v>1385</v>
      </c>
      <c r="C41" s="858"/>
      <c r="D41" s="859"/>
      <c r="E41" s="1444" t="s">
        <v>4030</v>
      </c>
      <c r="F41" s="1445"/>
      <c r="G41" s="1446"/>
      <c r="H41" s="1463">
        <v>2300000</v>
      </c>
      <c r="I41" s="1472"/>
      <c r="J41" s="871">
        <f>'Part IV-Uses of Funds'!$J$165*10*'Part IV-Uses of Funds'!$Q$158</f>
        <v>2300000</v>
      </c>
      <c r="K41" s="872"/>
      <c r="L41" s="653">
        <f>H41-J41</f>
        <v>0</v>
      </c>
      <c r="M41" s="875"/>
      <c r="N41" s="868"/>
      <c r="O41" s="868"/>
      <c r="P41" s="868"/>
      <c r="Q41" s="876"/>
      <c r="S41" s="650">
        <f>H41/H50</f>
        <v>0.12175451155333888</v>
      </c>
    </row>
    <row r="42" spans="1:19" s="398" customFormat="1" ht="13.15" customHeight="1">
      <c r="A42" s="458"/>
      <c r="B42" s="857" t="s">
        <v>2120</v>
      </c>
      <c r="C42" s="858"/>
      <c r="D42" s="859"/>
      <c r="E42" s="1444"/>
      <c r="F42" s="1445"/>
      <c r="G42" s="1446"/>
      <c r="H42" s="1463"/>
      <c r="I42" s="1472"/>
      <c r="M42" s="558" t="s">
        <v>3022</v>
      </c>
      <c r="N42" s="559" t="s">
        <v>3023</v>
      </c>
      <c r="O42" s="558">
        <v>8</v>
      </c>
      <c r="P42" s="558">
        <v>9</v>
      </c>
      <c r="Q42" s="558">
        <v>10</v>
      </c>
      <c r="S42" s="651">
        <f>SUM(S40:S41)</f>
        <v>0.50739488126692234</v>
      </c>
    </row>
    <row r="43" spans="1:19" s="398" customFormat="1" ht="13.15" customHeight="1">
      <c r="A43" s="458"/>
      <c r="B43" s="720" t="s">
        <v>824</v>
      </c>
      <c r="C43" s="721"/>
      <c r="D43" s="722"/>
      <c r="E43" s="1444"/>
      <c r="F43" s="1445"/>
      <c r="G43" s="1446"/>
      <c r="H43" s="1463"/>
      <c r="I43" s="1472"/>
      <c r="K43" s="458"/>
      <c r="L43" s="458"/>
      <c r="M43" s="558" t="s">
        <v>3024</v>
      </c>
      <c r="N43" s="1465"/>
      <c r="O43" s="1465"/>
      <c r="P43" s="1465"/>
      <c r="Q43" s="1465"/>
      <c r="S43" s="458"/>
    </row>
    <row r="44" spans="1:19" s="398" customFormat="1" ht="13.15" customHeight="1">
      <c r="A44" s="458"/>
      <c r="B44" s="720" t="s">
        <v>2925</v>
      </c>
      <c r="C44" s="721"/>
      <c r="D44" s="722"/>
      <c r="E44" s="1444"/>
      <c r="F44" s="1445"/>
      <c r="G44" s="1446"/>
      <c r="H44" s="1463"/>
      <c r="I44" s="1472"/>
      <c r="J44" s="458"/>
      <c r="M44" s="560">
        <v>11</v>
      </c>
      <c r="N44" s="560">
        <v>12</v>
      </c>
      <c r="O44" s="717">
        <v>13</v>
      </c>
      <c r="P44" s="558">
        <v>14</v>
      </c>
      <c r="Q44" s="558">
        <v>15</v>
      </c>
    </row>
    <row r="45" spans="1:19" s="398" customFormat="1" ht="13.15" customHeight="1">
      <c r="A45" s="458"/>
      <c r="B45" s="720" t="s">
        <v>2926</v>
      </c>
      <c r="C45" s="721"/>
      <c r="D45" s="722"/>
      <c r="E45" s="1444"/>
      <c r="F45" s="1445"/>
      <c r="G45" s="1446"/>
      <c r="H45" s="1463"/>
      <c r="I45" s="1472"/>
      <c r="J45" s="458"/>
      <c r="M45" s="1465"/>
      <c r="N45" s="1465"/>
      <c r="O45" s="1465"/>
      <c r="P45" s="1465"/>
      <c r="Q45" s="1465"/>
    </row>
    <row r="46" spans="1:19" s="398" customFormat="1" ht="13.15" customHeight="1">
      <c r="A46" s="458"/>
      <c r="B46" s="720" t="s">
        <v>1230</v>
      </c>
      <c r="C46" s="1444"/>
      <c r="D46" s="1446"/>
      <c r="E46" s="1444"/>
      <c r="F46" s="1445"/>
      <c r="G46" s="1446"/>
      <c r="H46" s="1463"/>
      <c r="I46" s="1472"/>
      <c r="J46" s="458"/>
      <c r="M46" s="558">
        <v>16</v>
      </c>
      <c r="N46" s="558">
        <v>17</v>
      </c>
      <c r="O46" s="558">
        <v>18</v>
      </c>
      <c r="P46" s="723">
        <v>19</v>
      </c>
      <c r="Q46" s="723">
        <v>20</v>
      </c>
    </row>
    <row r="47" spans="1:19" s="398" customFormat="1" ht="13.15" customHeight="1">
      <c r="A47" s="458"/>
      <c r="B47" s="720" t="s">
        <v>1230</v>
      </c>
      <c r="C47" s="1444"/>
      <c r="D47" s="1446"/>
      <c r="E47" s="1444"/>
      <c r="F47" s="1445"/>
      <c r="G47" s="1446"/>
      <c r="H47" s="1463"/>
      <c r="I47" s="1472"/>
      <c r="J47" s="458"/>
      <c r="K47" s="458"/>
      <c r="L47" s="558"/>
      <c r="M47" s="1465"/>
      <c r="N47" s="1465"/>
      <c r="O47" s="1465"/>
      <c r="P47" s="1465"/>
      <c r="Q47" s="1465"/>
    </row>
    <row r="48" spans="1:19" s="398" customFormat="1" ht="13.15" customHeight="1">
      <c r="A48" s="458"/>
      <c r="B48" s="724" t="s">
        <v>1230</v>
      </c>
      <c r="C48" s="1444"/>
      <c r="D48" s="1446"/>
      <c r="E48" s="1444"/>
      <c r="F48" s="1445"/>
      <c r="G48" s="1446"/>
      <c r="H48" s="1463"/>
      <c r="I48" s="1472"/>
      <c r="J48" s="458"/>
      <c r="K48" s="458"/>
      <c r="L48" s="558"/>
      <c r="M48" s="723">
        <v>21</v>
      </c>
      <c r="N48" s="723">
        <v>22</v>
      </c>
      <c r="O48" s="723">
        <v>23</v>
      </c>
      <c r="P48" s="723">
        <v>24</v>
      </c>
      <c r="Q48" s="723">
        <v>25</v>
      </c>
    </row>
    <row r="49" spans="1:17" s="398" customFormat="1" ht="13.15" customHeight="1">
      <c r="A49" s="458"/>
      <c r="B49" s="713" t="s">
        <v>3333</v>
      </c>
      <c r="C49" s="458"/>
      <c r="D49" s="458"/>
      <c r="E49" s="458"/>
      <c r="F49" s="458"/>
      <c r="G49" s="458"/>
      <c r="H49" s="844">
        <f>SUM(H32:I48)</f>
        <v>18890470</v>
      </c>
      <c r="I49" s="845"/>
      <c r="J49" s="482"/>
      <c r="K49" s="458"/>
      <c r="L49" s="558"/>
      <c r="M49" s="1465"/>
      <c r="N49" s="1465"/>
      <c r="O49" s="1465"/>
      <c r="P49" s="1465"/>
      <c r="Q49" s="1465"/>
    </row>
    <row r="50" spans="1:17" s="398" customFormat="1" ht="13.15" customHeight="1" thickBot="1">
      <c r="A50" s="458"/>
      <c r="B50" s="713" t="s">
        <v>3334</v>
      </c>
      <c r="C50" s="458"/>
      <c r="D50" s="458"/>
      <c r="E50" s="458"/>
      <c r="F50" s="458"/>
      <c r="G50" s="458"/>
      <c r="H50" s="842">
        <f>'Part IV-Uses of Funds'!$G$123</f>
        <v>18890470.428214099</v>
      </c>
      <c r="I50" s="843"/>
      <c r="J50" s="482"/>
      <c r="K50" s="458"/>
      <c r="L50" s="558"/>
      <c r="M50" s="723">
        <v>26</v>
      </c>
      <c r="N50" s="723">
        <v>27</v>
      </c>
      <c r="O50" s="723">
        <v>28</v>
      </c>
      <c r="P50" s="723">
        <v>29</v>
      </c>
      <c r="Q50" s="723">
        <v>30</v>
      </c>
    </row>
    <row r="51" spans="1:17" s="398" customFormat="1" ht="13.15" customHeight="1" thickBot="1">
      <c r="A51" s="458"/>
      <c r="B51" s="464" t="s">
        <v>2276</v>
      </c>
      <c r="C51" s="458"/>
      <c r="D51" s="458"/>
      <c r="E51" s="458"/>
      <c r="F51" s="458"/>
      <c r="G51" s="458"/>
      <c r="H51" s="860">
        <f>H49-H50</f>
        <v>-0.42821409925818443</v>
      </c>
      <c r="I51" s="861"/>
      <c r="J51" s="482"/>
      <c r="K51" s="458"/>
      <c r="L51" s="558"/>
      <c r="M51" s="1465"/>
      <c r="N51" s="1465"/>
      <c r="O51" s="1465"/>
      <c r="P51" s="1465"/>
      <c r="Q51" s="1465"/>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1" t="s">
        <v>4028</v>
      </c>
      <c r="B55" s="1256"/>
      <c r="C55" s="1256"/>
      <c r="D55" s="1256"/>
      <c r="E55" s="1256"/>
      <c r="F55" s="1256"/>
      <c r="G55" s="1256"/>
      <c r="H55" s="1256"/>
      <c r="I55" s="1256"/>
      <c r="J55" s="1257"/>
      <c r="K55" s="1294"/>
      <c r="L55" s="1256"/>
      <c r="M55" s="1256"/>
      <c r="N55" s="1256"/>
      <c r="O55" s="1256"/>
      <c r="P55" s="1256"/>
      <c r="Q55" s="1257"/>
    </row>
    <row r="56" spans="1:17" ht="51" customHeight="1">
      <c r="A56" s="1295" t="s">
        <v>4027</v>
      </c>
      <c r="B56" s="1473"/>
      <c r="C56" s="1473"/>
      <c r="D56" s="1473"/>
      <c r="E56" s="1473"/>
      <c r="F56" s="1473"/>
      <c r="G56" s="1473"/>
      <c r="H56" s="1473"/>
      <c r="I56" s="1473"/>
      <c r="J56" s="1474"/>
      <c r="K56" s="1298"/>
      <c r="L56" s="1473"/>
      <c r="M56" s="1473"/>
      <c r="N56" s="1473"/>
      <c r="O56" s="1473"/>
      <c r="P56" s="1473"/>
      <c r="Q56" s="1474"/>
    </row>
    <row r="57" spans="1:17" s="398" customFormat="1" ht="51" customHeight="1">
      <c r="A57" s="1295" t="s">
        <v>4082</v>
      </c>
      <c r="B57" s="1473"/>
      <c r="C57" s="1473"/>
      <c r="D57" s="1473"/>
      <c r="E57" s="1473"/>
      <c r="F57" s="1473"/>
      <c r="G57" s="1473"/>
      <c r="H57" s="1473"/>
      <c r="I57" s="1473"/>
      <c r="J57" s="1474"/>
      <c r="K57" s="1298"/>
      <c r="L57" s="1473"/>
      <c r="M57" s="1473"/>
      <c r="N57" s="1473"/>
      <c r="O57" s="1473"/>
      <c r="P57" s="1473"/>
      <c r="Q57" s="1474"/>
    </row>
    <row r="58" spans="1:17" ht="51" customHeight="1">
      <c r="A58" s="1299"/>
      <c r="B58" s="1267"/>
      <c r="C58" s="1267"/>
      <c r="D58" s="1267"/>
      <c r="E58" s="1267"/>
      <c r="F58" s="1267"/>
      <c r="G58" s="1267"/>
      <c r="H58" s="1267"/>
      <c r="I58" s="1267"/>
      <c r="J58" s="1268"/>
      <c r="K58" s="1302"/>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2011-013 Ashley Auburn Pointe II , Atlanta, Fulton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3385</v>
      </c>
      <c r="B5" s="42"/>
      <c r="C5" s="1438"/>
      <c r="D5" s="374">
        <f>IF(C5&gt;1500000,1500000,0)</f>
        <v>0</v>
      </c>
      <c r="E5" s="375">
        <f>IF(C5&gt;1500000,C5-1500000,0)</f>
        <v>0</v>
      </c>
    </row>
    <row r="6" spans="1:17">
      <c r="A6" s="42" t="s">
        <v>3735</v>
      </c>
      <c r="B6" s="300" t="s">
        <v>745</v>
      </c>
      <c r="C6" s="376">
        <v>0</v>
      </c>
      <c r="D6" s="160" t="s">
        <v>746</v>
      </c>
      <c r="E6" s="42"/>
    </row>
    <row r="7" spans="1:17">
      <c r="A7" s="42"/>
      <c r="B7" s="300" t="s">
        <v>3751</v>
      </c>
      <c r="C7" s="1439"/>
      <c r="D7" s="160" t="s">
        <v>2659</v>
      </c>
      <c r="E7" s="42"/>
    </row>
    <row r="8" spans="1:17" ht="13.15" customHeight="1">
      <c r="A8" s="42" t="s">
        <v>3739</v>
      </c>
      <c r="B8" s="42"/>
      <c r="C8" s="376">
        <v>0</v>
      </c>
      <c r="D8" s="160" t="s">
        <v>2660</v>
      </c>
      <c r="E8" s="42"/>
    </row>
    <row r="9" spans="1:17">
      <c r="A9" s="42" t="s">
        <v>2093</v>
      </c>
      <c r="B9" s="42"/>
      <c r="C9" s="1440"/>
      <c r="D9" s="42"/>
      <c r="E9" s="42"/>
    </row>
    <row r="10" spans="1:17">
      <c r="A10" s="42" t="s">
        <v>2094</v>
      </c>
      <c r="B10" s="42"/>
      <c r="C10" s="1440"/>
      <c r="D10" s="42"/>
      <c r="E10" s="42"/>
    </row>
    <row r="11" spans="1:17">
      <c r="A11" s="42" t="s">
        <v>2091</v>
      </c>
      <c r="B11" s="42"/>
      <c r="C11" s="377" t="e">
        <f>PMT(C7/12,C10*12,-C5,0,0)*12</f>
        <v>#NUM!</v>
      </c>
      <c r="D11" s="374" t="e">
        <f>PMT($C$7/12,$C$10*12,-D5,0,0)*12</f>
        <v>#NUM!</v>
      </c>
      <c r="E11" s="374" t="e">
        <f>PMT($C$7/12,$C$10*12,-E5,0,0)*12</f>
        <v>#NUM!</v>
      </c>
    </row>
    <row r="12" spans="1:17">
      <c r="A12" s="42" t="s">
        <v>2092</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3753</v>
      </c>
      <c r="B16" s="731" t="s">
        <v>3749</v>
      </c>
      <c r="C16" s="731" t="s">
        <v>3750</v>
      </c>
      <c r="D16" s="885" t="s">
        <v>3384</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2011-013 Ashley Auburn Pointe II , Atlanta, Fulton County</v>
      </c>
      <c r="B58" s="886"/>
      <c r="C58" s="886"/>
      <c r="D58" s="886"/>
      <c r="E58" s="886"/>
      <c r="F58" s="886"/>
      <c r="G58" s="886" t="str">
        <f>CONCATENATE('Part I-Project Information'!$O$4," ",'Part I-Project Information'!$F$22,", ",'Part I-Project Information'!$F$24,", ",'Part I-Project Information'!$J$25," County")</f>
        <v>2011-013 Ashley Auburn Pointe II , Atlanta, Fulton County</v>
      </c>
      <c r="H58" s="886"/>
      <c r="I58" s="886"/>
      <c r="J58" s="886"/>
      <c r="K58" s="886"/>
      <c r="L58" s="886"/>
    </row>
    <row r="59" spans="1:12" ht="15">
      <c r="A59" s="887" t="s">
        <v>3743</v>
      </c>
      <c r="B59" s="887"/>
      <c r="C59" s="887"/>
      <c r="D59" s="887"/>
      <c r="E59" s="887"/>
      <c r="F59" s="887"/>
      <c r="G59" s="887" t="s">
        <v>3743</v>
      </c>
      <c r="H59" s="887"/>
      <c r="I59" s="887"/>
      <c r="J59" s="887"/>
      <c r="K59" s="887"/>
      <c r="L59" s="887"/>
    </row>
    <row r="60" spans="1:12" ht="6" customHeight="1">
      <c r="C60" s="273"/>
      <c r="D60" s="273"/>
      <c r="I60" s="273"/>
      <c r="J60" s="273"/>
    </row>
    <row r="61" spans="1:12">
      <c r="A61" s="276" t="s">
        <v>3744</v>
      </c>
      <c r="B61" s="277" t="s">
        <v>3745</v>
      </c>
      <c r="C61" s="277" t="s">
        <v>1994</v>
      </c>
      <c r="D61" s="277" t="s">
        <v>3746</v>
      </c>
      <c r="E61" s="276" t="s">
        <v>3747</v>
      </c>
      <c r="F61" s="307" t="s">
        <v>3753</v>
      </c>
      <c r="G61" s="276" t="s">
        <v>3744</v>
      </c>
      <c r="H61" s="277" t="s">
        <v>3745</v>
      </c>
      <c r="I61" s="277" t="s">
        <v>1994</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sqref="A1:XFD104857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2011-013 Ashley Auburn Pointe II , Atlanta,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3385</v>
      </c>
      <c r="D5" s="1434">
        <v>3700000</v>
      </c>
      <c r="E5" s="891" t="s">
        <v>1552</v>
      </c>
      <c r="F5" s="892"/>
      <c r="G5" s="219"/>
    </row>
    <row r="6" spans="1:17">
      <c r="E6" s="892"/>
      <c r="F6" s="892"/>
      <c r="G6" s="219"/>
    </row>
    <row r="7" spans="1:17">
      <c r="A7" s="31" t="s">
        <v>3735</v>
      </c>
      <c r="C7" s="31" t="s">
        <v>3736</v>
      </c>
      <c r="D7" s="1435">
        <v>5.7500000000000002E-2</v>
      </c>
      <c r="E7" s="892"/>
      <c r="F7" s="892"/>
      <c r="G7" s="219"/>
    </row>
    <row r="8" spans="1:17">
      <c r="C8" s="31" t="s">
        <v>3737</v>
      </c>
      <c r="D8" s="1435">
        <v>1.25E-3</v>
      </c>
      <c r="E8" s="892"/>
      <c r="F8" s="892"/>
      <c r="G8" s="219"/>
    </row>
    <row r="9" spans="1:17">
      <c r="C9" s="31" t="s">
        <v>3738</v>
      </c>
      <c r="D9" s="1435">
        <v>1.25E-3</v>
      </c>
      <c r="E9" s="892"/>
      <c r="F9" s="892"/>
      <c r="G9" s="219"/>
    </row>
    <row r="10" spans="1:17">
      <c r="C10" s="31" t="s">
        <v>3751</v>
      </c>
      <c r="D10" s="318">
        <f>D7+D8+D9</f>
        <v>6.0000000000000005E-2</v>
      </c>
      <c r="E10" s="892"/>
      <c r="F10" s="892"/>
      <c r="G10" s="219"/>
    </row>
    <row r="11" spans="1:17">
      <c r="F11" s="219"/>
      <c r="G11" s="219"/>
    </row>
    <row r="12" spans="1:17">
      <c r="A12" s="31" t="s">
        <v>2741</v>
      </c>
      <c r="D12" s="1436">
        <v>4.4999999999999997E-3</v>
      </c>
      <c r="E12" s="31" t="s">
        <v>3231</v>
      </c>
      <c r="F12" s="219"/>
      <c r="G12" s="219"/>
    </row>
    <row r="13" spans="1:17">
      <c r="D13" s="273"/>
      <c r="F13" s="219"/>
      <c r="G13" s="219"/>
    </row>
    <row r="14" spans="1:17">
      <c r="A14" s="31" t="s">
        <v>3740</v>
      </c>
      <c r="D14" s="1437">
        <v>40</v>
      </c>
      <c r="E14" s="31" t="s">
        <v>3741</v>
      </c>
      <c r="F14" s="319"/>
    </row>
    <row r="15" spans="1:17">
      <c r="D15" s="292"/>
      <c r="F15" s="319"/>
    </row>
    <row r="16" spans="1:17">
      <c r="A16" s="31" t="s">
        <v>3742</v>
      </c>
      <c r="D16" s="1437">
        <v>40</v>
      </c>
      <c r="E16" s="31" t="s">
        <v>3741</v>
      </c>
      <c r="F16" s="319"/>
    </row>
    <row r="17" spans="1:10">
      <c r="D17" s="273"/>
      <c r="F17" s="319"/>
    </row>
    <row r="18" spans="1:10">
      <c r="A18" s="31" t="s">
        <v>1525</v>
      </c>
      <c r="D18" s="320">
        <f>PMT(D10/12,D16*12,-D5,0,0)*12</f>
        <v>244294.8564281984</v>
      </c>
      <c r="E18" s="31" t="s">
        <v>2245</v>
      </c>
      <c r="F18" s="319"/>
    </row>
    <row r="19" spans="1:10">
      <c r="D19" s="273"/>
      <c r="F19" s="319"/>
    </row>
    <row r="20" spans="1:10">
      <c r="A20" s="31" t="s">
        <v>2246</v>
      </c>
      <c r="D20" s="273">
        <f>D18/12</f>
        <v>20357.904702349868</v>
      </c>
      <c r="E20" s="31" t="s">
        <v>2245</v>
      </c>
      <c r="F20" s="319"/>
    </row>
    <row r="24" spans="1:10" ht="18" customHeight="1">
      <c r="A24" s="889" t="s">
        <v>2742</v>
      </c>
      <c r="B24" s="889"/>
      <c r="C24" s="889"/>
      <c r="D24" s="889"/>
      <c r="E24" s="889"/>
      <c r="F24" s="889"/>
      <c r="J24" s="321"/>
    </row>
    <row r="25" spans="1:10">
      <c r="C25" s="273"/>
      <c r="J25" s="321"/>
    </row>
    <row r="26" spans="1:10">
      <c r="A26" s="141"/>
      <c r="B26" s="111"/>
      <c r="C26" s="893" t="s">
        <v>3384</v>
      </c>
      <c r="D26" s="316"/>
      <c r="E26" s="111"/>
      <c r="F26" s="893" t="s">
        <v>3384</v>
      </c>
      <c r="J26" s="321"/>
    </row>
    <row r="27" spans="1:10">
      <c r="A27" s="322" t="s">
        <v>3753</v>
      </c>
      <c r="B27" s="736" t="s">
        <v>1646</v>
      </c>
      <c r="C27" s="894"/>
      <c r="D27" s="323" t="s">
        <v>3753</v>
      </c>
      <c r="E27" s="736" t="s">
        <v>1646</v>
      </c>
      <c r="F27" s="894"/>
      <c r="J27" s="321"/>
    </row>
    <row r="28" spans="1:10">
      <c r="A28" s="324">
        <v>1</v>
      </c>
      <c r="B28" s="369">
        <f>IF(A28&gt;D14,0,E55*$D$12)</f>
        <v>16650</v>
      </c>
      <c r="C28" s="369">
        <f>IF(A28&gt;$D$14,0,$D$18+B28)</f>
        <v>260944.8564281984</v>
      </c>
      <c r="D28" s="325">
        <v>21</v>
      </c>
      <c r="E28" s="369">
        <f>IF(D28&gt;$D$14,0,E295*$D$12)</f>
        <v>12787.0742169069</v>
      </c>
      <c r="F28" s="369">
        <f>IF(D28&gt;$D$14,0,$D$18+E28)</f>
        <v>257081.93064510531</v>
      </c>
      <c r="J28" s="321"/>
    </row>
    <row r="29" spans="1:10">
      <c r="A29" s="324">
        <v>2</v>
      </c>
      <c r="B29" s="370">
        <f>IF(A29&gt;D14,0,E67*$D$12)</f>
        <v>16546.867652975667</v>
      </c>
      <c r="C29" s="369">
        <f t="shared" ref="C29:C47" si="0">IF(A29&gt;$D$14,0,$D$18+B29)</f>
        <v>260841.72408117406</v>
      </c>
      <c r="D29" s="325">
        <v>22</v>
      </c>
      <c r="E29" s="369">
        <f>IF(D29&gt;$D$14,0,E307*$D$12)</f>
        <v>12445.685060186428</v>
      </c>
      <c r="F29" s="369">
        <f t="shared" ref="F29:F47" si="1">IF(D29&gt;$D$14,0,$D$18+E29)</f>
        <v>256740.54148838483</v>
      </c>
      <c r="J29" s="321"/>
    </row>
    <row r="30" spans="1:10">
      <c r="A30" s="324">
        <v>3</v>
      </c>
      <c r="B30" s="369">
        <f>IF(A30&gt;D14,0,E79*$D$12)</f>
        <v>16437.374328454425</v>
      </c>
      <c r="C30" s="369">
        <f t="shared" si="0"/>
        <v>260732.23075665283</v>
      </c>
      <c r="D30" s="325">
        <v>23</v>
      </c>
      <c r="E30" s="369">
        <f>IF(D30&gt;$D$14,0,E319*$D$12)</f>
        <v>12083.239767285166</v>
      </c>
      <c r="F30" s="369">
        <f t="shared" si="1"/>
        <v>256378.09619548358</v>
      </c>
      <c r="J30" s="321"/>
    </row>
    <row r="31" spans="1:10">
      <c r="A31" s="324">
        <v>4</v>
      </c>
      <c r="B31" s="369">
        <f>IF(A31&gt;D14,0,E91*$D$12)</f>
        <v>16321.127695262941</v>
      </c>
      <c r="C31" s="369">
        <f t="shared" si="0"/>
        <v>260615.98412346136</v>
      </c>
      <c r="D31" s="325">
        <v>24</v>
      </c>
      <c r="E31" s="369">
        <f>IF(D31&gt;$D$14,0,E331*$D$12)</f>
        <v>11698.439641797169</v>
      </c>
      <c r="F31" s="369">
        <f t="shared" si="1"/>
        <v>255993.29606999556</v>
      </c>
      <c r="J31" s="321"/>
    </row>
    <row r="32" spans="1:10">
      <c r="A32" s="324">
        <v>5</v>
      </c>
      <c r="B32" s="369">
        <f>IF(A32&gt;D14,0,E103*$D$12)</f>
        <v>16197.711224099592</v>
      </c>
      <c r="C32" s="371">
        <f t="shared" si="0"/>
        <v>260492.56765229799</v>
      </c>
      <c r="D32" s="325">
        <v>25</v>
      </c>
      <c r="E32" s="369">
        <f>IF(D32&gt;$D$14,0,E343*$D$12)</f>
        <v>11289.905886563889</v>
      </c>
      <c r="F32" s="371">
        <f t="shared" si="1"/>
        <v>255584.76231476228</v>
      </c>
      <c r="J32" s="321"/>
    </row>
    <row r="33" spans="1:10">
      <c r="A33" s="326">
        <v>6</v>
      </c>
      <c r="B33" s="372">
        <f>IF(A33&gt;D14,0,E115*$D$12)</f>
        <v>16066.682695046851</v>
      </c>
      <c r="C33" s="369">
        <f t="shared" si="0"/>
        <v>260361.53912324525</v>
      </c>
      <c r="D33" s="327">
        <v>26</v>
      </c>
      <c r="E33" s="372">
        <f>IF(D33&gt;$D$14,0,E355*$D$12)</f>
        <v>10856.174663235033</v>
      </c>
      <c r="F33" s="369">
        <f t="shared" si="1"/>
        <v>255151.03109143343</v>
      </c>
      <c r="J33" s="321"/>
    </row>
    <row r="34" spans="1:10">
      <c r="A34" s="328">
        <v>7</v>
      </c>
      <c r="B34" s="373">
        <f>IF(A34&gt;D14,0,E127*$D$12)</f>
        <v>15927.57261303031</v>
      </c>
      <c r="C34" s="369">
        <f t="shared" si="0"/>
        <v>260222.42904122872</v>
      </c>
      <c r="D34" s="325">
        <v>27</v>
      </c>
      <c r="E34" s="373">
        <f>IF(D34&gt;$D$14,0,E367*$D$12)</f>
        <v>10395.691847113938</v>
      </c>
      <c r="F34" s="369">
        <f t="shared" si="1"/>
        <v>254690.54827531235</v>
      </c>
      <c r="J34" s="321"/>
    </row>
    <row r="35" spans="1:10">
      <c r="A35" s="328">
        <v>8</v>
      </c>
      <c r="B35" s="373">
        <f>IF(A35&gt;D14,0,E139*$D$12)</f>
        <v>15779.882525546695</v>
      </c>
      <c r="C35" s="369">
        <f t="shared" si="0"/>
        <v>260074.73895374511</v>
      </c>
      <c r="D35" s="325">
        <v>28</v>
      </c>
      <c r="E35" s="373">
        <f>IF(D35&gt;$D$14,0,E379*$D$12)</f>
        <v>9906.8074584932892</v>
      </c>
      <c r="F35" s="369">
        <f t="shared" si="1"/>
        <v>254201.66388669168</v>
      </c>
      <c r="J35" s="321"/>
    </row>
    <row r="36" spans="1:10">
      <c r="A36" s="328">
        <v>9</v>
      </c>
      <c r="B36" s="373">
        <f>IF(A36&gt;D14,0,E151*$D$12)</f>
        <v>15623.083236633016</v>
      </c>
      <c r="C36" s="369">
        <f t="shared" si="0"/>
        <v>259917.93966483141</v>
      </c>
      <c r="D36" s="325">
        <v>29</v>
      </c>
      <c r="E36" s="373">
        <f>IF(D36&gt;$D$14,0,E391*$D$12)</f>
        <v>9387.7697505278102</v>
      </c>
      <c r="F36" s="369">
        <f t="shared" si="1"/>
        <v>253682.6261787262</v>
      </c>
      <c r="J36" s="321"/>
    </row>
    <row r="37" spans="1:10">
      <c r="A37" s="329">
        <v>10</v>
      </c>
      <c r="B37" s="371">
        <f>IF(A37&gt;D14,0,E163*$D$12)</f>
        <v>15456.612910677231</v>
      </c>
      <c r="C37" s="371">
        <f t="shared" si="0"/>
        <v>259751.46933887564</v>
      </c>
      <c r="D37" s="330">
        <v>30</v>
      </c>
      <c r="E37" s="371">
        <f>IF(D37&gt;$D$14,0,E403*$D$12)</f>
        <v>8836.718932459853</v>
      </c>
      <c r="F37" s="371">
        <f t="shared" si="1"/>
        <v>253131.57536065826</v>
      </c>
      <c r="J37" s="321"/>
    </row>
    <row r="38" spans="1:10">
      <c r="A38" s="331">
        <v>11</v>
      </c>
      <c r="B38" s="369">
        <f>IF(A38&gt;D14,0,E175*$D$12)</f>
        <v>15279.875059276126</v>
      </c>
      <c r="C38" s="369">
        <f t="shared" si="0"/>
        <v>259574.73148747452</v>
      </c>
      <c r="D38" s="325">
        <v>31</v>
      </c>
      <c r="E38" s="369">
        <f>IF(D38&gt;$D$14,0,E415*$D$12)</f>
        <v>8251.6805057073216</v>
      </c>
      <c r="F38" s="369">
        <f t="shared" si="1"/>
        <v>252546.53693390574</v>
      </c>
      <c r="J38" s="321"/>
    </row>
    <row r="39" spans="1:10">
      <c r="A39" s="331">
        <v>12</v>
      </c>
      <c r="B39" s="369">
        <f>IF(A39&gt;D14,0,E187*$D$12)</f>
        <v>15092.236403926965</v>
      </c>
      <c r="C39" s="369">
        <f t="shared" si="0"/>
        <v>259387.09283212537</v>
      </c>
      <c r="D39" s="325">
        <v>32</v>
      </c>
      <c r="E39" s="369">
        <f>IF(D39&gt;$D$14,0,E427*$D$12)</f>
        <v>7630.5581889360456</v>
      </c>
      <c r="F39" s="369">
        <f t="shared" si="1"/>
        <v>251925.41461713443</v>
      </c>
      <c r="J39" s="321"/>
    </row>
    <row r="40" spans="1:10">
      <c r="A40" s="331">
        <v>13</v>
      </c>
      <c r="B40" s="369">
        <f>IF(A40&gt;D14,0,E199*$D$12)</f>
        <v>14893.024606894676</v>
      </c>
      <c r="C40" s="369">
        <f t="shared" si="0"/>
        <v>259187.88103509307</v>
      </c>
      <c r="D40" s="325">
        <v>33</v>
      </c>
      <c r="E40" s="369">
        <f>IF(D40&gt;$D$14,0,E439*$D$12)</f>
        <v>6971.1264067661068</v>
      </c>
      <c r="F40" s="369">
        <f t="shared" si="1"/>
        <v>251265.9828349645</v>
      </c>
      <c r="J40" s="321"/>
    </row>
    <row r="41" spans="1:10">
      <c r="A41" s="331">
        <v>14</v>
      </c>
      <c r="B41" s="369">
        <f>IF(A41&gt;D14,0,E211*$D$12)</f>
        <v>14681.525862123841</v>
      </c>
      <c r="C41" s="369">
        <f t="shared" si="0"/>
        <v>258976.38229032225</v>
      </c>
      <c r="D41" s="325">
        <v>34</v>
      </c>
      <c r="E41" s="369">
        <f>IF(D41&gt;$D$14,0,E451*$D$12)</f>
        <v>6271.0223151980217</v>
      </c>
      <c r="F41" s="369">
        <f t="shared" si="1"/>
        <v>250565.87874339643</v>
      </c>
      <c r="J41" s="321"/>
    </row>
    <row r="42" spans="1:10">
      <c r="A42" s="331">
        <v>15</v>
      </c>
      <c r="B42" s="369">
        <f>IF(A42&gt;D14,0,E223*$D$12)</f>
        <v>14456.982337563448</v>
      </c>
      <c r="C42" s="371">
        <f t="shared" si="0"/>
        <v>258751.83876576184</v>
      </c>
      <c r="D42" s="325">
        <v>35</v>
      </c>
      <c r="E42" s="369">
        <f>IF(D42&gt;$D$14,0,E463*$D$12)</f>
        <v>5527.7373351846336</v>
      </c>
      <c r="F42" s="371">
        <f t="shared" si="1"/>
        <v>249822.59376338305</v>
      </c>
      <c r="J42" s="321"/>
    </row>
    <row r="43" spans="1:10">
      <c r="A43" s="332">
        <v>16</v>
      </c>
      <c r="B43" s="372">
        <f>IF(A43&gt;D14,0,E235*$D$12)</f>
        <v>14218.589459739829</v>
      </c>
      <c r="C43" s="369">
        <f t="shared" si="0"/>
        <v>258513.44588793823</v>
      </c>
      <c r="D43" s="327">
        <v>36</v>
      </c>
      <c r="E43" s="372">
        <f>IF(D43&gt;$D$14,0,E475*$D$12)</f>
        <v>4738.6081640122693</v>
      </c>
      <c r="F43" s="369">
        <f t="shared" si="1"/>
        <v>249033.46459221066</v>
      </c>
      <c r="J43" s="321"/>
    </row>
    <row r="44" spans="1:10">
      <c r="A44" s="328">
        <v>17</v>
      </c>
      <c r="B44" s="373">
        <f>IF(A44&gt;D14,0,E247*$D$12)</f>
        <v>13965.493030847971</v>
      </c>
      <c r="C44" s="369">
        <f t="shared" si="0"/>
        <v>258260.34945904638</v>
      </c>
      <c r="D44" s="325">
        <v>37</v>
      </c>
      <c r="E44" s="373">
        <f>IF(D44&gt;$D$14,0,E487*$D$12)</f>
        <v>3900.8072322835483</v>
      </c>
      <c r="F44" s="369">
        <f t="shared" si="1"/>
        <v>248195.66366048195</v>
      </c>
      <c r="J44" s="321"/>
    </row>
    <row r="45" spans="1:10">
      <c r="A45" s="328">
        <v>18</v>
      </c>
      <c r="B45" s="373">
        <f>IF(A45&gt;D14,0,E259*$D$12)</f>
        <v>13696.78616803134</v>
      </c>
      <c r="C45" s="369">
        <f t="shared" si="0"/>
        <v>257991.64259622974</v>
      </c>
      <c r="D45" s="325">
        <v>38</v>
      </c>
      <c r="E45" s="373">
        <f>IF(D45&gt;$D$14,0,E499*$D$12)</f>
        <v>3011.3325723077614</v>
      </c>
      <c r="F45" s="369">
        <f t="shared" si="1"/>
        <v>247306.18900050616</v>
      </c>
      <c r="J45" s="321"/>
    </row>
    <row r="46" spans="1:10">
      <c r="A46" s="328">
        <v>19</v>
      </c>
      <c r="B46" s="373">
        <f>IF(A46&gt;D14,0,E271*$D$12)</f>
        <v>13411.506053883209</v>
      </c>
      <c r="C46" s="369">
        <f t="shared" si="0"/>
        <v>257706.3624820816</v>
      </c>
      <c r="D46" s="325">
        <v>39</v>
      </c>
      <c r="E46" s="373">
        <f>IF(D46&gt;$D$14,0,E511*$D$12)</f>
        <v>2066.9970615957482</v>
      </c>
      <c r="F46" s="369">
        <f t="shared" si="1"/>
        <v>246361.85348979416</v>
      </c>
      <c r="J46" s="321"/>
    </row>
    <row r="47" spans="1:10">
      <c r="A47" s="329">
        <v>20</v>
      </c>
      <c r="B47" s="371">
        <f>IF(A47&gt;D14,0,E283*$D$12)</f>
        <v>13108.630486525963</v>
      </c>
      <c r="C47" s="371">
        <f t="shared" si="0"/>
        <v>257403.48691472437</v>
      </c>
      <c r="D47" s="330">
        <v>40</v>
      </c>
      <c r="E47" s="371">
        <f>IF(D47&gt;$D$14,0,E523*$D$12)</f>
        <v>1064.4170029170723</v>
      </c>
      <c r="F47" s="371">
        <f t="shared" si="1"/>
        <v>245359.27343111546</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2011-013 Ashley Auburn Pointe II , Atlanta, Fulton County</v>
      </c>
      <c r="B50" s="886"/>
      <c r="C50" s="886"/>
      <c r="D50" s="886"/>
      <c r="E50" s="886"/>
      <c r="F50" s="886"/>
      <c r="G50" s="300"/>
      <c r="H50" s="300"/>
    </row>
    <row r="51" spans="1:10" ht="15">
      <c r="A51" s="887" t="s">
        <v>3743</v>
      </c>
      <c r="B51" s="887"/>
      <c r="C51" s="887"/>
      <c r="D51" s="887"/>
      <c r="E51" s="887"/>
      <c r="F51" s="887"/>
      <c r="G51" s="333"/>
      <c r="H51" s="333"/>
      <c r="I51" s="333"/>
      <c r="J51" s="333"/>
    </row>
    <row r="52" spans="1:10" ht="5.45" customHeight="1">
      <c r="C52" s="273"/>
      <c r="D52" s="273"/>
      <c r="G52" s="278"/>
      <c r="H52" s="272"/>
      <c r="I52" s="278"/>
    </row>
    <row r="53" spans="1:10">
      <c r="A53" s="276" t="s">
        <v>3744</v>
      </c>
      <c r="B53" s="276" t="s">
        <v>3745</v>
      </c>
      <c r="C53" s="276" t="s">
        <v>1994</v>
      </c>
      <c r="D53" s="276" t="s">
        <v>3746</v>
      </c>
      <c r="E53" s="276" t="s">
        <v>3747</v>
      </c>
      <c r="F53" s="307" t="s">
        <v>3753</v>
      </c>
      <c r="G53" s="334"/>
      <c r="H53" s="334"/>
      <c r="I53" s="334"/>
    </row>
    <row r="54" spans="1:10" ht="3.6" customHeight="1">
      <c r="F54" s="111"/>
      <c r="G54" s="278"/>
      <c r="H54" s="272"/>
      <c r="I54" s="278"/>
    </row>
    <row r="55" spans="1:10">
      <c r="A55" s="31" t="s">
        <v>3748</v>
      </c>
      <c r="E55" s="273">
        <f>D5</f>
        <v>3700000</v>
      </c>
      <c r="F55" s="111"/>
      <c r="G55" s="278"/>
      <c r="H55" s="272"/>
      <c r="I55" s="278"/>
    </row>
    <row r="56" spans="1:10">
      <c r="A56" s="745">
        <v>1</v>
      </c>
      <c r="B56" s="284">
        <f t="shared" ref="B56:B119" si="2">IF(A56&gt;12*$D$14,0,$D$20)</f>
        <v>20357.904702349868</v>
      </c>
      <c r="C56" s="284">
        <f t="shared" ref="C56:C119" si="3">IF(A56&gt;12*$D$14,0,E55*$D$10/12)</f>
        <v>18500.000000000004</v>
      </c>
      <c r="D56" s="284">
        <f t="shared" ref="D56:D119" si="4">IF(A56&gt;12*$D$14,0,B56-C56)</f>
        <v>1857.9047023498642</v>
      </c>
      <c r="E56" s="284">
        <f t="shared" ref="E56:E119" si="5">IF(A56&gt;12*$D$14,0,E55-D56)</f>
        <v>3698142.09529765</v>
      </c>
      <c r="F56" s="283"/>
      <c r="G56" s="335"/>
      <c r="H56" s="291"/>
      <c r="I56" s="278"/>
    </row>
    <row r="57" spans="1:10">
      <c r="A57" s="745">
        <v>2</v>
      </c>
      <c r="B57" s="284">
        <f t="shared" si="2"/>
        <v>20357.904702349868</v>
      </c>
      <c r="C57" s="284">
        <f t="shared" si="3"/>
        <v>18490.71047648825</v>
      </c>
      <c r="D57" s="284">
        <f t="shared" si="4"/>
        <v>1867.1942258616182</v>
      </c>
      <c r="E57" s="284">
        <f t="shared" si="5"/>
        <v>3696274.9010717883</v>
      </c>
      <c r="F57" s="283"/>
      <c r="G57" s="335"/>
      <c r="H57" s="291"/>
      <c r="I57" s="278"/>
    </row>
    <row r="58" spans="1:10">
      <c r="A58" s="745">
        <v>3</v>
      </c>
      <c r="B58" s="284">
        <f t="shared" si="2"/>
        <v>20357.904702349868</v>
      </c>
      <c r="C58" s="284">
        <f t="shared" si="3"/>
        <v>18481.374505358941</v>
      </c>
      <c r="D58" s="284">
        <f t="shared" si="4"/>
        <v>1876.5301969909269</v>
      </c>
      <c r="E58" s="284">
        <f t="shared" si="5"/>
        <v>3694398.3708747975</v>
      </c>
      <c r="F58" s="283"/>
      <c r="G58" s="335"/>
      <c r="H58" s="291"/>
      <c r="I58" s="278"/>
    </row>
    <row r="59" spans="1:10">
      <c r="A59" s="745">
        <v>4</v>
      </c>
      <c r="B59" s="284">
        <f t="shared" si="2"/>
        <v>20357.904702349868</v>
      </c>
      <c r="C59" s="284">
        <f t="shared" si="3"/>
        <v>18471.991854373988</v>
      </c>
      <c r="D59" s="284">
        <f t="shared" si="4"/>
        <v>1885.9128479758801</v>
      </c>
      <c r="E59" s="284">
        <f t="shared" si="5"/>
        <v>3692512.4580268217</v>
      </c>
      <c r="F59" s="283"/>
      <c r="G59" s="335"/>
      <c r="H59" s="291"/>
      <c r="I59" s="278"/>
    </row>
    <row r="60" spans="1:10">
      <c r="A60" s="745">
        <v>5</v>
      </c>
      <c r="B60" s="284">
        <f t="shared" si="2"/>
        <v>20357.904702349868</v>
      </c>
      <c r="C60" s="284">
        <f t="shared" si="3"/>
        <v>18462.562290134108</v>
      </c>
      <c r="D60" s="284">
        <f t="shared" si="4"/>
        <v>1895.3424122157594</v>
      </c>
      <c r="E60" s="284">
        <f t="shared" si="5"/>
        <v>3690617.1156146061</v>
      </c>
      <c r="F60" s="283"/>
      <c r="G60" s="335"/>
      <c r="H60" s="291"/>
      <c r="I60" s="278"/>
    </row>
    <row r="61" spans="1:10">
      <c r="A61" s="745">
        <v>6</v>
      </c>
      <c r="B61" s="284">
        <f t="shared" si="2"/>
        <v>20357.904702349868</v>
      </c>
      <c r="C61" s="284">
        <f t="shared" si="3"/>
        <v>18453.085578073031</v>
      </c>
      <c r="D61" s="284">
        <f t="shared" si="4"/>
        <v>1904.8191242768371</v>
      </c>
      <c r="E61" s="284">
        <f t="shared" si="5"/>
        <v>3688712.2964903293</v>
      </c>
      <c r="F61" s="283"/>
      <c r="G61" s="335"/>
      <c r="H61" s="291"/>
      <c r="I61" s="278"/>
    </row>
    <row r="62" spans="1:10">
      <c r="A62" s="745">
        <v>7</v>
      </c>
      <c r="B62" s="284">
        <f t="shared" si="2"/>
        <v>20357.904702349868</v>
      </c>
      <c r="C62" s="284">
        <f t="shared" si="3"/>
        <v>18443.561482451649</v>
      </c>
      <c r="D62" s="284">
        <f t="shared" si="4"/>
        <v>1914.3432198982191</v>
      </c>
      <c r="E62" s="284">
        <f t="shared" si="5"/>
        <v>3686797.9532704311</v>
      </c>
      <c r="F62" s="283"/>
      <c r="G62" s="335"/>
      <c r="H62" s="291"/>
      <c r="I62" s="278"/>
    </row>
    <row r="63" spans="1:10">
      <c r="A63" s="745">
        <v>8</v>
      </c>
      <c r="B63" s="284">
        <f t="shared" si="2"/>
        <v>20357.904702349868</v>
      </c>
      <c r="C63" s="284">
        <f t="shared" si="3"/>
        <v>18433.989766352159</v>
      </c>
      <c r="D63" s="284">
        <f t="shared" si="4"/>
        <v>1923.9149359977091</v>
      </c>
      <c r="E63" s="284">
        <f t="shared" si="5"/>
        <v>3684874.0383344335</v>
      </c>
      <c r="F63" s="283"/>
      <c r="G63" s="335"/>
      <c r="H63" s="291"/>
      <c r="I63" s="278"/>
    </row>
    <row r="64" spans="1:10">
      <c r="A64" s="745">
        <v>9</v>
      </c>
      <c r="B64" s="284">
        <f t="shared" si="2"/>
        <v>20357.904702349868</v>
      </c>
      <c r="C64" s="284">
        <f t="shared" si="3"/>
        <v>18424.370191672169</v>
      </c>
      <c r="D64" s="284">
        <f t="shared" si="4"/>
        <v>1933.5345106776986</v>
      </c>
      <c r="E64" s="284">
        <f t="shared" si="5"/>
        <v>3682940.5038237558</v>
      </c>
      <c r="F64" s="283"/>
      <c r="G64" s="335"/>
      <c r="H64" s="291"/>
      <c r="I64" s="278"/>
    </row>
    <row r="65" spans="1:9">
      <c r="A65" s="745">
        <v>10</v>
      </c>
      <c r="B65" s="284">
        <f t="shared" si="2"/>
        <v>20357.904702349868</v>
      </c>
      <c r="C65" s="284">
        <f t="shared" si="3"/>
        <v>18414.702519118782</v>
      </c>
      <c r="D65" s="284">
        <f t="shared" si="4"/>
        <v>1943.2021832310857</v>
      </c>
      <c r="E65" s="284">
        <f t="shared" si="5"/>
        <v>3680997.3016405245</v>
      </c>
      <c r="F65" s="283"/>
      <c r="G65" s="278"/>
      <c r="H65" s="272"/>
      <c r="I65" s="278"/>
    </row>
    <row r="66" spans="1:9">
      <c r="A66" s="745">
        <v>11</v>
      </c>
      <c r="B66" s="284">
        <f t="shared" si="2"/>
        <v>20357.904702349868</v>
      </c>
      <c r="C66" s="284">
        <f t="shared" si="3"/>
        <v>18404.986508202626</v>
      </c>
      <c r="D66" s="284">
        <f t="shared" si="4"/>
        <v>1952.9181941472416</v>
      </c>
      <c r="E66" s="284">
        <f t="shared" si="5"/>
        <v>3679044.3834463772</v>
      </c>
      <c r="F66" s="283"/>
      <c r="G66" s="278"/>
      <c r="H66" s="272"/>
      <c r="I66" s="278"/>
    </row>
    <row r="67" spans="1:9">
      <c r="A67" s="745">
        <v>12</v>
      </c>
      <c r="B67" s="284">
        <f t="shared" si="2"/>
        <v>20357.904702349868</v>
      </c>
      <c r="C67" s="284">
        <f t="shared" si="3"/>
        <v>18395.221917231887</v>
      </c>
      <c r="D67" s="284">
        <f t="shared" si="4"/>
        <v>1962.6827851179805</v>
      </c>
      <c r="E67" s="284">
        <f t="shared" si="5"/>
        <v>3677081.7006612592</v>
      </c>
      <c r="F67" s="283">
        <v>1</v>
      </c>
      <c r="G67" s="335"/>
      <c r="H67" s="291"/>
      <c r="I67" s="335"/>
    </row>
    <row r="68" spans="1:9">
      <c r="A68" s="745">
        <v>13</v>
      </c>
      <c r="B68" s="284">
        <f t="shared" si="2"/>
        <v>20357.904702349868</v>
      </c>
      <c r="C68" s="284">
        <f t="shared" si="3"/>
        <v>18385.408503306298</v>
      </c>
      <c r="D68" s="284">
        <f t="shared" si="4"/>
        <v>1972.4961990435695</v>
      </c>
      <c r="E68" s="284">
        <f t="shared" si="5"/>
        <v>3675109.2044622158</v>
      </c>
      <c r="F68" s="283"/>
      <c r="G68" s="278"/>
      <c r="H68" s="272"/>
      <c r="I68" s="335"/>
    </row>
    <row r="69" spans="1:9">
      <c r="A69" s="745">
        <v>14</v>
      </c>
      <c r="B69" s="284">
        <f t="shared" si="2"/>
        <v>20357.904702349868</v>
      </c>
      <c r="C69" s="284">
        <f t="shared" si="3"/>
        <v>18375.546022311082</v>
      </c>
      <c r="D69" s="284">
        <f t="shared" si="4"/>
        <v>1982.3586800387857</v>
      </c>
      <c r="E69" s="284">
        <f t="shared" si="5"/>
        <v>3673126.8457821771</v>
      </c>
      <c r="F69" s="283"/>
      <c r="G69" s="278"/>
      <c r="H69" s="272"/>
      <c r="I69" s="278"/>
    </row>
    <row r="70" spans="1:9">
      <c r="A70" s="745">
        <v>15</v>
      </c>
      <c r="B70" s="284">
        <f t="shared" si="2"/>
        <v>20357.904702349868</v>
      </c>
      <c r="C70" s="284">
        <f t="shared" si="3"/>
        <v>18365.634228910887</v>
      </c>
      <c r="D70" s="284">
        <f t="shared" si="4"/>
        <v>1992.2704734389808</v>
      </c>
      <c r="E70" s="284">
        <f t="shared" si="5"/>
        <v>3671134.5753087383</v>
      </c>
      <c r="F70" s="283"/>
      <c r="G70" s="278"/>
      <c r="H70" s="272"/>
      <c r="I70" s="278"/>
    </row>
    <row r="71" spans="1:9">
      <c r="A71" s="745">
        <v>16</v>
      </c>
      <c r="B71" s="284">
        <f t="shared" si="2"/>
        <v>20357.904702349868</v>
      </c>
      <c r="C71" s="284">
        <f t="shared" si="3"/>
        <v>18355.672876543693</v>
      </c>
      <c r="D71" s="284">
        <f t="shared" si="4"/>
        <v>2002.231825806175</v>
      </c>
      <c r="E71" s="284">
        <f t="shared" si="5"/>
        <v>3669132.3434829321</v>
      </c>
      <c r="F71" s="283"/>
      <c r="G71" s="278"/>
      <c r="H71" s="272"/>
      <c r="I71" s="278"/>
    </row>
    <row r="72" spans="1:9">
      <c r="A72" s="745">
        <v>17</v>
      </c>
      <c r="B72" s="284">
        <f t="shared" si="2"/>
        <v>20357.904702349868</v>
      </c>
      <c r="C72" s="284">
        <f t="shared" si="3"/>
        <v>18345.661717414663</v>
      </c>
      <c r="D72" s="284">
        <f t="shared" si="4"/>
        <v>2012.2429849352047</v>
      </c>
      <c r="E72" s="284">
        <f t="shared" si="5"/>
        <v>3667120.1004979969</v>
      </c>
      <c r="F72" s="283"/>
      <c r="G72" s="278"/>
      <c r="H72" s="272"/>
      <c r="I72" s="278"/>
    </row>
    <row r="73" spans="1:9">
      <c r="A73" s="745">
        <v>18</v>
      </c>
      <c r="B73" s="284">
        <f t="shared" si="2"/>
        <v>20357.904702349868</v>
      </c>
      <c r="C73" s="284">
        <f t="shared" si="3"/>
        <v>18335.600502489986</v>
      </c>
      <c r="D73" s="284">
        <f t="shared" si="4"/>
        <v>2022.3041998598819</v>
      </c>
      <c r="E73" s="284">
        <f t="shared" si="5"/>
        <v>3665097.7962981369</v>
      </c>
      <c r="F73" s="283"/>
      <c r="G73" s="335"/>
      <c r="H73" s="291"/>
      <c r="I73" s="278"/>
    </row>
    <row r="74" spans="1:9">
      <c r="A74" s="745">
        <v>19</v>
      </c>
      <c r="B74" s="284">
        <f t="shared" si="2"/>
        <v>20357.904702349868</v>
      </c>
      <c r="C74" s="284">
        <f t="shared" si="3"/>
        <v>18325.488981490686</v>
      </c>
      <c r="D74" s="284">
        <f t="shared" si="4"/>
        <v>2032.4157208591823</v>
      </c>
      <c r="E74" s="284">
        <f t="shared" si="5"/>
        <v>3663065.3805772779</v>
      </c>
      <c r="F74" s="283"/>
      <c r="G74" s="335"/>
      <c r="H74" s="291"/>
      <c r="I74" s="278"/>
    </row>
    <row r="75" spans="1:9">
      <c r="A75" s="745">
        <v>20</v>
      </c>
      <c r="B75" s="284">
        <f t="shared" si="2"/>
        <v>20357.904702349868</v>
      </c>
      <c r="C75" s="284">
        <f t="shared" si="3"/>
        <v>18315.326902886391</v>
      </c>
      <c r="D75" s="284">
        <f t="shared" si="4"/>
        <v>2042.5777994634773</v>
      </c>
      <c r="E75" s="284">
        <f t="shared" si="5"/>
        <v>3661022.8027778142</v>
      </c>
      <c r="F75" s="283"/>
      <c r="G75" s="335"/>
      <c r="H75" s="291"/>
      <c r="I75" s="278"/>
    </row>
    <row r="76" spans="1:9">
      <c r="A76" s="745">
        <v>21</v>
      </c>
      <c r="B76" s="284">
        <f t="shared" si="2"/>
        <v>20357.904702349868</v>
      </c>
      <c r="C76" s="284">
        <f t="shared" si="3"/>
        <v>18305.114013889073</v>
      </c>
      <c r="D76" s="284">
        <f t="shared" si="4"/>
        <v>2052.7906884607946</v>
      </c>
      <c r="E76" s="284">
        <f t="shared" si="5"/>
        <v>3658970.0120893535</v>
      </c>
      <c r="F76" s="283"/>
      <c r="G76" s="335"/>
      <c r="H76" s="291"/>
      <c r="I76" s="278"/>
    </row>
    <row r="77" spans="1:9">
      <c r="A77" s="745">
        <v>22</v>
      </c>
      <c r="B77" s="284">
        <f t="shared" si="2"/>
        <v>20357.904702349868</v>
      </c>
      <c r="C77" s="284">
        <f t="shared" si="3"/>
        <v>18294.85006044677</v>
      </c>
      <c r="D77" s="284">
        <f t="shared" si="4"/>
        <v>2063.0546419030979</v>
      </c>
      <c r="E77" s="284">
        <f t="shared" si="5"/>
        <v>3656906.9574474506</v>
      </c>
      <c r="F77" s="283"/>
      <c r="G77" s="278"/>
      <c r="H77" s="272"/>
      <c r="I77" s="278"/>
    </row>
    <row r="78" spans="1:9">
      <c r="A78" s="745">
        <v>23</v>
      </c>
      <c r="B78" s="284">
        <f t="shared" si="2"/>
        <v>20357.904702349868</v>
      </c>
      <c r="C78" s="284">
        <f t="shared" si="3"/>
        <v>18284.534787237255</v>
      </c>
      <c r="D78" s="284">
        <f t="shared" si="4"/>
        <v>2073.3699151126129</v>
      </c>
      <c r="E78" s="284">
        <f t="shared" si="5"/>
        <v>3654833.5875323382</v>
      </c>
      <c r="F78" s="283"/>
      <c r="G78" s="278"/>
      <c r="H78" s="272"/>
      <c r="I78" s="278"/>
    </row>
    <row r="79" spans="1:9">
      <c r="A79" s="745">
        <v>24</v>
      </c>
      <c r="B79" s="284">
        <f t="shared" si="2"/>
        <v>20357.904702349868</v>
      </c>
      <c r="C79" s="284">
        <f t="shared" si="3"/>
        <v>18274.167937661692</v>
      </c>
      <c r="D79" s="284">
        <f t="shared" si="4"/>
        <v>2083.7367646881758</v>
      </c>
      <c r="E79" s="284">
        <f t="shared" si="5"/>
        <v>3652749.8507676502</v>
      </c>
      <c r="F79" s="283">
        <v>2</v>
      </c>
      <c r="G79" s="335"/>
      <c r="H79" s="291"/>
      <c r="I79" s="335"/>
    </row>
    <row r="80" spans="1:9">
      <c r="A80" s="745">
        <v>25</v>
      </c>
      <c r="B80" s="284">
        <f t="shared" si="2"/>
        <v>20357.904702349868</v>
      </c>
      <c r="C80" s="284">
        <f t="shared" si="3"/>
        <v>18263.749253838254</v>
      </c>
      <c r="D80" s="284">
        <f t="shared" si="4"/>
        <v>2094.1554485116139</v>
      </c>
      <c r="E80" s="284">
        <f t="shared" si="5"/>
        <v>3650655.6953191385</v>
      </c>
      <c r="F80" s="283"/>
      <c r="G80" s="278"/>
      <c r="H80" s="272"/>
      <c r="I80" s="335"/>
    </row>
    <row r="81" spans="1:9">
      <c r="A81" s="745">
        <v>26</v>
      </c>
      <c r="B81" s="284">
        <f t="shared" si="2"/>
        <v>20357.904702349868</v>
      </c>
      <c r="C81" s="284">
        <f t="shared" si="3"/>
        <v>18253.278476595693</v>
      </c>
      <c r="D81" s="284">
        <f t="shared" si="4"/>
        <v>2104.6262257541748</v>
      </c>
      <c r="E81" s="284">
        <f t="shared" si="5"/>
        <v>3648551.0690933843</v>
      </c>
      <c r="F81" s="283"/>
      <c r="G81" s="278"/>
      <c r="H81" s="272"/>
      <c r="I81" s="278"/>
    </row>
    <row r="82" spans="1:9">
      <c r="A82" s="745">
        <v>27</v>
      </c>
      <c r="B82" s="284">
        <f t="shared" si="2"/>
        <v>20357.904702349868</v>
      </c>
      <c r="C82" s="284">
        <f t="shared" si="3"/>
        <v>18242.755345466921</v>
      </c>
      <c r="D82" s="284">
        <f t="shared" si="4"/>
        <v>2115.1493568829464</v>
      </c>
      <c r="E82" s="284">
        <f t="shared" si="5"/>
        <v>3646435.9197365013</v>
      </c>
      <c r="F82" s="283"/>
      <c r="G82" s="278"/>
      <c r="H82" s="272"/>
      <c r="I82" s="278"/>
    </row>
    <row r="83" spans="1:9">
      <c r="A83" s="745">
        <v>28</v>
      </c>
      <c r="B83" s="284">
        <f t="shared" si="2"/>
        <v>20357.904702349868</v>
      </c>
      <c r="C83" s="284">
        <f t="shared" si="3"/>
        <v>18232.179598682509</v>
      </c>
      <c r="D83" s="284">
        <f t="shared" si="4"/>
        <v>2125.7251036673588</v>
      </c>
      <c r="E83" s="284">
        <f t="shared" si="5"/>
        <v>3644310.1946328338</v>
      </c>
      <c r="F83" s="283"/>
      <c r="G83" s="278"/>
      <c r="H83" s="272"/>
      <c r="I83" s="278"/>
    </row>
    <row r="84" spans="1:9">
      <c r="A84" s="745">
        <v>29</v>
      </c>
      <c r="B84" s="284">
        <f t="shared" si="2"/>
        <v>20357.904702349868</v>
      </c>
      <c r="C84" s="284">
        <f t="shared" si="3"/>
        <v>18221.550973164169</v>
      </c>
      <c r="D84" s="284">
        <f t="shared" si="4"/>
        <v>2136.3537291856992</v>
      </c>
      <c r="E84" s="284">
        <f t="shared" si="5"/>
        <v>3642173.8409036482</v>
      </c>
      <c r="F84" s="283"/>
      <c r="G84" s="278"/>
      <c r="H84" s="272"/>
      <c r="I84" s="278"/>
    </row>
    <row r="85" spans="1:9">
      <c r="A85" s="745">
        <v>30</v>
      </c>
      <c r="B85" s="284">
        <f t="shared" si="2"/>
        <v>20357.904702349868</v>
      </c>
      <c r="C85" s="284">
        <f t="shared" si="3"/>
        <v>18210.869204518243</v>
      </c>
      <c r="D85" s="284">
        <f t="shared" si="4"/>
        <v>2147.0354978316245</v>
      </c>
      <c r="E85" s="284">
        <f t="shared" si="5"/>
        <v>3640026.8054058165</v>
      </c>
      <c r="F85" s="283"/>
      <c r="G85" s="335"/>
      <c r="H85" s="291"/>
      <c r="I85" s="278"/>
    </row>
    <row r="86" spans="1:9">
      <c r="A86" s="745">
        <v>31</v>
      </c>
      <c r="B86" s="284">
        <f t="shared" si="2"/>
        <v>20357.904702349868</v>
      </c>
      <c r="C86" s="284">
        <f t="shared" si="3"/>
        <v>18200.134027029086</v>
      </c>
      <c r="D86" s="284">
        <f t="shared" si="4"/>
        <v>2157.7706753207822</v>
      </c>
      <c r="E86" s="284">
        <f t="shared" si="5"/>
        <v>3637869.0347304959</v>
      </c>
      <c r="F86" s="283"/>
      <c r="G86" s="278"/>
      <c r="H86" s="272"/>
      <c r="I86" s="278"/>
    </row>
    <row r="87" spans="1:9">
      <c r="A87" s="745">
        <v>32</v>
      </c>
      <c r="B87" s="284">
        <f t="shared" si="2"/>
        <v>20357.904702349868</v>
      </c>
      <c r="C87" s="284">
        <f t="shared" si="3"/>
        <v>18189.34517365248</v>
      </c>
      <c r="D87" s="284">
        <f t="shared" si="4"/>
        <v>2168.5595286973876</v>
      </c>
      <c r="E87" s="284">
        <f t="shared" si="5"/>
        <v>3635700.4752017986</v>
      </c>
      <c r="F87" s="283"/>
      <c r="G87" s="278"/>
      <c r="H87" s="272"/>
      <c r="I87" s="278"/>
    </row>
    <row r="88" spans="1:9">
      <c r="A88" s="745">
        <v>33</v>
      </c>
      <c r="B88" s="284">
        <f t="shared" si="2"/>
        <v>20357.904702349868</v>
      </c>
      <c r="C88" s="284">
        <f t="shared" si="3"/>
        <v>18178.502376008993</v>
      </c>
      <c r="D88" s="284">
        <f t="shared" si="4"/>
        <v>2179.4023263408744</v>
      </c>
      <c r="E88" s="284">
        <f t="shared" si="5"/>
        <v>3633521.0728754578</v>
      </c>
      <c r="F88" s="283"/>
      <c r="G88" s="278"/>
      <c r="H88" s="272"/>
      <c r="I88" s="278"/>
    </row>
    <row r="89" spans="1:9">
      <c r="A89" s="745">
        <v>34</v>
      </c>
      <c r="B89" s="284">
        <f t="shared" si="2"/>
        <v>20357.904702349868</v>
      </c>
      <c r="C89" s="284">
        <f t="shared" si="3"/>
        <v>18167.60536437729</v>
      </c>
      <c r="D89" s="284">
        <f t="shared" si="4"/>
        <v>2190.2993379725776</v>
      </c>
      <c r="E89" s="284">
        <f t="shared" si="5"/>
        <v>3631330.7735374854</v>
      </c>
      <c r="F89" s="283"/>
      <c r="G89" s="278"/>
      <c r="H89" s="272"/>
      <c r="I89" s="278"/>
    </row>
    <row r="90" spans="1:9">
      <c r="A90" s="745">
        <v>35</v>
      </c>
      <c r="B90" s="284">
        <f t="shared" si="2"/>
        <v>20357.904702349868</v>
      </c>
      <c r="C90" s="284">
        <f t="shared" si="3"/>
        <v>18156.65386768743</v>
      </c>
      <c r="D90" s="284">
        <f t="shared" si="4"/>
        <v>2201.2508346624381</v>
      </c>
      <c r="E90" s="284">
        <f t="shared" si="5"/>
        <v>3629129.5227028229</v>
      </c>
      <c r="F90" s="283"/>
      <c r="G90" s="278"/>
      <c r="H90" s="272"/>
      <c r="I90" s="278"/>
    </row>
    <row r="91" spans="1:9">
      <c r="A91" s="745">
        <v>36</v>
      </c>
      <c r="B91" s="284">
        <f t="shared" si="2"/>
        <v>20357.904702349868</v>
      </c>
      <c r="C91" s="284">
        <f t="shared" si="3"/>
        <v>18145.647613514117</v>
      </c>
      <c r="D91" s="284">
        <f t="shared" si="4"/>
        <v>2212.2570888357513</v>
      </c>
      <c r="E91" s="284">
        <f t="shared" si="5"/>
        <v>3626917.2656139871</v>
      </c>
      <c r="F91" s="283">
        <v>3</v>
      </c>
      <c r="G91" s="335"/>
      <c r="H91" s="291"/>
      <c r="I91" s="335"/>
    </row>
    <row r="92" spans="1:9">
      <c r="A92" s="745">
        <v>37</v>
      </c>
      <c r="B92" s="284">
        <f t="shared" si="2"/>
        <v>20357.904702349868</v>
      </c>
      <c r="C92" s="284">
        <f t="shared" si="3"/>
        <v>18134.586328069938</v>
      </c>
      <c r="D92" s="284">
        <f t="shared" si="4"/>
        <v>2223.3183742799301</v>
      </c>
      <c r="E92" s="284">
        <f t="shared" si="5"/>
        <v>3624693.9472397072</v>
      </c>
      <c r="F92" s="283"/>
      <c r="G92" s="278"/>
      <c r="H92" s="272"/>
      <c r="I92" s="335"/>
    </row>
    <row r="93" spans="1:9">
      <c r="A93" s="745">
        <v>38</v>
      </c>
      <c r="B93" s="284">
        <f t="shared" si="2"/>
        <v>20357.904702349868</v>
      </c>
      <c r="C93" s="284">
        <f t="shared" si="3"/>
        <v>18123.469736198538</v>
      </c>
      <c r="D93" s="284">
        <f t="shared" si="4"/>
        <v>2234.4349661513297</v>
      </c>
      <c r="E93" s="284">
        <f t="shared" si="5"/>
        <v>3622459.5122735561</v>
      </c>
      <c r="F93" s="283"/>
      <c r="G93" s="278"/>
      <c r="H93" s="272"/>
      <c r="I93" s="278"/>
    </row>
    <row r="94" spans="1:9">
      <c r="A94" s="745">
        <v>39</v>
      </c>
      <c r="B94" s="284">
        <f t="shared" si="2"/>
        <v>20357.904702349868</v>
      </c>
      <c r="C94" s="284">
        <f t="shared" si="3"/>
        <v>18112.297561367781</v>
      </c>
      <c r="D94" s="284">
        <f t="shared" si="4"/>
        <v>2245.607140982087</v>
      </c>
      <c r="E94" s="284">
        <f t="shared" si="5"/>
        <v>3620213.905132574</v>
      </c>
      <c r="F94" s="283"/>
      <c r="G94" s="278"/>
      <c r="H94" s="272"/>
      <c r="I94" s="278"/>
    </row>
    <row r="95" spans="1:9">
      <c r="A95" s="745">
        <v>40</v>
      </c>
      <c r="B95" s="284">
        <f t="shared" si="2"/>
        <v>20357.904702349868</v>
      </c>
      <c r="C95" s="284">
        <f t="shared" si="3"/>
        <v>18101.069525662871</v>
      </c>
      <c r="D95" s="284">
        <f t="shared" si="4"/>
        <v>2256.8351766869964</v>
      </c>
      <c r="E95" s="284">
        <f t="shared" si="5"/>
        <v>3617957.0699558868</v>
      </c>
      <c r="F95" s="283"/>
      <c r="G95" s="278"/>
      <c r="H95" s="272"/>
      <c r="I95" s="278"/>
    </row>
    <row r="96" spans="1:9">
      <c r="A96" s="745">
        <v>41</v>
      </c>
      <c r="B96" s="284">
        <f t="shared" si="2"/>
        <v>20357.904702349868</v>
      </c>
      <c r="C96" s="284">
        <f t="shared" si="3"/>
        <v>18089.785349779435</v>
      </c>
      <c r="D96" s="284">
        <f t="shared" si="4"/>
        <v>2268.119352570433</v>
      </c>
      <c r="E96" s="284">
        <f t="shared" si="5"/>
        <v>3615688.9506033165</v>
      </c>
      <c r="F96" s="283"/>
      <c r="G96" s="278"/>
      <c r="H96" s="272"/>
      <c r="I96" s="278"/>
    </row>
    <row r="97" spans="1:9">
      <c r="A97" s="745">
        <v>42</v>
      </c>
      <c r="B97" s="284">
        <f t="shared" si="2"/>
        <v>20357.904702349868</v>
      </c>
      <c r="C97" s="284">
        <f t="shared" si="3"/>
        <v>18078.444753016585</v>
      </c>
      <c r="D97" s="284">
        <f t="shared" si="4"/>
        <v>2279.4599493332826</v>
      </c>
      <c r="E97" s="284">
        <f t="shared" si="5"/>
        <v>3613409.4906539833</v>
      </c>
      <c r="F97" s="283"/>
      <c r="G97" s="335"/>
      <c r="H97" s="291"/>
      <c r="I97" s="278"/>
    </row>
    <row r="98" spans="1:9">
      <c r="A98" s="745">
        <v>43</v>
      </c>
      <c r="B98" s="284">
        <f t="shared" si="2"/>
        <v>20357.904702349868</v>
      </c>
      <c r="C98" s="284">
        <f t="shared" si="3"/>
        <v>18067.047453269919</v>
      </c>
      <c r="D98" s="284">
        <f t="shared" si="4"/>
        <v>2290.8572490799488</v>
      </c>
      <c r="E98" s="284">
        <f t="shared" si="5"/>
        <v>3611118.6334049036</v>
      </c>
      <c r="F98" s="283"/>
      <c r="G98" s="278"/>
      <c r="H98" s="272"/>
      <c r="I98" s="278"/>
    </row>
    <row r="99" spans="1:9">
      <c r="A99" s="745">
        <v>44</v>
      </c>
      <c r="B99" s="284">
        <f t="shared" si="2"/>
        <v>20357.904702349868</v>
      </c>
      <c r="C99" s="284">
        <f t="shared" si="3"/>
        <v>18055.593167024519</v>
      </c>
      <c r="D99" s="284">
        <f t="shared" si="4"/>
        <v>2302.3115353253488</v>
      </c>
      <c r="E99" s="284">
        <f t="shared" si="5"/>
        <v>3608816.3218695782</v>
      </c>
      <c r="F99" s="283"/>
      <c r="G99" s="278"/>
      <c r="H99" s="272"/>
      <c r="I99" s="278"/>
    </row>
    <row r="100" spans="1:9">
      <c r="A100" s="745">
        <v>45</v>
      </c>
      <c r="B100" s="284">
        <f t="shared" si="2"/>
        <v>20357.904702349868</v>
      </c>
      <c r="C100" s="284">
        <f t="shared" si="3"/>
        <v>18044.081609347893</v>
      </c>
      <c r="D100" s="284">
        <f t="shared" si="4"/>
        <v>2313.8230930019745</v>
      </c>
      <c r="E100" s="284">
        <f t="shared" si="5"/>
        <v>3606502.498776576</v>
      </c>
      <c r="F100" s="283"/>
      <c r="G100" s="278"/>
      <c r="H100" s="272"/>
      <c r="I100" s="278"/>
    </row>
    <row r="101" spans="1:9">
      <c r="A101" s="745">
        <v>46</v>
      </c>
      <c r="B101" s="284">
        <f t="shared" si="2"/>
        <v>20357.904702349868</v>
      </c>
      <c r="C101" s="284">
        <f t="shared" si="3"/>
        <v>18032.512493882881</v>
      </c>
      <c r="D101" s="284">
        <f t="shared" si="4"/>
        <v>2325.3922084669866</v>
      </c>
      <c r="E101" s="284">
        <f t="shared" si="5"/>
        <v>3604177.1065681092</v>
      </c>
      <c r="F101" s="283"/>
      <c r="G101" s="278"/>
      <c r="H101" s="272"/>
      <c r="I101" s="278"/>
    </row>
    <row r="102" spans="1:9">
      <c r="A102" s="745">
        <v>47</v>
      </c>
      <c r="B102" s="284">
        <f t="shared" si="2"/>
        <v>20357.904702349868</v>
      </c>
      <c r="C102" s="284">
        <f t="shared" si="3"/>
        <v>18020.885532840548</v>
      </c>
      <c r="D102" s="284">
        <f t="shared" si="4"/>
        <v>2337.0191695093199</v>
      </c>
      <c r="E102" s="284">
        <f t="shared" si="5"/>
        <v>3601840.0873985998</v>
      </c>
      <c r="F102" s="283"/>
      <c r="G102" s="278"/>
      <c r="H102" s="272"/>
      <c r="I102" s="278"/>
    </row>
    <row r="103" spans="1:9">
      <c r="A103" s="745">
        <v>48</v>
      </c>
      <c r="B103" s="284">
        <f t="shared" si="2"/>
        <v>20357.904702349868</v>
      </c>
      <c r="C103" s="284">
        <f t="shared" si="3"/>
        <v>18009.200436993</v>
      </c>
      <c r="D103" s="284">
        <f t="shared" si="4"/>
        <v>2348.7042653568678</v>
      </c>
      <c r="E103" s="284">
        <f t="shared" si="5"/>
        <v>3599491.3831332428</v>
      </c>
      <c r="F103" s="283">
        <v>4</v>
      </c>
      <c r="G103" s="335"/>
      <c r="H103" s="291"/>
      <c r="I103" s="335"/>
    </row>
    <row r="104" spans="1:9">
      <c r="A104" s="745">
        <v>49</v>
      </c>
      <c r="B104" s="284">
        <f t="shared" si="2"/>
        <v>20357.904702349868</v>
      </c>
      <c r="C104" s="284">
        <f t="shared" si="3"/>
        <v>17997.456915666215</v>
      </c>
      <c r="D104" s="284">
        <f t="shared" si="4"/>
        <v>2360.4477866836532</v>
      </c>
      <c r="E104" s="284">
        <f t="shared" si="5"/>
        <v>3597130.9353465592</v>
      </c>
      <c r="F104" s="283"/>
      <c r="G104" s="278"/>
      <c r="H104" s="272"/>
      <c r="I104" s="335"/>
    </row>
    <row r="105" spans="1:9">
      <c r="A105" s="745">
        <v>50</v>
      </c>
      <c r="B105" s="284">
        <f t="shared" si="2"/>
        <v>20357.904702349868</v>
      </c>
      <c r="C105" s="284">
        <f t="shared" si="3"/>
        <v>17985.654676732796</v>
      </c>
      <c r="D105" s="284">
        <f t="shared" si="4"/>
        <v>2372.2500256170715</v>
      </c>
      <c r="E105" s="284">
        <f t="shared" si="5"/>
        <v>3594758.6853209422</v>
      </c>
      <c r="F105" s="283"/>
      <c r="G105" s="278"/>
      <c r="H105" s="272"/>
      <c r="I105" s="278"/>
    </row>
    <row r="106" spans="1:9">
      <c r="A106" s="745">
        <v>51</v>
      </c>
      <c r="B106" s="284">
        <f t="shared" si="2"/>
        <v>20357.904702349868</v>
      </c>
      <c r="C106" s="284">
        <f t="shared" si="3"/>
        <v>17973.793426604712</v>
      </c>
      <c r="D106" s="284">
        <f t="shared" si="4"/>
        <v>2384.1112757451556</v>
      </c>
      <c r="E106" s="284">
        <f t="shared" si="5"/>
        <v>3592374.5740451971</v>
      </c>
      <c r="F106" s="283"/>
      <c r="G106" s="278"/>
      <c r="H106" s="272"/>
      <c r="I106" s="278"/>
    </row>
    <row r="107" spans="1:9">
      <c r="A107" s="745">
        <v>52</v>
      </c>
      <c r="B107" s="284">
        <f t="shared" si="2"/>
        <v>20357.904702349868</v>
      </c>
      <c r="C107" s="284">
        <f t="shared" si="3"/>
        <v>17961.872870225987</v>
      </c>
      <c r="D107" s="284">
        <f t="shared" si="4"/>
        <v>2396.031832123881</v>
      </c>
      <c r="E107" s="284">
        <f t="shared" si="5"/>
        <v>3589978.542213073</v>
      </c>
      <c r="F107" s="283"/>
      <c r="G107" s="278"/>
      <c r="H107" s="272"/>
      <c r="I107" s="278"/>
    </row>
    <row r="108" spans="1:9">
      <c r="A108" s="745">
        <v>53</v>
      </c>
      <c r="B108" s="284">
        <f t="shared" si="2"/>
        <v>20357.904702349868</v>
      </c>
      <c r="C108" s="284">
        <f t="shared" si="3"/>
        <v>17949.892711065368</v>
      </c>
      <c r="D108" s="284">
        <f t="shared" si="4"/>
        <v>2408.0119912845003</v>
      </c>
      <c r="E108" s="284">
        <f t="shared" si="5"/>
        <v>3587570.5302217887</v>
      </c>
      <c r="F108" s="283"/>
      <c r="G108" s="278"/>
      <c r="H108" s="272"/>
      <c r="I108" s="278"/>
    </row>
    <row r="109" spans="1:9">
      <c r="A109" s="745">
        <v>54</v>
      </c>
      <c r="B109" s="284">
        <f t="shared" si="2"/>
        <v>20357.904702349868</v>
      </c>
      <c r="C109" s="284">
        <f t="shared" si="3"/>
        <v>17937.852651108944</v>
      </c>
      <c r="D109" s="284">
        <f t="shared" si="4"/>
        <v>2420.0520512409239</v>
      </c>
      <c r="E109" s="284">
        <f t="shared" si="5"/>
        <v>3585150.4781705476</v>
      </c>
      <c r="F109" s="283"/>
      <c r="G109" s="335"/>
      <c r="H109" s="291"/>
      <c r="I109" s="278"/>
    </row>
    <row r="110" spans="1:9">
      <c r="A110" s="745">
        <v>55</v>
      </c>
      <c r="B110" s="284">
        <f t="shared" si="2"/>
        <v>20357.904702349868</v>
      </c>
      <c r="C110" s="284">
        <f t="shared" si="3"/>
        <v>17925.75239085274</v>
      </c>
      <c r="D110" s="284">
        <f t="shared" si="4"/>
        <v>2432.1523114971278</v>
      </c>
      <c r="E110" s="284">
        <f t="shared" si="5"/>
        <v>3582718.3258590507</v>
      </c>
      <c r="F110" s="283"/>
      <c r="G110" s="278"/>
      <c r="H110" s="272"/>
      <c r="I110" s="278"/>
    </row>
    <row r="111" spans="1:9">
      <c r="A111" s="745">
        <v>56</v>
      </c>
      <c r="B111" s="284">
        <f t="shared" si="2"/>
        <v>20357.904702349868</v>
      </c>
      <c r="C111" s="284">
        <f t="shared" si="3"/>
        <v>17913.591629295257</v>
      </c>
      <c r="D111" s="284">
        <f t="shared" si="4"/>
        <v>2444.3130730546109</v>
      </c>
      <c r="E111" s="284">
        <f t="shared" si="5"/>
        <v>3580274.0127859963</v>
      </c>
      <c r="F111" s="283"/>
      <c r="G111" s="278"/>
      <c r="H111" s="272"/>
      <c r="I111" s="278"/>
    </row>
    <row r="112" spans="1:9">
      <c r="A112" s="745">
        <v>57</v>
      </c>
      <c r="B112" s="284">
        <f t="shared" si="2"/>
        <v>20357.904702349868</v>
      </c>
      <c r="C112" s="284">
        <f t="shared" si="3"/>
        <v>17901.370063929982</v>
      </c>
      <c r="D112" s="284">
        <f t="shared" si="4"/>
        <v>2456.5346384198856</v>
      </c>
      <c r="E112" s="284">
        <f t="shared" si="5"/>
        <v>3577817.4781475766</v>
      </c>
      <c r="F112" s="283"/>
      <c r="G112" s="278"/>
      <c r="H112" s="272"/>
      <c r="I112" s="278"/>
    </row>
    <row r="113" spans="1:9">
      <c r="A113" s="745">
        <v>58</v>
      </c>
      <c r="B113" s="284">
        <f t="shared" si="2"/>
        <v>20357.904702349868</v>
      </c>
      <c r="C113" s="284">
        <f t="shared" si="3"/>
        <v>17889.087390737885</v>
      </c>
      <c r="D113" s="284">
        <f t="shared" si="4"/>
        <v>2468.8173116119833</v>
      </c>
      <c r="E113" s="284">
        <f t="shared" si="5"/>
        <v>3575348.6608359646</v>
      </c>
      <c r="F113" s="283"/>
      <c r="G113" s="278"/>
      <c r="H113" s="272"/>
      <c r="I113" s="278"/>
    </row>
    <row r="114" spans="1:9">
      <c r="A114" s="745">
        <v>59</v>
      </c>
      <c r="B114" s="284">
        <f t="shared" si="2"/>
        <v>20357.904702349868</v>
      </c>
      <c r="C114" s="284">
        <f t="shared" si="3"/>
        <v>17876.743304179825</v>
      </c>
      <c r="D114" s="284">
        <f t="shared" si="4"/>
        <v>2481.161398170043</v>
      </c>
      <c r="E114" s="284">
        <f t="shared" si="5"/>
        <v>3572867.4994377946</v>
      </c>
      <c r="F114" s="283"/>
      <c r="G114" s="278"/>
      <c r="H114" s="272"/>
      <c r="I114" s="278"/>
    </row>
    <row r="115" spans="1:9">
      <c r="A115" s="745">
        <v>60</v>
      </c>
      <c r="B115" s="284">
        <f t="shared" si="2"/>
        <v>20357.904702349868</v>
      </c>
      <c r="C115" s="284">
        <f t="shared" si="3"/>
        <v>17864.337497188975</v>
      </c>
      <c r="D115" s="284">
        <f t="shared" si="4"/>
        <v>2493.5672051608926</v>
      </c>
      <c r="E115" s="284">
        <f t="shared" si="5"/>
        <v>3570373.9322326337</v>
      </c>
      <c r="F115" s="283"/>
      <c r="G115" s="335"/>
      <c r="H115" s="291"/>
      <c r="I115" s="335"/>
    </row>
    <row r="116" spans="1:9">
      <c r="A116" s="745">
        <v>61</v>
      </c>
      <c r="B116" s="284">
        <f t="shared" si="2"/>
        <v>20357.904702349868</v>
      </c>
      <c r="C116" s="284">
        <f t="shared" si="3"/>
        <v>17851.869661163171</v>
      </c>
      <c r="D116" s="284">
        <f t="shared" si="4"/>
        <v>2506.0350411866966</v>
      </c>
      <c r="E116" s="284">
        <f t="shared" si="5"/>
        <v>3567867.8971914472</v>
      </c>
      <c r="F116" s="283"/>
      <c r="G116" s="278"/>
      <c r="H116" s="272"/>
      <c r="I116" s="335"/>
    </row>
    <row r="117" spans="1:9">
      <c r="A117" s="745">
        <v>62</v>
      </c>
      <c r="B117" s="284">
        <f t="shared" si="2"/>
        <v>20357.904702349868</v>
      </c>
      <c r="C117" s="284">
        <f t="shared" si="3"/>
        <v>17839.339485957236</v>
      </c>
      <c r="D117" s="284">
        <f t="shared" si="4"/>
        <v>2518.5652163926316</v>
      </c>
      <c r="E117" s="284">
        <f t="shared" si="5"/>
        <v>3565349.3319750545</v>
      </c>
      <c r="F117" s="283">
        <v>5</v>
      </c>
      <c r="G117" s="278"/>
      <c r="H117" s="272"/>
      <c r="I117" s="278"/>
    </row>
    <row r="118" spans="1:9">
      <c r="A118" s="745">
        <v>63</v>
      </c>
      <c r="B118" s="284">
        <f t="shared" si="2"/>
        <v>20357.904702349868</v>
      </c>
      <c r="C118" s="284">
        <f t="shared" si="3"/>
        <v>17826.746659875273</v>
      </c>
      <c r="D118" s="284">
        <f t="shared" si="4"/>
        <v>2531.1580424745953</v>
      </c>
      <c r="E118" s="284">
        <f t="shared" si="5"/>
        <v>3562818.1739325798</v>
      </c>
      <c r="F118" s="283"/>
      <c r="G118" s="278"/>
      <c r="H118" s="272"/>
      <c r="I118" s="278"/>
    </row>
    <row r="119" spans="1:9">
      <c r="A119" s="745">
        <v>64</v>
      </c>
      <c r="B119" s="284">
        <f t="shared" si="2"/>
        <v>20357.904702349868</v>
      </c>
      <c r="C119" s="284">
        <f t="shared" si="3"/>
        <v>17814.090869662901</v>
      </c>
      <c r="D119" s="284">
        <f t="shared" si="4"/>
        <v>2543.8138326869666</v>
      </c>
      <c r="E119" s="284">
        <f t="shared" si="5"/>
        <v>3560274.3600998931</v>
      </c>
      <c r="F119" s="283"/>
      <c r="G119" s="278"/>
      <c r="H119" s="272"/>
      <c r="I119" s="278"/>
    </row>
    <row r="120" spans="1:9">
      <c r="A120" s="745">
        <v>65</v>
      </c>
      <c r="B120" s="284">
        <f t="shared" ref="B120:B183" si="6">IF(A120&gt;12*$D$14,0,$D$20)</f>
        <v>20357.904702349868</v>
      </c>
      <c r="C120" s="284">
        <f t="shared" ref="C120:C183" si="7">IF(A120&gt;12*$D$14,0,E119*$D$10/12)</f>
        <v>17801.371800499466</v>
      </c>
      <c r="D120" s="284">
        <f t="shared" ref="D120:D183" si="8">IF(A120&gt;12*$D$14,0,B120-C120)</f>
        <v>2556.5329018504017</v>
      </c>
      <c r="E120" s="284">
        <f t="shared" ref="E120:E183" si="9">IF(A120&gt;12*$D$14,0,E119-D120)</f>
        <v>3557717.8271980425</v>
      </c>
      <c r="F120" s="283"/>
      <c r="G120" s="278"/>
      <c r="H120" s="272"/>
      <c r="I120" s="278"/>
    </row>
    <row r="121" spans="1:9">
      <c r="A121" s="745">
        <v>66</v>
      </c>
      <c r="B121" s="284">
        <f t="shared" si="6"/>
        <v>20357.904702349868</v>
      </c>
      <c r="C121" s="284">
        <f t="shared" si="7"/>
        <v>17788.589135990213</v>
      </c>
      <c r="D121" s="284">
        <f t="shared" si="8"/>
        <v>2569.3155663596553</v>
      </c>
      <c r="E121" s="284">
        <f t="shared" si="9"/>
        <v>3555148.511631683</v>
      </c>
      <c r="F121" s="283"/>
      <c r="G121" s="335"/>
      <c r="H121" s="291"/>
      <c r="I121" s="278"/>
    </row>
    <row r="122" spans="1:9">
      <c r="A122" s="745">
        <v>67</v>
      </c>
      <c r="B122" s="284">
        <f t="shared" si="6"/>
        <v>20357.904702349868</v>
      </c>
      <c r="C122" s="284">
        <f t="shared" si="7"/>
        <v>17775.742558158414</v>
      </c>
      <c r="D122" s="284">
        <f t="shared" si="8"/>
        <v>2582.162144191454</v>
      </c>
      <c r="E122" s="284">
        <f t="shared" si="9"/>
        <v>3552566.3494874914</v>
      </c>
      <c r="F122" s="283"/>
      <c r="G122" s="278"/>
      <c r="H122" s="272"/>
      <c r="I122" s="278"/>
    </row>
    <row r="123" spans="1:9">
      <c r="A123" s="745">
        <v>68</v>
      </c>
      <c r="B123" s="284">
        <f t="shared" si="6"/>
        <v>20357.904702349868</v>
      </c>
      <c r="C123" s="284">
        <f t="shared" si="7"/>
        <v>17762.83174743746</v>
      </c>
      <c r="D123" s="284">
        <f t="shared" si="8"/>
        <v>2595.072954912408</v>
      </c>
      <c r="E123" s="284">
        <f t="shared" si="9"/>
        <v>3549971.2765325792</v>
      </c>
      <c r="F123" s="283"/>
      <c r="G123" s="278"/>
      <c r="H123" s="272"/>
      <c r="I123" s="278"/>
    </row>
    <row r="124" spans="1:9">
      <c r="A124" s="745">
        <v>69</v>
      </c>
      <c r="B124" s="284">
        <f t="shared" si="6"/>
        <v>20357.904702349868</v>
      </c>
      <c r="C124" s="284">
        <f t="shared" si="7"/>
        <v>17749.8563826629</v>
      </c>
      <c r="D124" s="284">
        <f t="shared" si="8"/>
        <v>2608.0483196869682</v>
      </c>
      <c r="E124" s="284">
        <f t="shared" si="9"/>
        <v>3547363.2282128921</v>
      </c>
      <c r="F124" s="283"/>
      <c r="G124" s="278"/>
      <c r="H124" s="272"/>
      <c r="I124" s="278"/>
    </row>
    <row r="125" spans="1:9">
      <c r="A125" s="745">
        <v>70</v>
      </c>
      <c r="B125" s="284">
        <f t="shared" si="6"/>
        <v>20357.904702349868</v>
      </c>
      <c r="C125" s="284">
        <f t="shared" si="7"/>
        <v>17736.816141064461</v>
      </c>
      <c r="D125" s="284">
        <f t="shared" si="8"/>
        <v>2621.0885612854072</v>
      </c>
      <c r="E125" s="284">
        <f t="shared" si="9"/>
        <v>3544742.1396516068</v>
      </c>
      <c r="F125" s="283"/>
      <c r="G125" s="278"/>
      <c r="H125" s="272"/>
      <c r="I125" s="278"/>
    </row>
    <row r="126" spans="1:9">
      <c r="A126" s="745">
        <v>71</v>
      </c>
      <c r="B126" s="284">
        <f t="shared" si="6"/>
        <v>20357.904702349868</v>
      </c>
      <c r="C126" s="284">
        <f t="shared" si="7"/>
        <v>17723.710698258034</v>
      </c>
      <c r="D126" s="284">
        <f t="shared" si="8"/>
        <v>2634.1940040918344</v>
      </c>
      <c r="E126" s="284">
        <f t="shared" si="9"/>
        <v>3542107.9456475149</v>
      </c>
      <c r="F126" s="283"/>
      <c r="G126" s="278"/>
      <c r="H126" s="272"/>
      <c r="I126" s="278"/>
    </row>
    <row r="127" spans="1:9">
      <c r="A127" s="745">
        <v>72</v>
      </c>
      <c r="B127" s="284">
        <f t="shared" si="6"/>
        <v>20357.904702349868</v>
      </c>
      <c r="C127" s="284">
        <f t="shared" si="7"/>
        <v>17710.539728237574</v>
      </c>
      <c r="D127" s="284">
        <f t="shared" si="8"/>
        <v>2647.3649741122936</v>
      </c>
      <c r="E127" s="284">
        <f t="shared" si="9"/>
        <v>3539460.5806734026</v>
      </c>
      <c r="F127" s="283"/>
      <c r="G127" s="335"/>
      <c r="H127" s="291"/>
      <c r="I127" s="335"/>
    </row>
    <row r="128" spans="1:9">
      <c r="A128" s="745">
        <v>73</v>
      </c>
      <c r="B128" s="284">
        <f t="shared" si="6"/>
        <v>20357.904702349868</v>
      </c>
      <c r="C128" s="284">
        <f t="shared" si="7"/>
        <v>17697.302903367014</v>
      </c>
      <c r="D128" s="284">
        <f t="shared" si="8"/>
        <v>2660.6017989828542</v>
      </c>
      <c r="E128" s="284">
        <f t="shared" si="9"/>
        <v>3536799.9788744198</v>
      </c>
      <c r="F128" s="283"/>
      <c r="G128" s="278"/>
      <c r="H128" s="272"/>
      <c r="I128" s="335"/>
    </row>
    <row r="129" spans="1:9">
      <c r="A129" s="745">
        <v>74</v>
      </c>
      <c r="B129" s="284">
        <f t="shared" si="6"/>
        <v>20357.904702349868</v>
      </c>
      <c r="C129" s="284">
        <f t="shared" si="7"/>
        <v>17683.9998943721</v>
      </c>
      <c r="D129" s="284">
        <f t="shared" si="8"/>
        <v>2673.9048079777676</v>
      </c>
      <c r="E129" s="284">
        <f t="shared" si="9"/>
        <v>3534126.074066442</v>
      </c>
      <c r="F129" s="283">
        <v>6</v>
      </c>
      <c r="G129" s="278"/>
      <c r="H129" s="272"/>
      <c r="I129" s="278"/>
    </row>
    <row r="130" spans="1:9">
      <c r="A130" s="745">
        <v>75</v>
      </c>
      <c r="B130" s="284">
        <f t="shared" si="6"/>
        <v>20357.904702349868</v>
      </c>
      <c r="C130" s="284">
        <f t="shared" si="7"/>
        <v>17670.630370332212</v>
      </c>
      <c r="D130" s="284">
        <f t="shared" si="8"/>
        <v>2687.274332017656</v>
      </c>
      <c r="E130" s="284">
        <f t="shared" si="9"/>
        <v>3531438.7997344243</v>
      </c>
      <c r="F130" s="283"/>
      <c r="G130" s="278"/>
      <c r="H130" s="272"/>
      <c r="I130" s="278"/>
    </row>
    <row r="131" spans="1:9">
      <c r="A131" s="745">
        <v>76</v>
      </c>
      <c r="B131" s="284">
        <f t="shared" si="6"/>
        <v>20357.904702349868</v>
      </c>
      <c r="C131" s="284">
        <f t="shared" si="7"/>
        <v>17657.193998672123</v>
      </c>
      <c r="D131" s="284">
        <f t="shared" si="8"/>
        <v>2700.7107036777452</v>
      </c>
      <c r="E131" s="284">
        <f t="shared" si="9"/>
        <v>3528738.0890307464</v>
      </c>
      <c r="F131" s="283"/>
      <c r="G131" s="278"/>
      <c r="H131" s="272"/>
      <c r="I131" s="278"/>
    </row>
    <row r="132" spans="1:9">
      <c r="A132" s="745">
        <v>77</v>
      </c>
      <c r="B132" s="284">
        <f t="shared" si="6"/>
        <v>20357.904702349868</v>
      </c>
      <c r="C132" s="284">
        <f t="shared" si="7"/>
        <v>17643.690445153734</v>
      </c>
      <c r="D132" s="284">
        <f t="shared" si="8"/>
        <v>2714.214257196134</v>
      </c>
      <c r="E132" s="284">
        <f t="shared" si="9"/>
        <v>3526023.8747735503</v>
      </c>
      <c r="F132" s="283"/>
      <c r="G132" s="278"/>
      <c r="H132" s="272"/>
      <c r="I132" s="278"/>
    </row>
    <row r="133" spans="1:9">
      <c r="A133" s="745">
        <v>78</v>
      </c>
      <c r="B133" s="284">
        <f t="shared" si="6"/>
        <v>20357.904702349868</v>
      </c>
      <c r="C133" s="284">
        <f t="shared" si="7"/>
        <v>17630.119373867754</v>
      </c>
      <c r="D133" s="284">
        <f t="shared" si="8"/>
        <v>2727.785328482114</v>
      </c>
      <c r="E133" s="284">
        <f t="shared" si="9"/>
        <v>3523296.089445068</v>
      </c>
      <c r="F133" s="283"/>
      <c r="G133" s="335"/>
      <c r="H133" s="291"/>
      <c r="I133" s="278"/>
    </row>
    <row r="134" spans="1:9">
      <c r="A134" s="745">
        <v>79</v>
      </c>
      <c r="B134" s="284">
        <f t="shared" si="6"/>
        <v>20357.904702349868</v>
      </c>
      <c r="C134" s="284">
        <f t="shared" si="7"/>
        <v>17616.480447225342</v>
      </c>
      <c r="D134" s="284">
        <f t="shared" si="8"/>
        <v>2741.4242551245261</v>
      </c>
      <c r="E134" s="284">
        <f t="shared" si="9"/>
        <v>3520554.6651899433</v>
      </c>
      <c r="F134" s="283"/>
      <c r="G134" s="278"/>
      <c r="H134" s="272"/>
      <c r="I134" s="278"/>
    </row>
    <row r="135" spans="1:9">
      <c r="A135" s="745">
        <v>80</v>
      </c>
      <c r="B135" s="284">
        <f t="shared" si="6"/>
        <v>20357.904702349868</v>
      </c>
      <c r="C135" s="284">
        <f t="shared" si="7"/>
        <v>17602.773325949718</v>
      </c>
      <c r="D135" s="284">
        <f t="shared" si="8"/>
        <v>2755.1313764001497</v>
      </c>
      <c r="E135" s="284">
        <f t="shared" si="9"/>
        <v>3517799.5338135432</v>
      </c>
      <c r="F135" s="283"/>
      <c r="G135" s="278"/>
      <c r="H135" s="272"/>
      <c r="I135" s="278"/>
    </row>
    <row r="136" spans="1:9">
      <c r="A136" s="745">
        <v>81</v>
      </c>
      <c r="B136" s="284">
        <f t="shared" si="6"/>
        <v>20357.904702349868</v>
      </c>
      <c r="C136" s="284">
        <f t="shared" si="7"/>
        <v>17588.997669067718</v>
      </c>
      <c r="D136" s="284">
        <f t="shared" si="8"/>
        <v>2768.9070332821502</v>
      </c>
      <c r="E136" s="284">
        <f t="shared" si="9"/>
        <v>3515030.6267802608</v>
      </c>
      <c r="F136" s="283"/>
      <c r="G136" s="278"/>
      <c r="H136" s="272"/>
      <c r="I136" s="278"/>
    </row>
    <row r="137" spans="1:9">
      <c r="A137" s="745">
        <v>82</v>
      </c>
      <c r="B137" s="284">
        <f t="shared" si="6"/>
        <v>20357.904702349868</v>
      </c>
      <c r="C137" s="284">
        <f t="shared" si="7"/>
        <v>17575.153133901305</v>
      </c>
      <c r="D137" s="284">
        <f t="shared" si="8"/>
        <v>2782.7515684485625</v>
      </c>
      <c r="E137" s="284">
        <f t="shared" si="9"/>
        <v>3512247.8752118121</v>
      </c>
      <c r="F137" s="283"/>
      <c r="G137" s="278"/>
      <c r="H137" s="272"/>
      <c r="I137" s="278"/>
    </row>
    <row r="138" spans="1:9">
      <c r="A138" s="745">
        <v>83</v>
      </c>
      <c r="B138" s="284">
        <f t="shared" si="6"/>
        <v>20357.904702349868</v>
      </c>
      <c r="C138" s="284">
        <f t="shared" si="7"/>
        <v>17561.23937605906</v>
      </c>
      <c r="D138" s="284">
        <f t="shared" si="8"/>
        <v>2796.6653262908076</v>
      </c>
      <c r="E138" s="284">
        <f t="shared" si="9"/>
        <v>3509451.2098855213</v>
      </c>
      <c r="F138" s="283"/>
      <c r="G138" s="278"/>
      <c r="H138" s="272"/>
      <c r="I138" s="278"/>
    </row>
    <row r="139" spans="1:9">
      <c r="A139" s="745">
        <v>84</v>
      </c>
      <c r="B139" s="284">
        <f t="shared" si="6"/>
        <v>20357.904702349868</v>
      </c>
      <c r="C139" s="284">
        <f t="shared" si="7"/>
        <v>17547.256049427608</v>
      </c>
      <c r="D139" s="284">
        <f t="shared" si="8"/>
        <v>2810.6486529222602</v>
      </c>
      <c r="E139" s="284">
        <f t="shared" si="9"/>
        <v>3506640.561232599</v>
      </c>
      <c r="F139" s="283">
        <v>7</v>
      </c>
      <c r="G139" s="335"/>
      <c r="H139" s="291"/>
      <c r="I139" s="335"/>
    </row>
    <row r="140" spans="1:9">
      <c r="A140" s="745">
        <v>85</v>
      </c>
      <c r="B140" s="284">
        <f t="shared" si="6"/>
        <v>20357.904702349868</v>
      </c>
      <c r="C140" s="284">
        <f t="shared" si="7"/>
        <v>17533.202806162997</v>
      </c>
      <c r="D140" s="284">
        <f t="shared" si="8"/>
        <v>2824.7018961868707</v>
      </c>
      <c r="E140" s="284">
        <f t="shared" si="9"/>
        <v>3503815.859336412</v>
      </c>
      <c r="F140" s="283"/>
      <c r="G140" s="278"/>
      <c r="H140" s="272"/>
      <c r="I140" s="335"/>
    </row>
    <row r="141" spans="1:9">
      <c r="A141" s="745">
        <v>86</v>
      </c>
      <c r="B141" s="284">
        <f t="shared" si="6"/>
        <v>20357.904702349868</v>
      </c>
      <c r="C141" s="284">
        <f t="shared" si="7"/>
        <v>17519.079296682063</v>
      </c>
      <c r="D141" s="284">
        <f t="shared" si="8"/>
        <v>2838.8254056678052</v>
      </c>
      <c r="E141" s="284">
        <f t="shared" si="9"/>
        <v>3500977.033930744</v>
      </c>
      <c r="F141" s="283"/>
      <c r="G141" s="278"/>
      <c r="H141" s="272"/>
      <c r="I141" s="278"/>
    </row>
    <row r="142" spans="1:9">
      <c r="A142" s="745">
        <v>87</v>
      </c>
      <c r="B142" s="284">
        <f t="shared" si="6"/>
        <v>20357.904702349868</v>
      </c>
      <c r="C142" s="284">
        <f t="shared" si="7"/>
        <v>17504.88516965372</v>
      </c>
      <c r="D142" s="284">
        <f t="shared" si="8"/>
        <v>2853.0195326961475</v>
      </c>
      <c r="E142" s="284">
        <f t="shared" si="9"/>
        <v>3498124.0143980477</v>
      </c>
      <c r="F142" s="283"/>
      <c r="G142" s="278"/>
      <c r="H142" s="272"/>
      <c r="I142" s="278"/>
    </row>
    <row r="143" spans="1:9">
      <c r="A143" s="745">
        <v>88</v>
      </c>
      <c r="B143" s="284">
        <f t="shared" si="6"/>
        <v>20357.904702349868</v>
      </c>
      <c r="C143" s="284">
        <f t="shared" si="7"/>
        <v>17490.620071990241</v>
      </c>
      <c r="D143" s="284">
        <f t="shared" si="8"/>
        <v>2867.284630359627</v>
      </c>
      <c r="E143" s="284">
        <f t="shared" si="9"/>
        <v>3495256.7297676881</v>
      </c>
      <c r="F143" s="283"/>
      <c r="G143" s="278"/>
      <c r="H143" s="272"/>
      <c r="I143" s="278"/>
    </row>
    <row r="144" spans="1:9">
      <c r="A144" s="745">
        <v>89</v>
      </c>
      <c r="B144" s="284">
        <f t="shared" si="6"/>
        <v>20357.904702349868</v>
      </c>
      <c r="C144" s="284">
        <f t="shared" si="7"/>
        <v>17476.283648838442</v>
      </c>
      <c r="D144" s="284">
        <f t="shared" si="8"/>
        <v>2881.621053511426</v>
      </c>
      <c r="E144" s="284">
        <f t="shared" si="9"/>
        <v>3492375.1087141768</v>
      </c>
      <c r="F144" s="283"/>
      <c r="G144" s="278"/>
      <c r="H144" s="272"/>
      <c r="I144" s="278"/>
    </row>
    <row r="145" spans="1:9">
      <c r="A145" s="745">
        <v>90</v>
      </c>
      <c r="B145" s="284">
        <f t="shared" si="6"/>
        <v>20357.904702349868</v>
      </c>
      <c r="C145" s="284">
        <f t="shared" si="7"/>
        <v>17461.875543570884</v>
      </c>
      <c r="D145" s="284">
        <f t="shared" si="8"/>
        <v>2896.0291587789834</v>
      </c>
      <c r="E145" s="284">
        <f t="shared" si="9"/>
        <v>3489479.0795553979</v>
      </c>
      <c r="F145" s="283"/>
      <c r="G145" s="335"/>
      <c r="H145" s="291"/>
      <c r="I145" s="278"/>
    </row>
    <row r="146" spans="1:9">
      <c r="A146" s="745">
        <v>91</v>
      </c>
      <c r="B146" s="284">
        <f t="shared" si="6"/>
        <v>20357.904702349868</v>
      </c>
      <c r="C146" s="284">
        <f t="shared" si="7"/>
        <v>17447.395397776989</v>
      </c>
      <c r="D146" s="284">
        <f t="shared" si="8"/>
        <v>2910.509304572879</v>
      </c>
      <c r="E146" s="284">
        <f t="shared" si="9"/>
        <v>3486568.570250825</v>
      </c>
      <c r="F146" s="283"/>
      <c r="G146" s="278"/>
      <c r="H146" s="272"/>
      <c r="I146" s="278"/>
    </row>
    <row r="147" spans="1:9">
      <c r="A147" s="745">
        <v>92</v>
      </c>
      <c r="B147" s="284">
        <f t="shared" si="6"/>
        <v>20357.904702349868</v>
      </c>
      <c r="C147" s="284">
        <f t="shared" si="7"/>
        <v>17432.842851254125</v>
      </c>
      <c r="D147" s="284">
        <f t="shared" si="8"/>
        <v>2925.0618510957429</v>
      </c>
      <c r="E147" s="284">
        <f t="shared" si="9"/>
        <v>3483643.5083997292</v>
      </c>
      <c r="F147" s="283"/>
      <c r="G147" s="278"/>
      <c r="H147" s="272"/>
      <c r="I147" s="278"/>
    </row>
    <row r="148" spans="1:9">
      <c r="A148" s="745">
        <v>93</v>
      </c>
      <c r="B148" s="284">
        <f t="shared" si="6"/>
        <v>20357.904702349868</v>
      </c>
      <c r="C148" s="284">
        <f t="shared" si="7"/>
        <v>17418.217541998649</v>
      </c>
      <c r="D148" s="284">
        <f t="shared" si="8"/>
        <v>2939.6871603512191</v>
      </c>
      <c r="E148" s="284">
        <f t="shared" si="9"/>
        <v>3480703.8212393778</v>
      </c>
      <c r="F148" s="283"/>
      <c r="G148" s="278"/>
      <c r="H148" s="272"/>
      <c r="I148" s="278"/>
    </row>
    <row r="149" spans="1:9">
      <c r="A149" s="745">
        <v>94</v>
      </c>
      <c r="B149" s="284">
        <f t="shared" si="6"/>
        <v>20357.904702349868</v>
      </c>
      <c r="C149" s="284">
        <f t="shared" si="7"/>
        <v>17403.519106196891</v>
      </c>
      <c r="D149" s="284">
        <f t="shared" si="8"/>
        <v>2954.3855961529771</v>
      </c>
      <c r="E149" s="284">
        <f t="shared" si="9"/>
        <v>3477749.435643225</v>
      </c>
      <c r="F149" s="283"/>
      <c r="G149" s="278"/>
      <c r="H149" s="272"/>
      <c r="I149" s="278"/>
    </row>
    <row r="150" spans="1:9">
      <c r="A150" s="745">
        <v>95</v>
      </c>
      <c r="B150" s="284">
        <f t="shared" si="6"/>
        <v>20357.904702349868</v>
      </c>
      <c r="C150" s="284">
        <f t="shared" si="7"/>
        <v>17388.747178216126</v>
      </c>
      <c r="D150" s="284">
        <f t="shared" si="8"/>
        <v>2969.1575241337414</v>
      </c>
      <c r="E150" s="284">
        <f t="shared" si="9"/>
        <v>3474780.2781190914</v>
      </c>
      <c r="F150" s="283"/>
      <c r="G150" s="278"/>
      <c r="H150" s="272"/>
      <c r="I150" s="278"/>
    </row>
    <row r="151" spans="1:9">
      <c r="A151" s="745">
        <v>96</v>
      </c>
      <c r="B151" s="284">
        <f t="shared" si="6"/>
        <v>20357.904702349868</v>
      </c>
      <c r="C151" s="284">
        <f t="shared" si="7"/>
        <v>17373.90139059546</v>
      </c>
      <c r="D151" s="284">
        <f t="shared" si="8"/>
        <v>2984.0033117544081</v>
      </c>
      <c r="E151" s="284">
        <f t="shared" si="9"/>
        <v>3471796.2748073372</v>
      </c>
      <c r="F151" s="283">
        <v>8</v>
      </c>
      <c r="G151" s="335"/>
      <c r="H151" s="291"/>
      <c r="I151" s="335"/>
    </row>
    <row r="152" spans="1:9">
      <c r="A152" s="745">
        <v>97</v>
      </c>
      <c r="B152" s="284">
        <f t="shared" si="6"/>
        <v>20357.904702349868</v>
      </c>
      <c r="C152" s="284">
        <f t="shared" si="7"/>
        <v>17358.981374036688</v>
      </c>
      <c r="D152" s="284">
        <f t="shared" si="8"/>
        <v>2998.9233283131798</v>
      </c>
      <c r="E152" s="284">
        <f t="shared" si="9"/>
        <v>3468797.3514790242</v>
      </c>
      <c r="F152" s="283"/>
      <c r="G152" s="278"/>
      <c r="H152" s="272"/>
      <c r="I152" s="335"/>
    </row>
    <row r="153" spans="1:9">
      <c r="A153" s="745">
        <v>98</v>
      </c>
      <c r="B153" s="284">
        <f t="shared" si="6"/>
        <v>20357.904702349868</v>
      </c>
      <c r="C153" s="284">
        <f t="shared" si="7"/>
        <v>17343.986757395123</v>
      </c>
      <c r="D153" s="284">
        <f t="shared" si="8"/>
        <v>3013.9179449547446</v>
      </c>
      <c r="E153" s="284">
        <f t="shared" si="9"/>
        <v>3465783.4335340695</v>
      </c>
      <c r="F153" s="283"/>
      <c r="G153" s="278"/>
      <c r="H153" s="272"/>
      <c r="I153" s="278"/>
    </row>
    <row r="154" spans="1:9">
      <c r="A154" s="745">
        <v>99</v>
      </c>
      <c r="B154" s="284">
        <f t="shared" si="6"/>
        <v>20357.904702349868</v>
      </c>
      <c r="C154" s="284">
        <f t="shared" si="7"/>
        <v>17328.917167670348</v>
      </c>
      <c r="D154" s="284">
        <f t="shared" si="8"/>
        <v>3028.9875346795197</v>
      </c>
      <c r="E154" s="284">
        <f t="shared" si="9"/>
        <v>3462754.44599939</v>
      </c>
      <c r="F154" s="283"/>
      <c r="G154" s="278"/>
      <c r="H154" s="272"/>
      <c r="I154" s="278"/>
    </row>
    <row r="155" spans="1:9">
      <c r="A155" s="745">
        <v>100</v>
      </c>
      <c r="B155" s="284">
        <f t="shared" si="6"/>
        <v>20357.904702349868</v>
      </c>
      <c r="C155" s="284">
        <f t="shared" si="7"/>
        <v>17313.77222999695</v>
      </c>
      <c r="D155" s="284">
        <f t="shared" si="8"/>
        <v>3044.1324723529178</v>
      </c>
      <c r="E155" s="284">
        <f t="shared" si="9"/>
        <v>3459710.3135270369</v>
      </c>
      <c r="F155" s="283"/>
      <c r="G155" s="278"/>
      <c r="H155" s="272"/>
      <c r="I155" s="278"/>
    </row>
    <row r="156" spans="1:9">
      <c r="A156" s="745">
        <v>101</v>
      </c>
      <c r="B156" s="284">
        <f t="shared" si="6"/>
        <v>20357.904702349868</v>
      </c>
      <c r="C156" s="284">
        <f t="shared" si="7"/>
        <v>17298.551567635186</v>
      </c>
      <c r="D156" s="284">
        <f t="shared" si="8"/>
        <v>3059.3531347146818</v>
      </c>
      <c r="E156" s="284">
        <f t="shared" si="9"/>
        <v>3456650.9603923224</v>
      </c>
      <c r="F156" s="283"/>
      <c r="G156" s="278"/>
      <c r="H156" s="272"/>
      <c r="I156" s="278"/>
    </row>
    <row r="157" spans="1:9">
      <c r="A157" s="745">
        <v>102</v>
      </c>
      <c r="B157" s="284">
        <f t="shared" si="6"/>
        <v>20357.904702349868</v>
      </c>
      <c r="C157" s="284">
        <f t="shared" si="7"/>
        <v>17283.254801961612</v>
      </c>
      <c r="D157" s="284">
        <f t="shared" si="8"/>
        <v>3074.6499003882564</v>
      </c>
      <c r="E157" s="284">
        <f t="shared" si="9"/>
        <v>3453576.310491934</v>
      </c>
      <c r="F157" s="283"/>
      <c r="G157" s="335"/>
      <c r="H157" s="291"/>
      <c r="I157" s="278"/>
    </row>
    <row r="158" spans="1:9">
      <c r="A158" s="745">
        <v>103</v>
      </c>
      <c r="B158" s="284">
        <f t="shared" si="6"/>
        <v>20357.904702349868</v>
      </c>
      <c r="C158" s="284">
        <f t="shared" si="7"/>
        <v>17267.881552459672</v>
      </c>
      <c r="D158" s="284">
        <f t="shared" si="8"/>
        <v>3090.0231498901958</v>
      </c>
      <c r="E158" s="284">
        <f t="shared" si="9"/>
        <v>3450486.2873420436</v>
      </c>
      <c r="F158" s="283"/>
      <c r="G158" s="278"/>
      <c r="H158" s="272"/>
      <c r="I158" s="278"/>
    </row>
    <row r="159" spans="1:9">
      <c r="A159" s="745">
        <v>104</v>
      </c>
      <c r="B159" s="284">
        <f t="shared" si="6"/>
        <v>20357.904702349868</v>
      </c>
      <c r="C159" s="284">
        <f t="shared" si="7"/>
        <v>17252.43143671022</v>
      </c>
      <c r="D159" s="284">
        <f t="shared" si="8"/>
        <v>3105.4732656396482</v>
      </c>
      <c r="E159" s="284">
        <f t="shared" si="9"/>
        <v>3447380.8140764041</v>
      </c>
      <c r="F159" s="283"/>
      <c r="G159" s="278"/>
      <c r="H159" s="272"/>
      <c r="I159" s="278"/>
    </row>
    <row r="160" spans="1:9">
      <c r="A160" s="745">
        <v>105</v>
      </c>
      <c r="B160" s="284">
        <f t="shared" si="6"/>
        <v>20357.904702349868</v>
      </c>
      <c r="C160" s="284">
        <f t="shared" si="7"/>
        <v>17236.904070382021</v>
      </c>
      <c r="D160" s="284">
        <f t="shared" si="8"/>
        <v>3121.0006319678469</v>
      </c>
      <c r="E160" s="284">
        <f t="shared" si="9"/>
        <v>3444259.8134444361</v>
      </c>
      <c r="F160" s="283"/>
      <c r="G160" s="278"/>
      <c r="H160" s="272"/>
      <c r="I160" s="278"/>
    </row>
    <row r="161" spans="1:9">
      <c r="A161" s="745">
        <v>106</v>
      </c>
      <c r="B161" s="284">
        <f t="shared" si="6"/>
        <v>20357.904702349868</v>
      </c>
      <c r="C161" s="284">
        <f t="shared" si="7"/>
        <v>17221.299067222182</v>
      </c>
      <c r="D161" s="284">
        <f t="shared" si="8"/>
        <v>3136.6056351276857</v>
      </c>
      <c r="E161" s="284">
        <f t="shared" si="9"/>
        <v>3441123.2078093085</v>
      </c>
      <c r="F161" s="283"/>
      <c r="G161" s="278"/>
      <c r="H161" s="272"/>
      <c r="I161" s="278"/>
    </row>
    <row r="162" spans="1:9">
      <c r="A162" s="745">
        <v>107</v>
      </c>
      <c r="B162" s="284">
        <f t="shared" si="6"/>
        <v>20357.904702349868</v>
      </c>
      <c r="C162" s="284">
        <f t="shared" si="7"/>
        <v>17205.616039046545</v>
      </c>
      <c r="D162" s="284">
        <f t="shared" si="8"/>
        <v>3152.2886633033231</v>
      </c>
      <c r="E162" s="284">
        <f t="shared" si="9"/>
        <v>3437970.9191460051</v>
      </c>
      <c r="F162" s="283"/>
      <c r="G162" s="278"/>
      <c r="H162" s="272"/>
      <c r="I162" s="278"/>
    </row>
    <row r="163" spans="1:9">
      <c r="A163" s="745">
        <v>108</v>
      </c>
      <c r="B163" s="284">
        <f t="shared" si="6"/>
        <v>20357.904702349868</v>
      </c>
      <c r="C163" s="284">
        <f t="shared" si="7"/>
        <v>17189.854595730027</v>
      </c>
      <c r="D163" s="284">
        <f t="shared" si="8"/>
        <v>3168.0501066198412</v>
      </c>
      <c r="E163" s="284">
        <f t="shared" si="9"/>
        <v>3434802.8690393851</v>
      </c>
      <c r="F163" s="283">
        <v>9</v>
      </c>
      <c r="G163" s="335"/>
      <c r="H163" s="291"/>
      <c r="I163" s="335"/>
    </row>
    <row r="164" spans="1:9">
      <c r="A164" s="745">
        <v>109</v>
      </c>
      <c r="B164" s="284">
        <f t="shared" si="6"/>
        <v>20357.904702349868</v>
      </c>
      <c r="C164" s="284">
        <f t="shared" si="7"/>
        <v>17174.014345196927</v>
      </c>
      <c r="D164" s="284">
        <f t="shared" si="8"/>
        <v>3183.8903571529409</v>
      </c>
      <c r="E164" s="284">
        <f t="shared" si="9"/>
        <v>3431618.9786822321</v>
      </c>
      <c r="F164" s="283"/>
      <c r="G164" s="278"/>
      <c r="H164" s="272"/>
      <c r="I164" s="335"/>
    </row>
    <row r="165" spans="1:9">
      <c r="A165" s="745">
        <v>110</v>
      </c>
      <c r="B165" s="284">
        <f t="shared" si="6"/>
        <v>20357.904702349868</v>
      </c>
      <c r="C165" s="284">
        <f t="shared" si="7"/>
        <v>17158.094893411162</v>
      </c>
      <c r="D165" s="284">
        <f t="shared" si="8"/>
        <v>3199.8098089387058</v>
      </c>
      <c r="E165" s="284">
        <f t="shared" si="9"/>
        <v>3428419.1688732933</v>
      </c>
      <c r="F165" s="283"/>
      <c r="G165" s="278"/>
      <c r="H165" s="272"/>
      <c r="I165" s="278"/>
    </row>
    <row r="166" spans="1:9">
      <c r="A166" s="745">
        <v>111</v>
      </c>
      <c r="B166" s="284">
        <f t="shared" si="6"/>
        <v>20357.904702349868</v>
      </c>
      <c r="C166" s="284">
        <f t="shared" si="7"/>
        <v>17142.095844366468</v>
      </c>
      <c r="D166" s="284">
        <f t="shared" si="8"/>
        <v>3215.8088579834002</v>
      </c>
      <c r="E166" s="284">
        <f t="shared" si="9"/>
        <v>3425203.3600153099</v>
      </c>
      <c r="F166" s="283"/>
      <c r="G166" s="278"/>
      <c r="H166" s="272"/>
      <c r="I166" s="278"/>
    </row>
    <row r="167" spans="1:9">
      <c r="A167" s="745">
        <v>112</v>
      </c>
      <c r="B167" s="284">
        <f t="shared" si="6"/>
        <v>20357.904702349868</v>
      </c>
      <c r="C167" s="284">
        <f t="shared" si="7"/>
        <v>17126.016800076552</v>
      </c>
      <c r="D167" s="284">
        <f t="shared" si="8"/>
        <v>3231.8879022733163</v>
      </c>
      <c r="E167" s="284">
        <f t="shared" si="9"/>
        <v>3421971.4721130366</v>
      </c>
      <c r="F167" s="283"/>
      <c r="G167" s="278"/>
      <c r="H167" s="272"/>
      <c r="I167" s="278"/>
    </row>
    <row r="168" spans="1:9">
      <c r="A168" s="745">
        <v>113</v>
      </c>
      <c r="B168" s="284">
        <f t="shared" si="6"/>
        <v>20357.904702349868</v>
      </c>
      <c r="C168" s="284">
        <f t="shared" si="7"/>
        <v>17109.857360565184</v>
      </c>
      <c r="D168" s="284">
        <f t="shared" si="8"/>
        <v>3248.0473417846842</v>
      </c>
      <c r="E168" s="284">
        <f t="shared" si="9"/>
        <v>3418723.4247712521</v>
      </c>
      <c r="F168" s="283"/>
      <c r="G168" s="278"/>
      <c r="H168" s="272"/>
      <c r="I168" s="278"/>
    </row>
    <row r="169" spans="1:9">
      <c r="A169" s="745">
        <v>114</v>
      </c>
      <c r="B169" s="284">
        <f t="shared" si="6"/>
        <v>20357.904702349868</v>
      </c>
      <c r="C169" s="284">
        <f t="shared" si="7"/>
        <v>17093.617123856264</v>
      </c>
      <c r="D169" s="284">
        <f t="shared" si="8"/>
        <v>3264.2875784936041</v>
      </c>
      <c r="E169" s="284">
        <f t="shared" si="9"/>
        <v>3415459.1371927583</v>
      </c>
      <c r="F169" s="283"/>
      <c r="G169" s="335"/>
      <c r="H169" s="291"/>
      <c r="I169" s="278"/>
    </row>
    <row r="170" spans="1:9">
      <c r="A170" s="745">
        <v>115</v>
      </c>
      <c r="B170" s="284">
        <f t="shared" si="6"/>
        <v>20357.904702349868</v>
      </c>
      <c r="C170" s="284">
        <f t="shared" si="7"/>
        <v>17077.295685963792</v>
      </c>
      <c r="D170" s="284">
        <f t="shared" si="8"/>
        <v>3280.6090163860754</v>
      </c>
      <c r="E170" s="284">
        <f t="shared" si="9"/>
        <v>3412178.5281763724</v>
      </c>
      <c r="F170" s="283"/>
      <c r="G170" s="278"/>
      <c r="H170" s="272"/>
      <c r="I170" s="278"/>
    </row>
    <row r="171" spans="1:9">
      <c r="A171" s="745">
        <v>116</v>
      </c>
      <c r="B171" s="284">
        <f t="shared" si="6"/>
        <v>20357.904702349868</v>
      </c>
      <c r="C171" s="284">
        <f t="shared" si="7"/>
        <v>17060.892640881862</v>
      </c>
      <c r="D171" s="284">
        <f t="shared" si="8"/>
        <v>3297.0120614680054</v>
      </c>
      <c r="E171" s="284">
        <f t="shared" si="9"/>
        <v>3408881.5161149045</v>
      </c>
      <c r="F171" s="283"/>
      <c r="G171" s="278"/>
      <c r="H171" s="272"/>
      <c r="I171" s="278"/>
    </row>
    <row r="172" spans="1:9">
      <c r="A172" s="745">
        <v>117</v>
      </c>
      <c r="B172" s="284">
        <f t="shared" si="6"/>
        <v>20357.904702349868</v>
      </c>
      <c r="C172" s="284">
        <f t="shared" si="7"/>
        <v>17044.407580574523</v>
      </c>
      <c r="D172" s="284">
        <f t="shared" si="8"/>
        <v>3313.4971217753446</v>
      </c>
      <c r="E172" s="284">
        <f t="shared" si="9"/>
        <v>3405568.018993129</v>
      </c>
      <c r="F172" s="283"/>
      <c r="G172" s="278"/>
      <c r="H172" s="272"/>
      <c r="I172" s="278"/>
    </row>
    <row r="173" spans="1:9">
      <c r="A173" s="745">
        <v>118</v>
      </c>
      <c r="B173" s="284">
        <f t="shared" si="6"/>
        <v>20357.904702349868</v>
      </c>
      <c r="C173" s="284">
        <f t="shared" si="7"/>
        <v>17027.840094965646</v>
      </c>
      <c r="D173" s="284">
        <f t="shared" si="8"/>
        <v>3330.0646073842217</v>
      </c>
      <c r="E173" s="284">
        <f t="shared" si="9"/>
        <v>3402237.9543857449</v>
      </c>
      <c r="F173" s="283"/>
      <c r="G173" s="278"/>
      <c r="H173" s="272"/>
      <c r="I173" s="278"/>
    </row>
    <row r="174" spans="1:9">
      <c r="A174" s="745">
        <v>119</v>
      </c>
      <c r="B174" s="284">
        <f t="shared" si="6"/>
        <v>20357.904702349868</v>
      </c>
      <c r="C174" s="284">
        <f t="shared" si="7"/>
        <v>17011.189771928726</v>
      </c>
      <c r="D174" s="284">
        <f t="shared" si="8"/>
        <v>3346.7149304211416</v>
      </c>
      <c r="E174" s="284">
        <f t="shared" si="9"/>
        <v>3398891.2394553237</v>
      </c>
      <c r="F174" s="283"/>
      <c r="G174" s="278"/>
      <c r="H174" s="272"/>
      <c r="I174" s="278"/>
    </row>
    <row r="175" spans="1:9">
      <c r="A175" s="745">
        <v>120</v>
      </c>
      <c r="B175" s="284">
        <f t="shared" si="6"/>
        <v>20357.904702349868</v>
      </c>
      <c r="C175" s="284">
        <f t="shared" si="7"/>
        <v>16994.456197276621</v>
      </c>
      <c r="D175" s="284">
        <f t="shared" si="8"/>
        <v>3363.4485050732474</v>
      </c>
      <c r="E175" s="284">
        <f t="shared" si="9"/>
        <v>3395527.7909502503</v>
      </c>
      <c r="F175" s="283">
        <v>10</v>
      </c>
      <c r="G175" s="335"/>
      <c r="H175" s="291"/>
      <c r="I175" s="335"/>
    </row>
    <row r="176" spans="1:9">
      <c r="A176" s="745">
        <v>121</v>
      </c>
      <c r="B176" s="284">
        <f t="shared" si="6"/>
        <v>20357.904702349868</v>
      </c>
      <c r="C176" s="284">
        <f t="shared" si="7"/>
        <v>16977.638954751255</v>
      </c>
      <c r="D176" s="284">
        <f t="shared" si="8"/>
        <v>3380.2657475986125</v>
      </c>
      <c r="E176" s="284">
        <f t="shared" si="9"/>
        <v>3392147.5252026515</v>
      </c>
      <c r="F176" s="283"/>
      <c r="G176" s="278"/>
      <c r="H176" s="272"/>
      <c r="I176" s="335"/>
    </row>
    <row r="177" spans="1:9">
      <c r="A177" s="745">
        <v>122</v>
      </c>
      <c r="B177" s="284">
        <f t="shared" si="6"/>
        <v>20357.904702349868</v>
      </c>
      <c r="C177" s="284">
        <f t="shared" si="7"/>
        <v>16960.737626013259</v>
      </c>
      <c r="D177" s="284">
        <f t="shared" si="8"/>
        <v>3397.1670763366092</v>
      </c>
      <c r="E177" s="284">
        <f t="shared" si="9"/>
        <v>3388750.3581263148</v>
      </c>
      <c r="F177" s="283"/>
      <c r="G177" s="278"/>
      <c r="H177" s="272"/>
      <c r="I177" s="278"/>
    </row>
    <row r="178" spans="1:9">
      <c r="A178" s="745">
        <v>123</v>
      </c>
      <c r="B178" s="284">
        <f t="shared" si="6"/>
        <v>20357.904702349868</v>
      </c>
      <c r="C178" s="284">
        <f t="shared" si="7"/>
        <v>16943.751790631573</v>
      </c>
      <c r="D178" s="284">
        <f t="shared" si="8"/>
        <v>3414.1529117182945</v>
      </c>
      <c r="E178" s="284">
        <f t="shared" si="9"/>
        <v>3385336.2052145964</v>
      </c>
      <c r="F178" s="283"/>
      <c r="G178" s="278"/>
      <c r="H178" s="272"/>
      <c r="I178" s="278"/>
    </row>
    <row r="179" spans="1:9">
      <c r="A179" s="745">
        <v>124</v>
      </c>
      <c r="B179" s="284">
        <f t="shared" si="6"/>
        <v>20357.904702349868</v>
      </c>
      <c r="C179" s="284">
        <f t="shared" si="7"/>
        <v>16926.681026072984</v>
      </c>
      <c r="D179" s="284">
        <f t="shared" si="8"/>
        <v>3431.2236762768844</v>
      </c>
      <c r="E179" s="284">
        <f t="shared" si="9"/>
        <v>3381904.9815383195</v>
      </c>
      <c r="F179" s="283"/>
      <c r="G179" s="278"/>
      <c r="H179" s="272"/>
      <c r="I179" s="278"/>
    </row>
    <row r="180" spans="1:9">
      <c r="A180" s="745">
        <v>125</v>
      </c>
      <c r="B180" s="284">
        <f t="shared" si="6"/>
        <v>20357.904702349868</v>
      </c>
      <c r="C180" s="284">
        <f t="shared" si="7"/>
        <v>16909.524907691597</v>
      </c>
      <c r="D180" s="284">
        <f t="shared" si="8"/>
        <v>3448.3797946582708</v>
      </c>
      <c r="E180" s="284">
        <f t="shared" si="9"/>
        <v>3378456.6017436613</v>
      </c>
      <c r="F180" s="283"/>
      <c r="G180" s="278"/>
      <c r="H180" s="272"/>
      <c r="I180" s="278"/>
    </row>
    <row r="181" spans="1:9">
      <c r="A181" s="745">
        <v>126</v>
      </c>
      <c r="B181" s="284">
        <f t="shared" si="6"/>
        <v>20357.904702349868</v>
      </c>
      <c r="C181" s="284">
        <f t="shared" si="7"/>
        <v>16892.283008718307</v>
      </c>
      <c r="D181" s="284">
        <f t="shared" si="8"/>
        <v>3465.6216936315614</v>
      </c>
      <c r="E181" s="284">
        <f t="shared" si="9"/>
        <v>3374990.9800500297</v>
      </c>
      <c r="F181" s="283"/>
      <c r="G181" s="335"/>
      <c r="H181" s="291"/>
      <c r="I181" s="278"/>
    </row>
    <row r="182" spans="1:9">
      <c r="A182" s="745">
        <v>127</v>
      </c>
      <c r="B182" s="284">
        <f t="shared" si="6"/>
        <v>20357.904702349868</v>
      </c>
      <c r="C182" s="284">
        <f t="shared" si="7"/>
        <v>16874.954900250148</v>
      </c>
      <c r="D182" s="284">
        <f t="shared" si="8"/>
        <v>3482.9498020997198</v>
      </c>
      <c r="E182" s="284">
        <f t="shared" si="9"/>
        <v>3371508.03024793</v>
      </c>
      <c r="F182" s="283"/>
      <c r="G182" s="278"/>
      <c r="H182" s="272"/>
      <c r="I182" s="278"/>
    </row>
    <row r="183" spans="1:9">
      <c r="A183" s="745">
        <v>128</v>
      </c>
      <c r="B183" s="284">
        <f t="shared" si="6"/>
        <v>20357.904702349868</v>
      </c>
      <c r="C183" s="284">
        <f t="shared" si="7"/>
        <v>16857.540151239653</v>
      </c>
      <c r="D183" s="284">
        <f t="shared" si="8"/>
        <v>3500.364551110215</v>
      </c>
      <c r="E183" s="284">
        <f t="shared" si="9"/>
        <v>3368007.6656968198</v>
      </c>
      <c r="F183" s="283"/>
      <c r="G183" s="278"/>
      <c r="H183" s="272"/>
      <c r="I183" s="278"/>
    </row>
    <row r="184" spans="1:9">
      <c r="A184" s="745">
        <v>129</v>
      </c>
      <c r="B184" s="284">
        <f t="shared" ref="B184:B247" si="10">IF(A184&gt;12*$D$14,0,$D$20)</f>
        <v>20357.904702349868</v>
      </c>
      <c r="C184" s="284">
        <f t="shared" ref="C184:C247" si="11">IF(A184&gt;12*$D$14,0,E183*$D$10/12)</f>
        <v>16840.038328484101</v>
      </c>
      <c r="D184" s="284">
        <f t="shared" ref="D184:D247" si="12">IF(A184&gt;12*$D$14,0,B184-C184)</f>
        <v>3517.8663738657669</v>
      </c>
      <c r="E184" s="284">
        <f t="shared" ref="E184:E247" si="13">IF(A184&gt;12*$D$14,0,E183-D184)</f>
        <v>3364489.7993229539</v>
      </c>
      <c r="F184" s="283"/>
      <c r="G184" s="278"/>
      <c r="H184" s="272"/>
      <c r="I184" s="278"/>
    </row>
    <row r="185" spans="1:9">
      <c r="A185" s="745">
        <v>130</v>
      </c>
      <c r="B185" s="284">
        <f t="shared" si="10"/>
        <v>20357.904702349868</v>
      </c>
      <c r="C185" s="284">
        <f t="shared" si="11"/>
        <v>16822.44899661477</v>
      </c>
      <c r="D185" s="284">
        <f t="shared" si="12"/>
        <v>3535.4557057350976</v>
      </c>
      <c r="E185" s="284">
        <f t="shared" si="13"/>
        <v>3360954.343617219</v>
      </c>
      <c r="F185" s="283"/>
      <c r="G185" s="278"/>
      <c r="H185" s="272"/>
      <c r="I185" s="278"/>
    </row>
    <row r="186" spans="1:9">
      <c r="A186" s="745">
        <v>131</v>
      </c>
      <c r="B186" s="284">
        <f t="shared" si="10"/>
        <v>20357.904702349868</v>
      </c>
      <c r="C186" s="284">
        <f t="shared" si="11"/>
        <v>16804.771718086096</v>
      </c>
      <c r="D186" s="284">
        <f t="shared" si="12"/>
        <v>3553.1329842637715</v>
      </c>
      <c r="E186" s="284">
        <f t="shared" si="13"/>
        <v>3357401.2106329552</v>
      </c>
      <c r="F186" s="283"/>
      <c r="G186" s="278"/>
      <c r="H186" s="272"/>
      <c r="I186" s="278"/>
    </row>
    <row r="187" spans="1:9">
      <c r="A187" s="745">
        <v>132</v>
      </c>
      <c r="B187" s="284">
        <f t="shared" si="10"/>
        <v>20357.904702349868</v>
      </c>
      <c r="C187" s="284">
        <f t="shared" si="11"/>
        <v>16787.00605316478</v>
      </c>
      <c r="D187" s="284">
        <f t="shared" si="12"/>
        <v>3570.8986491850883</v>
      </c>
      <c r="E187" s="284">
        <f t="shared" si="13"/>
        <v>3353830.3119837702</v>
      </c>
      <c r="F187" s="283">
        <v>11</v>
      </c>
      <c r="G187" s="335"/>
      <c r="H187" s="291"/>
      <c r="I187" s="335"/>
    </row>
    <row r="188" spans="1:9">
      <c r="A188" s="745">
        <v>133</v>
      </c>
      <c r="B188" s="284">
        <f t="shared" si="10"/>
        <v>20357.904702349868</v>
      </c>
      <c r="C188" s="284">
        <f t="shared" si="11"/>
        <v>16769.151559918853</v>
      </c>
      <c r="D188" s="284">
        <f t="shared" si="12"/>
        <v>3588.7531424310146</v>
      </c>
      <c r="E188" s="284">
        <f t="shared" si="13"/>
        <v>3350241.5588413393</v>
      </c>
      <c r="F188" s="283"/>
      <c r="G188" s="278"/>
      <c r="H188" s="272"/>
      <c r="I188" s="335"/>
    </row>
    <row r="189" spans="1:9">
      <c r="A189" s="745">
        <v>134</v>
      </c>
      <c r="B189" s="284">
        <f t="shared" si="10"/>
        <v>20357.904702349868</v>
      </c>
      <c r="C189" s="284">
        <f t="shared" si="11"/>
        <v>16751.207794206697</v>
      </c>
      <c r="D189" s="284">
        <f t="shared" si="12"/>
        <v>3606.6969081431707</v>
      </c>
      <c r="E189" s="284">
        <f t="shared" si="13"/>
        <v>3346634.861933196</v>
      </c>
      <c r="F189" s="283"/>
      <c r="G189" s="278"/>
      <c r="H189" s="272"/>
      <c r="I189" s="278"/>
    </row>
    <row r="190" spans="1:9">
      <c r="A190" s="745">
        <v>135</v>
      </c>
      <c r="B190" s="284">
        <f t="shared" si="10"/>
        <v>20357.904702349868</v>
      </c>
      <c r="C190" s="284">
        <f t="shared" si="11"/>
        <v>16733.174309665981</v>
      </c>
      <c r="D190" s="284">
        <f t="shared" si="12"/>
        <v>3624.7303926838867</v>
      </c>
      <c r="E190" s="284">
        <f t="shared" si="13"/>
        <v>3343010.1315405122</v>
      </c>
      <c r="F190" s="283"/>
      <c r="G190" s="278"/>
      <c r="H190" s="272"/>
      <c r="I190" s="278"/>
    </row>
    <row r="191" spans="1:9">
      <c r="A191" s="745">
        <v>136</v>
      </c>
      <c r="B191" s="284">
        <f t="shared" si="10"/>
        <v>20357.904702349868</v>
      </c>
      <c r="C191" s="284">
        <f t="shared" si="11"/>
        <v>16715.050657702563</v>
      </c>
      <c r="D191" s="284">
        <f t="shared" si="12"/>
        <v>3642.8540446473053</v>
      </c>
      <c r="E191" s="284">
        <f t="shared" si="13"/>
        <v>3339367.2774958648</v>
      </c>
      <c r="F191" s="283"/>
      <c r="G191" s="278"/>
      <c r="H191" s="272"/>
      <c r="I191" s="278"/>
    </row>
    <row r="192" spans="1:9">
      <c r="A192" s="745">
        <v>137</v>
      </c>
      <c r="B192" s="284">
        <f t="shared" si="10"/>
        <v>20357.904702349868</v>
      </c>
      <c r="C192" s="284">
        <f t="shared" si="11"/>
        <v>16696.836387479325</v>
      </c>
      <c r="D192" s="284">
        <f t="shared" si="12"/>
        <v>3661.068314870543</v>
      </c>
      <c r="E192" s="284">
        <f t="shared" si="13"/>
        <v>3335706.2091809944</v>
      </c>
      <c r="F192" s="283"/>
      <c r="G192" s="278"/>
      <c r="H192" s="272"/>
      <c r="I192" s="278"/>
    </row>
    <row r="193" spans="1:9">
      <c r="A193" s="745">
        <v>138</v>
      </c>
      <c r="B193" s="284">
        <f t="shared" si="10"/>
        <v>20357.904702349868</v>
      </c>
      <c r="C193" s="284">
        <f t="shared" si="11"/>
        <v>16678.531045904972</v>
      </c>
      <c r="D193" s="284">
        <f t="shared" si="12"/>
        <v>3679.3736564448955</v>
      </c>
      <c r="E193" s="284">
        <f t="shared" si="13"/>
        <v>3332026.8355245497</v>
      </c>
      <c r="F193" s="283"/>
      <c r="G193" s="335"/>
      <c r="H193" s="291"/>
      <c r="I193" s="278"/>
    </row>
    <row r="194" spans="1:9">
      <c r="A194" s="745">
        <v>139</v>
      </c>
      <c r="B194" s="284">
        <f t="shared" si="10"/>
        <v>20357.904702349868</v>
      </c>
      <c r="C194" s="284">
        <f t="shared" si="11"/>
        <v>16660.134177622749</v>
      </c>
      <c r="D194" s="284">
        <f t="shared" si="12"/>
        <v>3697.7705247271188</v>
      </c>
      <c r="E194" s="284">
        <f t="shared" si="13"/>
        <v>3328329.0649998225</v>
      </c>
      <c r="F194" s="283"/>
      <c r="G194" s="278"/>
      <c r="H194" s="272"/>
      <c r="I194" s="278"/>
    </row>
    <row r="195" spans="1:9">
      <c r="A195" s="745">
        <v>140</v>
      </c>
      <c r="B195" s="284">
        <f t="shared" si="10"/>
        <v>20357.904702349868</v>
      </c>
      <c r="C195" s="284">
        <f t="shared" si="11"/>
        <v>16641.645324999114</v>
      </c>
      <c r="D195" s="284">
        <f t="shared" si="12"/>
        <v>3716.2593773507542</v>
      </c>
      <c r="E195" s="284">
        <f t="shared" si="13"/>
        <v>3324612.805622472</v>
      </c>
      <c r="F195" s="283"/>
      <c r="G195" s="278"/>
      <c r="H195" s="272"/>
      <c r="I195" s="278"/>
    </row>
    <row r="196" spans="1:9">
      <c r="A196" s="745">
        <v>141</v>
      </c>
      <c r="B196" s="284">
        <f t="shared" si="10"/>
        <v>20357.904702349868</v>
      </c>
      <c r="C196" s="284">
        <f t="shared" si="11"/>
        <v>16623.06402811236</v>
      </c>
      <c r="D196" s="284">
        <f t="shared" si="12"/>
        <v>3734.8406742375082</v>
      </c>
      <c r="E196" s="284">
        <f t="shared" si="13"/>
        <v>3320877.9649482346</v>
      </c>
      <c r="F196" s="283"/>
      <c r="G196" s="278"/>
      <c r="H196" s="272"/>
      <c r="I196" s="278"/>
    </row>
    <row r="197" spans="1:9">
      <c r="A197" s="745">
        <v>142</v>
      </c>
      <c r="B197" s="284">
        <f t="shared" si="10"/>
        <v>20357.904702349868</v>
      </c>
      <c r="C197" s="284">
        <f t="shared" si="11"/>
        <v>16604.389824741174</v>
      </c>
      <c r="D197" s="284">
        <f t="shared" si="12"/>
        <v>3753.5148776086935</v>
      </c>
      <c r="E197" s="284">
        <f t="shared" si="13"/>
        <v>3317124.4500706261</v>
      </c>
      <c r="F197" s="283"/>
      <c r="G197" s="278"/>
      <c r="H197" s="272"/>
      <c r="I197" s="278"/>
    </row>
    <row r="198" spans="1:9">
      <c r="A198" s="745">
        <v>143</v>
      </c>
      <c r="B198" s="284">
        <f t="shared" si="10"/>
        <v>20357.904702349868</v>
      </c>
      <c r="C198" s="284">
        <f t="shared" si="11"/>
        <v>16585.622250353132</v>
      </c>
      <c r="D198" s="284">
        <f t="shared" si="12"/>
        <v>3772.2824519967362</v>
      </c>
      <c r="E198" s="284">
        <f t="shared" si="13"/>
        <v>3313352.1676186295</v>
      </c>
      <c r="F198" s="283"/>
      <c r="G198" s="278"/>
      <c r="H198" s="272"/>
      <c r="I198" s="278"/>
    </row>
    <row r="199" spans="1:9">
      <c r="A199" s="336">
        <v>144</v>
      </c>
      <c r="B199" s="284">
        <f t="shared" si="10"/>
        <v>20357.904702349868</v>
      </c>
      <c r="C199" s="284">
        <f t="shared" si="11"/>
        <v>16566.760838093149</v>
      </c>
      <c r="D199" s="284">
        <f t="shared" si="12"/>
        <v>3791.1438642567191</v>
      </c>
      <c r="E199" s="284">
        <f t="shared" si="13"/>
        <v>3309561.0237543727</v>
      </c>
      <c r="F199" s="285">
        <v>12</v>
      </c>
      <c r="G199" s="335"/>
      <c r="H199" s="291"/>
      <c r="I199" s="335"/>
    </row>
    <row r="200" spans="1:9">
      <c r="A200" s="745">
        <v>145</v>
      </c>
      <c r="B200" s="284">
        <f t="shared" si="10"/>
        <v>20357.904702349868</v>
      </c>
      <c r="C200" s="284">
        <f t="shared" si="11"/>
        <v>16547.805118771863</v>
      </c>
      <c r="D200" s="284">
        <f t="shared" si="12"/>
        <v>3810.099583578005</v>
      </c>
      <c r="E200" s="284">
        <f t="shared" si="13"/>
        <v>3305750.9241707949</v>
      </c>
      <c r="F200" s="283"/>
      <c r="G200" s="278"/>
      <c r="H200" s="272"/>
      <c r="I200" s="335"/>
    </row>
    <row r="201" spans="1:9">
      <c r="A201" s="745">
        <v>146</v>
      </c>
      <c r="B201" s="284">
        <f t="shared" si="10"/>
        <v>20357.904702349868</v>
      </c>
      <c r="C201" s="284">
        <f t="shared" si="11"/>
        <v>16528.754620853975</v>
      </c>
      <c r="D201" s="284">
        <f t="shared" si="12"/>
        <v>3829.1500814958927</v>
      </c>
      <c r="E201" s="284">
        <f t="shared" si="13"/>
        <v>3301921.7740892991</v>
      </c>
      <c r="F201" s="283"/>
      <c r="G201" s="278"/>
      <c r="H201" s="272"/>
      <c r="I201" s="278"/>
    </row>
    <row r="202" spans="1:9">
      <c r="A202" s="745">
        <v>147</v>
      </c>
      <c r="B202" s="284">
        <f t="shared" si="10"/>
        <v>20357.904702349868</v>
      </c>
      <c r="C202" s="284">
        <f t="shared" si="11"/>
        <v>16509.608870446496</v>
      </c>
      <c r="D202" s="284">
        <f t="shared" si="12"/>
        <v>3848.2958319033714</v>
      </c>
      <c r="E202" s="284">
        <f t="shared" si="13"/>
        <v>3298073.4782573958</v>
      </c>
      <c r="F202" s="283"/>
      <c r="G202" s="278"/>
      <c r="H202" s="272"/>
      <c r="I202" s="278"/>
    </row>
    <row r="203" spans="1:9">
      <c r="A203" s="745">
        <v>148</v>
      </c>
      <c r="B203" s="284">
        <f t="shared" si="10"/>
        <v>20357.904702349868</v>
      </c>
      <c r="C203" s="284">
        <f t="shared" si="11"/>
        <v>16490.367391286982</v>
      </c>
      <c r="D203" s="284">
        <f t="shared" si="12"/>
        <v>3867.5373110628861</v>
      </c>
      <c r="E203" s="284">
        <f t="shared" si="13"/>
        <v>3294205.9409463331</v>
      </c>
      <c r="F203" s="283"/>
      <c r="G203" s="278"/>
      <c r="H203" s="272"/>
      <c r="I203" s="278"/>
    </row>
    <row r="204" spans="1:9">
      <c r="A204" s="745">
        <v>149</v>
      </c>
      <c r="B204" s="284">
        <f t="shared" si="10"/>
        <v>20357.904702349868</v>
      </c>
      <c r="C204" s="284">
        <f t="shared" si="11"/>
        <v>16471.029704731667</v>
      </c>
      <c r="D204" s="284">
        <f t="shared" si="12"/>
        <v>3886.8749976182007</v>
      </c>
      <c r="E204" s="284">
        <f t="shared" si="13"/>
        <v>3290319.065948715</v>
      </c>
      <c r="F204" s="283"/>
      <c r="G204" s="278"/>
      <c r="H204" s="272"/>
      <c r="I204" s="278"/>
    </row>
    <row r="205" spans="1:9">
      <c r="A205" s="745">
        <v>150</v>
      </c>
      <c r="B205" s="284">
        <f t="shared" si="10"/>
        <v>20357.904702349868</v>
      </c>
      <c r="C205" s="284">
        <f t="shared" si="11"/>
        <v>16451.595329743577</v>
      </c>
      <c r="D205" s="284">
        <f t="shared" si="12"/>
        <v>3906.3093726062907</v>
      </c>
      <c r="E205" s="284">
        <f t="shared" si="13"/>
        <v>3286412.7565761087</v>
      </c>
      <c r="F205" s="283"/>
      <c r="G205" s="335"/>
      <c r="H205" s="291"/>
      <c r="I205" s="278"/>
    </row>
    <row r="206" spans="1:9">
      <c r="A206" s="745">
        <v>151</v>
      </c>
      <c r="B206" s="284">
        <f t="shared" si="10"/>
        <v>20357.904702349868</v>
      </c>
      <c r="C206" s="284">
        <f t="shared" si="11"/>
        <v>16432.063782880545</v>
      </c>
      <c r="D206" s="284">
        <f t="shared" si="12"/>
        <v>3925.8409194693231</v>
      </c>
      <c r="E206" s="284">
        <f t="shared" si="13"/>
        <v>3282486.9156566393</v>
      </c>
      <c r="F206" s="283"/>
      <c r="G206" s="278"/>
      <c r="H206" s="272"/>
      <c r="I206" s="278"/>
    </row>
    <row r="207" spans="1:9">
      <c r="A207" s="745">
        <v>152</v>
      </c>
      <c r="B207" s="284">
        <f t="shared" si="10"/>
        <v>20357.904702349868</v>
      </c>
      <c r="C207" s="284">
        <f t="shared" si="11"/>
        <v>16412.434578283199</v>
      </c>
      <c r="D207" s="284">
        <f t="shared" si="12"/>
        <v>3945.4701240666691</v>
      </c>
      <c r="E207" s="284">
        <f t="shared" si="13"/>
        <v>3278541.4455325725</v>
      </c>
      <c r="F207" s="283"/>
      <c r="G207" s="278"/>
      <c r="H207" s="272"/>
      <c r="I207" s="278"/>
    </row>
    <row r="208" spans="1:9">
      <c r="A208" s="745">
        <v>153</v>
      </c>
      <c r="B208" s="284">
        <f t="shared" si="10"/>
        <v>20357.904702349868</v>
      </c>
      <c r="C208" s="284">
        <f t="shared" si="11"/>
        <v>16392.707227662864</v>
      </c>
      <c r="D208" s="284">
        <f t="shared" si="12"/>
        <v>3965.1974746870037</v>
      </c>
      <c r="E208" s="284">
        <f t="shared" si="13"/>
        <v>3274576.2480578856</v>
      </c>
      <c r="F208" s="283"/>
      <c r="G208" s="278"/>
      <c r="H208" s="272"/>
      <c r="I208" s="278"/>
    </row>
    <row r="209" spans="1:9">
      <c r="A209" s="745">
        <v>154</v>
      </c>
      <c r="B209" s="284">
        <f t="shared" si="10"/>
        <v>20357.904702349868</v>
      </c>
      <c r="C209" s="284">
        <f t="shared" si="11"/>
        <v>16372.881240289427</v>
      </c>
      <c r="D209" s="284">
        <f t="shared" si="12"/>
        <v>3985.0234620604406</v>
      </c>
      <c r="E209" s="284">
        <f t="shared" si="13"/>
        <v>3270591.2245958252</v>
      </c>
      <c r="F209" s="283"/>
      <c r="G209" s="278"/>
      <c r="H209" s="272"/>
      <c r="I209" s="278"/>
    </row>
    <row r="210" spans="1:9">
      <c r="A210" s="745">
        <v>155</v>
      </c>
      <c r="B210" s="284">
        <f t="shared" si="10"/>
        <v>20357.904702349868</v>
      </c>
      <c r="C210" s="284">
        <f t="shared" si="11"/>
        <v>16352.956122979127</v>
      </c>
      <c r="D210" s="284">
        <f t="shared" si="12"/>
        <v>4004.9485793707408</v>
      </c>
      <c r="E210" s="284">
        <f t="shared" si="13"/>
        <v>3266586.2760164547</v>
      </c>
      <c r="F210" s="283"/>
      <c r="G210" s="278"/>
      <c r="H210" s="272"/>
      <c r="I210" s="278"/>
    </row>
    <row r="211" spans="1:9">
      <c r="A211" s="336">
        <v>156</v>
      </c>
      <c r="B211" s="284">
        <f t="shared" si="10"/>
        <v>20357.904702349868</v>
      </c>
      <c r="C211" s="284">
        <f t="shared" si="11"/>
        <v>16332.931380082273</v>
      </c>
      <c r="D211" s="284">
        <f t="shared" si="12"/>
        <v>4024.973322267595</v>
      </c>
      <c r="E211" s="284">
        <f t="shared" si="13"/>
        <v>3262561.302694187</v>
      </c>
      <c r="F211" s="285">
        <v>13</v>
      </c>
      <c r="G211" s="335"/>
      <c r="H211" s="291"/>
      <c r="I211" s="335"/>
    </row>
    <row r="212" spans="1:9">
      <c r="A212" s="745">
        <v>157</v>
      </c>
      <c r="B212" s="284">
        <f t="shared" si="10"/>
        <v>20357.904702349868</v>
      </c>
      <c r="C212" s="284">
        <f t="shared" si="11"/>
        <v>16312.806513470938</v>
      </c>
      <c r="D212" s="284">
        <f t="shared" si="12"/>
        <v>4045.0981888789302</v>
      </c>
      <c r="E212" s="284">
        <f t="shared" si="13"/>
        <v>3258516.2045053081</v>
      </c>
      <c r="F212" s="283"/>
      <c r="G212" s="278"/>
      <c r="H212" s="272"/>
      <c r="I212" s="335"/>
    </row>
    <row r="213" spans="1:9">
      <c r="A213" s="745">
        <v>158</v>
      </c>
      <c r="B213" s="284">
        <f t="shared" si="10"/>
        <v>20357.904702349868</v>
      </c>
      <c r="C213" s="284">
        <f t="shared" si="11"/>
        <v>16292.581022526543</v>
      </c>
      <c r="D213" s="284">
        <f t="shared" si="12"/>
        <v>4065.3236798233247</v>
      </c>
      <c r="E213" s="284">
        <f t="shared" si="13"/>
        <v>3254450.8808254846</v>
      </c>
      <c r="F213" s="283"/>
      <c r="G213" s="278"/>
      <c r="H213" s="272"/>
      <c r="I213" s="278"/>
    </row>
    <row r="214" spans="1:9">
      <c r="A214" s="745">
        <v>159</v>
      </c>
      <c r="B214" s="284">
        <f t="shared" si="10"/>
        <v>20357.904702349868</v>
      </c>
      <c r="C214" s="284">
        <f t="shared" si="11"/>
        <v>16272.254404127425</v>
      </c>
      <c r="D214" s="284">
        <f t="shared" si="12"/>
        <v>4085.6502982224429</v>
      </c>
      <c r="E214" s="284">
        <f t="shared" si="13"/>
        <v>3250365.2305272622</v>
      </c>
      <c r="F214" s="283"/>
      <c r="G214" s="278"/>
      <c r="H214" s="272"/>
      <c r="I214" s="278"/>
    </row>
    <row r="215" spans="1:9">
      <c r="A215" s="745">
        <v>160</v>
      </c>
      <c r="B215" s="284">
        <f t="shared" si="10"/>
        <v>20357.904702349868</v>
      </c>
      <c r="C215" s="284">
        <f t="shared" si="11"/>
        <v>16251.826152636313</v>
      </c>
      <c r="D215" s="284">
        <f t="shared" si="12"/>
        <v>4106.0785497135548</v>
      </c>
      <c r="E215" s="284">
        <f t="shared" si="13"/>
        <v>3246259.1519775488</v>
      </c>
      <c r="F215" s="283"/>
      <c r="G215" s="278"/>
      <c r="H215" s="272"/>
      <c r="I215" s="278"/>
    </row>
    <row r="216" spans="1:9">
      <c r="A216" s="745">
        <v>161</v>
      </c>
      <c r="B216" s="284">
        <f t="shared" si="10"/>
        <v>20357.904702349868</v>
      </c>
      <c r="C216" s="284">
        <f t="shared" si="11"/>
        <v>16231.295759887746</v>
      </c>
      <c r="D216" s="284">
        <f t="shared" si="12"/>
        <v>4126.6089424621223</v>
      </c>
      <c r="E216" s="284">
        <f t="shared" si="13"/>
        <v>3242132.5430350867</v>
      </c>
      <c r="F216" s="283"/>
      <c r="G216" s="278"/>
      <c r="H216" s="272"/>
      <c r="I216" s="278"/>
    </row>
    <row r="217" spans="1:9">
      <c r="A217" s="745">
        <v>162</v>
      </c>
      <c r="B217" s="284">
        <f t="shared" si="10"/>
        <v>20357.904702349868</v>
      </c>
      <c r="C217" s="284">
        <f t="shared" si="11"/>
        <v>16210.662715175435</v>
      </c>
      <c r="D217" s="284">
        <f t="shared" si="12"/>
        <v>4147.2419871744332</v>
      </c>
      <c r="E217" s="284">
        <f t="shared" si="13"/>
        <v>3237985.3010479123</v>
      </c>
      <c r="F217" s="283"/>
      <c r="G217" s="335"/>
      <c r="H217" s="291"/>
      <c r="I217" s="278"/>
    </row>
    <row r="218" spans="1:9">
      <c r="A218" s="745">
        <v>163</v>
      </c>
      <c r="B218" s="284">
        <f t="shared" si="10"/>
        <v>20357.904702349868</v>
      </c>
      <c r="C218" s="284">
        <f t="shared" si="11"/>
        <v>16189.926505239564</v>
      </c>
      <c r="D218" s="284">
        <f t="shared" si="12"/>
        <v>4167.9781971103039</v>
      </c>
      <c r="E218" s="284">
        <f t="shared" si="13"/>
        <v>3233817.322850802</v>
      </c>
      <c r="F218" s="283"/>
      <c r="G218" s="278"/>
      <c r="H218" s="272"/>
      <c r="I218" s="278"/>
    </row>
    <row r="219" spans="1:9">
      <c r="A219" s="745">
        <v>164</v>
      </c>
      <c r="B219" s="284">
        <f t="shared" si="10"/>
        <v>20357.904702349868</v>
      </c>
      <c r="C219" s="284">
        <f t="shared" si="11"/>
        <v>16169.086614254011</v>
      </c>
      <c r="D219" s="284">
        <f t="shared" si="12"/>
        <v>4188.8180880958571</v>
      </c>
      <c r="E219" s="284">
        <f t="shared" si="13"/>
        <v>3229628.5047627063</v>
      </c>
      <c r="F219" s="283"/>
      <c r="G219" s="278"/>
      <c r="H219" s="272"/>
      <c r="I219" s="278"/>
    </row>
    <row r="220" spans="1:9">
      <c r="A220" s="745">
        <v>165</v>
      </c>
      <c r="B220" s="284">
        <f t="shared" si="10"/>
        <v>20357.904702349868</v>
      </c>
      <c r="C220" s="284">
        <f t="shared" si="11"/>
        <v>16148.142523813533</v>
      </c>
      <c r="D220" s="284">
        <f t="shared" si="12"/>
        <v>4209.7621785363353</v>
      </c>
      <c r="E220" s="284">
        <f t="shared" si="13"/>
        <v>3225418.7425841698</v>
      </c>
      <c r="F220" s="283"/>
      <c r="G220" s="278"/>
      <c r="H220" s="272"/>
      <c r="I220" s="278"/>
    </row>
    <row r="221" spans="1:9">
      <c r="A221" s="745">
        <v>166</v>
      </c>
      <c r="B221" s="284">
        <f t="shared" si="10"/>
        <v>20357.904702349868</v>
      </c>
      <c r="C221" s="284">
        <f t="shared" si="11"/>
        <v>16127.093712920849</v>
      </c>
      <c r="D221" s="284">
        <f t="shared" si="12"/>
        <v>4230.8109894290192</v>
      </c>
      <c r="E221" s="284">
        <f t="shared" si="13"/>
        <v>3221187.9315947406</v>
      </c>
      <c r="F221" s="283"/>
      <c r="G221" s="278"/>
      <c r="H221" s="272"/>
      <c r="I221" s="278"/>
    </row>
    <row r="222" spans="1:9">
      <c r="A222" s="745">
        <v>167</v>
      </c>
      <c r="B222" s="284">
        <f t="shared" si="10"/>
        <v>20357.904702349868</v>
      </c>
      <c r="C222" s="284">
        <f t="shared" si="11"/>
        <v>16105.939657973706</v>
      </c>
      <c r="D222" s="284">
        <f t="shared" si="12"/>
        <v>4251.965044376162</v>
      </c>
      <c r="E222" s="284">
        <f t="shared" si="13"/>
        <v>3216935.9665503646</v>
      </c>
      <c r="F222" s="283"/>
      <c r="G222" s="278"/>
      <c r="H222" s="272"/>
      <c r="I222" s="278"/>
    </row>
    <row r="223" spans="1:9">
      <c r="A223" s="336">
        <v>168</v>
      </c>
      <c r="B223" s="284">
        <f t="shared" si="10"/>
        <v>20357.904702349868</v>
      </c>
      <c r="C223" s="284">
        <f t="shared" si="11"/>
        <v>16084.679832751825</v>
      </c>
      <c r="D223" s="284">
        <f t="shared" si="12"/>
        <v>4273.2248695980434</v>
      </c>
      <c r="E223" s="284">
        <f t="shared" si="13"/>
        <v>3212662.7416807665</v>
      </c>
      <c r="F223" s="285">
        <v>14</v>
      </c>
      <c r="G223" s="335"/>
      <c r="H223" s="291"/>
      <c r="I223" s="335"/>
    </row>
    <row r="224" spans="1:9">
      <c r="A224" s="745">
        <v>169</v>
      </c>
      <c r="B224" s="284">
        <f t="shared" si="10"/>
        <v>20357.904702349868</v>
      </c>
      <c r="C224" s="284">
        <f t="shared" si="11"/>
        <v>16063.313708403834</v>
      </c>
      <c r="D224" s="284">
        <f t="shared" si="12"/>
        <v>4294.5909939460344</v>
      </c>
      <c r="E224" s="284">
        <f t="shared" si="13"/>
        <v>3208368.1506868205</v>
      </c>
      <c r="F224" s="283"/>
      <c r="G224" s="278"/>
      <c r="H224" s="272"/>
      <c r="I224" s="335"/>
    </row>
    <row r="225" spans="1:9">
      <c r="A225" s="745">
        <v>170</v>
      </c>
      <c r="B225" s="284">
        <f t="shared" si="10"/>
        <v>20357.904702349868</v>
      </c>
      <c r="C225" s="284">
        <f t="shared" si="11"/>
        <v>16041.840753434104</v>
      </c>
      <c r="D225" s="284">
        <f t="shared" si="12"/>
        <v>4316.0639489157638</v>
      </c>
      <c r="E225" s="284">
        <f t="shared" si="13"/>
        <v>3204052.0867379047</v>
      </c>
      <c r="F225" s="283"/>
      <c r="G225" s="278"/>
      <c r="H225" s="272"/>
      <c r="I225" s="278"/>
    </row>
    <row r="226" spans="1:9">
      <c r="A226" s="745">
        <v>171</v>
      </c>
      <c r="B226" s="284">
        <f t="shared" si="10"/>
        <v>20357.904702349868</v>
      </c>
      <c r="C226" s="284">
        <f t="shared" si="11"/>
        <v>16020.260433689524</v>
      </c>
      <c r="D226" s="284">
        <f t="shared" si="12"/>
        <v>4337.6442686603441</v>
      </c>
      <c r="E226" s="284">
        <f t="shared" si="13"/>
        <v>3199714.4424692444</v>
      </c>
      <c r="F226" s="283"/>
      <c r="G226" s="278"/>
      <c r="H226" s="272"/>
      <c r="I226" s="278"/>
    </row>
    <row r="227" spans="1:9">
      <c r="A227" s="745">
        <v>172</v>
      </c>
      <c r="B227" s="284">
        <f t="shared" si="10"/>
        <v>20357.904702349868</v>
      </c>
      <c r="C227" s="284">
        <f t="shared" si="11"/>
        <v>15998.572212346224</v>
      </c>
      <c r="D227" s="284">
        <f t="shared" si="12"/>
        <v>4359.3324900036441</v>
      </c>
      <c r="E227" s="284">
        <f t="shared" si="13"/>
        <v>3195355.1099792407</v>
      </c>
      <c r="F227" s="283"/>
      <c r="G227" s="278"/>
      <c r="H227" s="272"/>
      <c r="I227" s="278"/>
    </row>
    <row r="228" spans="1:9">
      <c r="A228" s="745">
        <v>173</v>
      </c>
      <c r="B228" s="284">
        <f t="shared" si="10"/>
        <v>20357.904702349868</v>
      </c>
      <c r="C228" s="284">
        <f t="shared" si="11"/>
        <v>15976.775549896205</v>
      </c>
      <c r="D228" s="284">
        <f t="shared" si="12"/>
        <v>4381.1291524536628</v>
      </c>
      <c r="E228" s="284">
        <f t="shared" si="13"/>
        <v>3190973.9808267872</v>
      </c>
      <c r="F228" s="283"/>
      <c r="G228" s="278"/>
      <c r="H228" s="272"/>
      <c r="I228" s="278"/>
    </row>
    <row r="229" spans="1:9">
      <c r="A229" s="745">
        <v>174</v>
      </c>
      <c r="B229" s="284">
        <f t="shared" si="10"/>
        <v>20357.904702349868</v>
      </c>
      <c r="C229" s="284">
        <f t="shared" si="11"/>
        <v>15954.869904133937</v>
      </c>
      <c r="D229" s="284">
        <f t="shared" si="12"/>
        <v>4403.034798215931</v>
      </c>
      <c r="E229" s="284">
        <f t="shared" si="13"/>
        <v>3186570.9460285711</v>
      </c>
      <c r="F229" s="283"/>
      <c r="G229" s="335"/>
      <c r="H229" s="291"/>
      <c r="I229" s="278"/>
    </row>
    <row r="230" spans="1:9">
      <c r="A230" s="745">
        <v>175</v>
      </c>
      <c r="B230" s="284">
        <f t="shared" si="10"/>
        <v>20357.904702349868</v>
      </c>
      <c r="C230" s="284">
        <f t="shared" si="11"/>
        <v>15932.854730142857</v>
      </c>
      <c r="D230" s="284">
        <f t="shared" si="12"/>
        <v>4425.0499722070108</v>
      </c>
      <c r="E230" s="284">
        <f t="shared" si="13"/>
        <v>3182145.8960563643</v>
      </c>
      <c r="F230" s="283"/>
      <c r="G230" s="278"/>
      <c r="H230" s="272"/>
      <c r="I230" s="278"/>
    </row>
    <row r="231" spans="1:9">
      <c r="A231" s="745">
        <v>176</v>
      </c>
      <c r="B231" s="284">
        <f t="shared" si="10"/>
        <v>20357.904702349868</v>
      </c>
      <c r="C231" s="284">
        <f t="shared" si="11"/>
        <v>15910.729480281823</v>
      </c>
      <c r="D231" s="284">
        <f t="shared" si="12"/>
        <v>4447.1752220680446</v>
      </c>
      <c r="E231" s="284">
        <f t="shared" si="13"/>
        <v>3177698.7208342962</v>
      </c>
      <c r="F231" s="283"/>
      <c r="G231" s="278"/>
      <c r="H231" s="272"/>
      <c r="I231" s="278"/>
    </row>
    <row r="232" spans="1:9">
      <c r="A232" s="745">
        <v>177</v>
      </c>
      <c r="B232" s="284">
        <f t="shared" si="10"/>
        <v>20357.904702349868</v>
      </c>
      <c r="C232" s="284">
        <f t="shared" si="11"/>
        <v>15888.493604171483</v>
      </c>
      <c r="D232" s="284">
        <f t="shared" si="12"/>
        <v>4469.4110981783851</v>
      </c>
      <c r="E232" s="284">
        <f t="shared" si="13"/>
        <v>3173229.3097361177</v>
      </c>
      <c r="F232" s="283"/>
      <c r="G232" s="278"/>
      <c r="H232" s="272"/>
      <c r="I232" s="278"/>
    </row>
    <row r="233" spans="1:9">
      <c r="A233" s="745">
        <v>178</v>
      </c>
      <c r="B233" s="284">
        <f t="shared" si="10"/>
        <v>20357.904702349868</v>
      </c>
      <c r="C233" s="284">
        <f t="shared" si="11"/>
        <v>15866.14654868059</v>
      </c>
      <c r="D233" s="284">
        <f t="shared" si="12"/>
        <v>4491.7581536692778</v>
      </c>
      <c r="E233" s="284">
        <f t="shared" si="13"/>
        <v>3168737.5515824487</v>
      </c>
      <c r="F233" s="283"/>
      <c r="G233" s="278"/>
      <c r="H233" s="272"/>
      <c r="I233" s="278"/>
    </row>
    <row r="234" spans="1:9">
      <c r="A234" s="745">
        <v>179</v>
      </c>
      <c r="B234" s="284">
        <f t="shared" si="10"/>
        <v>20357.904702349868</v>
      </c>
      <c r="C234" s="284">
        <f t="shared" si="11"/>
        <v>15843.687757912245</v>
      </c>
      <c r="D234" s="284">
        <f t="shared" si="12"/>
        <v>4514.2169444376232</v>
      </c>
      <c r="E234" s="284">
        <f t="shared" si="13"/>
        <v>3164223.3346380112</v>
      </c>
      <c r="F234" s="283"/>
      <c r="G234" s="278"/>
      <c r="H234" s="272"/>
      <c r="I234" s="278"/>
    </row>
    <row r="235" spans="1:9">
      <c r="A235" s="336">
        <v>180</v>
      </c>
      <c r="B235" s="284">
        <f t="shared" si="10"/>
        <v>20357.904702349868</v>
      </c>
      <c r="C235" s="284">
        <f t="shared" si="11"/>
        <v>15821.116673190058</v>
      </c>
      <c r="D235" s="284">
        <f t="shared" si="12"/>
        <v>4536.7880291598103</v>
      </c>
      <c r="E235" s="284">
        <f t="shared" si="13"/>
        <v>3159686.5466088513</v>
      </c>
      <c r="F235" s="285">
        <v>15</v>
      </c>
      <c r="G235" s="335"/>
      <c r="H235" s="291"/>
      <c r="I235" s="335"/>
    </row>
    <row r="236" spans="1:9">
      <c r="A236" s="745">
        <v>181</v>
      </c>
      <c r="B236" s="284">
        <f t="shared" si="10"/>
        <v>20357.904702349868</v>
      </c>
      <c r="C236" s="284">
        <f t="shared" si="11"/>
        <v>15798.432733044259</v>
      </c>
      <c r="D236" s="284">
        <f t="shared" si="12"/>
        <v>4559.4719693056086</v>
      </c>
      <c r="E236" s="284">
        <f t="shared" si="13"/>
        <v>3155127.0746395458</v>
      </c>
      <c r="F236" s="283"/>
      <c r="G236" s="278"/>
      <c r="H236" s="272"/>
      <c r="I236" s="335"/>
    </row>
    <row r="237" spans="1:9">
      <c r="A237" s="336">
        <v>182</v>
      </c>
      <c r="B237" s="284">
        <f t="shared" si="10"/>
        <v>20357.904702349868</v>
      </c>
      <c r="C237" s="284">
        <f t="shared" si="11"/>
        <v>15775.635373197731</v>
      </c>
      <c r="D237" s="284">
        <f t="shared" si="12"/>
        <v>4582.2693291521373</v>
      </c>
      <c r="E237" s="284">
        <f t="shared" si="13"/>
        <v>3150544.8053103937</v>
      </c>
      <c r="F237" s="283"/>
      <c r="G237" s="278"/>
      <c r="H237" s="272"/>
      <c r="I237" s="278"/>
    </row>
    <row r="238" spans="1:9">
      <c r="A238" s="336">
        <v>183</v>
      </c>
      <c r="B238" s="284">
        <f t="shared" si="10"/>
        <v>20357.904702349868</v>
      </c>
      <c r="C238" s="284">
        <f t="shared" si="11"/>
        <v>15752.72402655197</v>
      </c>
      <c r="D238" s="284">
        <f t="shared" si="12"/>
        <v>4605.1806757978975</v>
      </c>
      <c r="E238" s="284">
        <f t="shared" si="13"/>
        <v>3145939.6246345956</v>
      </c>
      <c r="F238" s="283"/>
      <c r="G238" s="278"/>
      <c r="H238" s="272"/>
      <c r="I238" s="278"/>
    </row>
    <row r="239" spans="1:9">
      <c r="A239" s="336">
        <v>184</v>
      </c>
      <c r="B239" s="284">
        <f t="shared" si="10"/>
        <v>20357.904702349868</v>
      </c>
      <c r="C239" s="284">
        <f t="shared" si="11"/>
        <v>15729.698123172979</v>
      </c>
      <c r="D239" s="284">
        <f t="shared" si="12"/>
        <v>4628.2065791768891</v>
      </c>
      <c r="E239" s="284">
        <f t="shared" si="13"/>
        <v>3141311.4180554189</v>
      </c>
      <c r="F239" s="283"/>
      <c r="G239" s="278"/>
      <c r="H239" s="272"/>
      <c r="I239" s="278"/>
    </row>
    <row r="240" spans="1:9">
      <c r="A240" s="336">
        <v>185</v>
      </c>
      <c r="B240" s="284">
        <f t="shared" si="10"/>
        <v>20357.904702349868</v>
      </c>
      <c r="C240" s="284">
        <f t="shared" si="11"/>
        <v>15706.557090277094</v>
      </c>
      <c r="D240" s="284">
        <f t="shared" si="12"/>
        <v>4651.3476120727737</v>
      </c>
      <c r="E240" s="284">
        <f t="shared" si="13"/>
        <v>3136660.0704433462</v>
      </c>
      <c r="F240" s="283"/>
      <c r="G240" s="278"/>
      <c r="H240" s="272"/>
      <c r="I240" s="278"/>
    </row>
    <row r="241" spans="1:9">
      <c r="A241" s="336">
        <v>186</v>
      </c>
      <c r="B241" s="284">
        <f t="shared" si="10"/>
        <v>20357.904702349868</v>
      </c>
      <c r="C241" s="284">
        <f t="shared" si="11"/>
        <v>15683.300352216733</v>
      </c>
      <c r="D241" s="284">
        <f t="shared" si="12"/>
        <v>4674.6043501331351</v>
      </c>
      <c r="E241" s="284">
        <f t="shared" si="13"/>
        <v>3131985.4660932128</v>
      </c>
      <c r="F241" s="283"/>
      <c r="G241" s="335"/>
      <c r="H241" s="291"/>
      <c r="I241" s="278"/>
    </row>
    <row r="242" spans="1:9">
      <c r="A242" s="336">
        <v>187</v>
      </c>
      <c r="B242" s="284">
        <f t="shared" si="10"/>
        <v>20357.904702349868</v>
      </c>
      <c r="C242" s="284">
        <f t="shared" si="11"/>
        <v>15659.927330466066</v>
      </c>
      <c r="D242" s="284">
        <f t="shared" si="12"/>
        <v>4697.9773718838023</v>
      </c>
      <c r="E242" s="284">
        <f t="shared" si="13"/>
        <v>3127287.4887213293</v>
      </c>
      <c r="F242" s="283"/>
      <c r="G242" s="278"/>
      <c r="H242" s="272"/>
      <c r="I242" s="278"/>
    </row>
    <row r="243" spans="1:9">
      <c r="A243" s="336">
        <v>188</v>
      </c>
      <c r="B243" s="284">
        <f t="shared" si="10"/>
        <v>20357.904702349868</v>
      </c>
      <c r="C243" s="284">
        <f t="shared" si="11"/>
        <v>15636.437443606648</v>
      </c>
      <c r="D243" s="284">
        <f t="shared" si="12"/>
        <v>4721.4672587432196</v>
      </c>
      <c r="E243" s="284">
        <f t="shared" si="13"/>
        <v>3122566.0214625862</v>
      </c>
      <c r="F243" s="283"/>
      <c r="G243" s="278"/>
      <c r="H243" s="272"/>
      <c r="I243" s="278"/>
    </row>
    <row r="244" spans="1:9">
      <c r="A244" s="336">
        <v>189</v>
      </c>
      <c r="B244" s="284">
        <f t="shared" si="10"/>
        <v>20357.904702349868</v>
      </c>
      <c r="C244" s="284">
        <f t="shared" si="11"/>
        <v>15612.830107312933</v>
      </c>
      <c r="D244" s="284">
        <f t="shared" si="12"/>
        <v>4745.0745950369346</v>
      </c>
      <c r="E244" s="284">
        <f t="shared" si="13"/>
        <v>3117820.9468675493</v>
      </c>
      <c r="F244" s="283"/>
      <c r="G244" s="278"/>
      <c r="H244" s="272"/>
      <c r="I244" s="278"/>
    </row>
    <row r="245" spans="1:9">
      <c r="A245" s="336">
        <v>190</v>
      </c>
      <c r="B245" s="284">
        <f t="shared" si="10"/>
        <v>20357.904702349868</v>
      </c>
      <c r="C245" s="284">
        <f t="shared" si="11"/>
        <v>15589.104734337749</v>
      </c>
      <c r="D245" s="284">
        <f t="shared" si="12"/>
        <v>4768.7999680121193</v>
      </c>
      <c r="E245" s="284">
        <f t="shared" si="13"/>
        <v>3113052.1468995372</v>
      </c>
      <c r="F245" s="283"/>
      <c r="G245" s="278"/>
      <c r="H245" s="272"/>
      <c r="I245" s="278"/>
    </row>
    <row r="246" spans="1:9">
      <c r="A246" s="336">
        <v>191</v>
      </c>
      <c r="B246" s="284">
        <f t="shared" si="10"/>
        <v>20357.904702349868</v>
      </c>
      <c r="C246" s="284">
        <f t="shared" si="11"/>
        <v>15565.260734497688</v>
      </c>
      <c r="D246" s="284">
        <f t="shared" si="12"/>
        <v>4792.6439678521801</v>
      </c>
      <c r="E246" s="284">
        <f t="shared" si="13"/>
        <v>3108259.5029316852</v>
      </c>
      <c r="F246" s="283"/>
      <c r="G246" s="278"/>
      <c r="H246" s="272"/>
      <c r="I246" s="278"/>
    </row>
    <row r="247" spans="1:9">
      <c r="A247" s="336">
        <v>192</v>
      </c>
      <c r="B247" s="284">
        <f t="shared" si="10"/>
        <v>20357.904702349868</v>
      </c>
      <c r="C247" s="284">
        <f t="shared" si="11"/>
        <v>15541.297514658427</v>
      </c>
      <c r="D247" s="284">
        <f t="shared" si="12"/>
        <v>4816.6071876914411</v>
      </c>
      <c r="E247" s="284">
        <f t="shared" si="13"/>
        <v>3103442.8957439936</v>
      </c>
      <c r="F247" s="283">
        <v>16</v>
      </c>
      <c r="G247" s="335"/>
      <c r="H247" s="291"/>
      <c r="I247" s="335"/>
    </row>
    <row r="248" spans="1:9">
      <c r="A248" s="336">
        <v>193</v>
      </c>
      <c r="B248" s="284">
        <f t="shared" ref="B248:B311" si="14">IF(A248&gt;12*$D$14,0,$D$20)</f>
        <v>20357.904702349868</v>
      </c>
      <c r="C248" s="284">
        <f t="shared" ref="C248:C311" si="15">IF(A248&gt;12*$D$14,0,E247*$D$10/12)</f>
        <v>15517.21447871997</v>
      </c>
      <c r="D248" s="284">
        <f t="shared" ref="D248:D311" si="16">IF(A248&gt;12*$D$14,0,B248-C248)</f>
        <v>4840.6902236298974</v>
      </c>
      <c r="E248" s="284">
        <f t="shared" ref="E248:E311" si="17">IF(A248&gt;12*$D$14,0,E247-D248)</f>
        <v>3098602.2055203635</v>
      </c>
      <c r="F248" s="283"/>
      <c r="G248" s="278"/>
      <c r="H248" s="272"/>
      <c r="I248" s="335"/>
    </row>
    <row r="249" spans="1:9">
      <c r="A249" s="336">
        <v>194</v>
      </c>
      <c r="B249" s="284">
        <f t="shared" si="14"/>
        <v>20357.904702349868</v>
      </c>
      <c r="C249" s="284">
        <f t="shared" si="15"/>
        <v>15493.011027601819</v>
      </c>
      <c r="D249" s="284">
        <f t="shared" si="16"/>
        <v>4864.8936747480493</v>
      </c>
      <c r="E249" s="284">
        <f t="shared" si="17"/>
        <v>3093737.3118456155</v>
      </c>
      <c r="F249" s="283"/>
      <c r="G249" s="278"/>
      <c r="H249" s="272"/>
      <c r="I249" s="278"/>
    </row>
    <row r="250" spans="1:9">
      <c r="A250" s="336">
        <v>195</v>
      </c>
      <c r="B250" s="284">
        <f t="shared" si="14"/>
        <v>20357.904702349868</v>
      </c>
      <c r="C250" s="284">
        <f t="shared" si="15"/>
        <v>15468.686559228079</v>
      </c>
      <c r="D250" s="284">
        <f t="shared" si="16"/>
        <v>4889.2181431217887</v>
      </c>
      <c r="E250" s="284">
        <f t="shared" si="17"/>
        <v>3088848.0937024937</v>
      </c>
      <c r="F250" s="283"/>
      <c r="G250" s="278"/>
      <c r="H250" s="272"/>
      <c r="I250" s="278"/>
    </row>
    <row r="251" spans="1:9">
      <c r="A251" s="336">
        <v>196</v>
      </c>
      <c r="B251" s="284">
        <f t="shared" si="14"/>
        <v>20357.904702349868</v>
      </c>
      <c r="C251" s="284">
        <f t="shared" si="15"/>
        <v>15444.240468512469</v>
      </c>
      <c r="D251" s="284">
        <f t="shared" si="16"/>
        <v>4913.6642338373986</v>
      </c>
      <c r="E251" s="284">
        <f t="shared" si="17"/>
        <v>3083934.4294686564</v>
      </c>
      <c r="F251" s="283"/>
      <c r="G251" s="278"/>
      <c r="H251" s="272"/>
      <c r="I251" s="278"/>
    </row>
    <row r="252" spans="1:9">
      <c r="A252" s="336">
        <v>197</v>
      </c>
      <c r="B252" s="284">
        <f t="shared" si="14"/>
        <v>20357.904702349868</v>
      </c>
      <c r="C252" s="284">
        <f t="shared" si="15"/>
        <v>15419.672147343284</v>
      </c>
      <c r="D252" s="284">
        <f t="shared" si="16"/>
        <v>4938.2325550065834</v>
      </c>
      <c r="E252" s="284">
        <f t="shared" si="17"/>
        <v>3078996.1969136498</v>
      </c>
      <c r="F252" s="283"/>
      <c r="G252" s="278"/>
      <c r="H252" s="272"/>
      <c r="I252" s="278"/>
    </row>
    <row r="253" spans="1:9">
      <c r="A253" s="336">
        <v>198</v>
      </c>
      <c r="B253" s="284">
        <f t="shared" si="14"/>
        <v>20357.904702349868</v>
      </c>
      <c r="C253" s="284">
        <f t="shared" si="15"/>
        <v>15394.980984568248</v>
      </c>
      <c r="D253" s="284">
        <f t="shared" si="16"/>
        <v>4962.9237177816194</v>
      </c>
      <c r="E253" s="284">
        <f t="shared" si="17"/>
        <v>3074033.2731958684</v>
      </c>
      <c r="F253" s="283"/>
      <c r="G253" s="335"/>
      <c r="H253" s="291"/>
      <c r="I253" s="278"/>
    </row>
    <row r="254" spans="1:9">
      <c r="A254" s="336">
        <v>199</v>
      </c>
      <c r="B254" s="284">
        <f t="shared" si="14"/>
        <v>20357.904702349868</v>
      </c>
      <c r="C254" s="284">
        <f t="shared" si="15"/>
        <v>15370.166365979343</v>
      </c>
      <c r="D254" s="284">
        <f t="shared" si="16"/>
        <v>4987.7383363705248</v>
      </c>
      <c r="E254" s="284">
        <f t="shared" si="17"/>
        <v>3069045.534859498</v>
      </c>
      <c r="F254" s="283"/>
      <c r="G254" s="278"/>
      <c r="H254" s="272"/>
      <c r="I254" s="278"/>
    </row>
    <row r="255" spans="1:9">
      <c r="A255" s="336">
        <v>200</v>
      </c>
      <c r="B255" s="284">
        <f t="shared" si="14"/>
        <v>20357.904702349868</v>
      </c>
      <c r="C255" s="284">
        <f t="shared" si="15"/>
        <v>15345.227674297492</v>
      </c>
      <c r="D255" s="284">
        <f t="shared" si="16"/>
        <v>5012.677028052376</v>
      </c>
      <c r="E255" s="284">
        <f t="shared" si="17"/>
        <v>3064032.8578314455</v>
      </c>
      <c r="F255" s="283"/>
      <c r="G255" s="278"/>
      <c r="H255" s="272"/>
      <c r="I255" s="278"/>
    </row>
    <row r="256" spans="1:9">
      <c r="A256" s="336">
        <v>201</v>
      </c>
      <c r="B256" s="284">
        <f t="shared" si="14"/>
        <v>20357.904702349868</v>
      </c>
      <c r="C256" s="284">
        <f t="shared" si="15"/>
        <v>15320.164289157228</v>
      </c>
      <c r="D256" s="284">
        <f t="shared" si="16"/>
        <v>5037.7404131926396</v>
      </c>
      <c r="E256" s="284">
        <f t="shared" si="17"/>
        <v>3058995.1174182529</v>
      </c>
      <c r="F256" s="283"/>
      <c r="G256" s="278"/>
      <c r="H256" s="272"/>
      <c r="I256" s="278"/>
    </row>
    <row r="257" spans="1:9">
      <c r="A257" s="336">
        <v>202</v>
      </c>
      <c r="B257" s="284">
        <f t="shared" si="14"/>
        <v>20357.904702349868</v>
      </c>
      <c r="C257" s="284">
        <f t="shared" si="15"/>
        <v>15294.975587091265</v>
      </c>
      <c r="D257" s="284">
        <f t="shared" si="16"/>
        <v>5062.9291152586029</v>
      </c>
      <c r="E257" s="284">
        <f t="shared" si="17"/>
        <v>3053932.1883029942</v>
      </c>
      <c r="F257" s="283"/>
      <c r="G257" s="278"/>
      <c r="H257" s="272"/>
      <c r="I257" s="278"/>
    </row>
    <row r="258" spans="1:9">
      <c r="A258" s="336">
        <v>203</v>
      </c>
      <c r="B258" s="284">
        <f t="shared" si="14"/>
        <v>20357.904702349868</v>
      </c>
      <c r="C258" s="284">
        <f t="shared" si="15"/>
        <v>15269.660941514972</v>
      </c>
      <c r="D258" s="284">
        <f t="shared" si="16"/>
        <v>5088.2437608348955</v>
      </c>
      <c r="E258" s="284">
        <f t="shared" si="17"/>
        <v>3048843.9445421593</v>
      </c>
      <c r="F258" s="283"/>
      <c r="G258" s="278"/>
      <c r="H258" s="272"/>
      <c r="I258" s="278"/>
    </row>
    <row r="259" spans="1:9">
      <c r="A259" s="336">
        <v>204</v>
      </c>
      <c r="B259" s="284">
        <f t="shared" si="14"/>
        <v>20357.904702349868</v>
      </c>
      <c r="C259" s="284">
        <f t="shared" si="15"/>
        <v>15244.219722710797</v>
      </c>
      <c r="D259" s="284">
        <f t="shared" si="16"/>
        <v>5113.6849796390707</v>
      </c>
      <c r="E259" s="284">
        <f t="shared" si="17"/>
        <v>3043730.2595625203</v>
      </c>
      <c r="F259" s="283">
        <v>17</v>
      </c>
      <c r="G259" s="335"/>
      <c r="H259" s="291"/>
      <c r="I259" s="335"/>
    </row>
    <row r="260" spans="1:9">
      <c r="A260" s="336">
        <v>205</v>
      </c>
      <c r="B260" s="284">
        <f t="shared" si="14"/>
        <v>20357.904702349868</v>
      </c>
      <c r="C260" s="284">
        <f t="shared" si="15"/>
        <v>15218.651297812603</v>
      </c>
      <c r="D260" s="284">
        <f t="shared" si="16"/>
        <v>5139.2534045372649</v>
      </c>
      <c r="E260" s="284">
        <f t="shared" si="17"/>
        <v>3038591.0061579831</v>
      </c>
      <c r="F260" s="283"/>
      <c r="G260" s="278"/>
      <c r="H260" s="272"/>
      <c r="I260" s="335"/>
    </row>
    <row r="261" spans="1:9">
      <c r="A261" s="336">
        <v>206</v>
      </c>
      <c r="B261" s="284">
        <f t="shared" si="14"/>
        <v>20357.904702349868</v>
      </c>
      <c r="C261" s="284">
        <f t="shared" si="15"/>
        <v>15192.955030789917</v>
      </c>
      <c r="D261" s="284">
        <f t="shared" si="16"/>
        <v>5164.9496715599507</v>
      </c>
      <c r="E261" s="284">
        <f t="shared" si="17"/>
        <v>3033426.0564864231</v>
      </c>
      <c r="F261" s="283"/>
      <c r="G261" s="278"/>
      <c r="H261" s="272"/>
      <c r="I261" s="278"/>
    </row>
    <row r="262" spans="1:9">
      <c r="A262" s="336">
        <v>207</v>
      </c>
      <c r="B262" s="284">
        <f t="shared" si="14"/>
        <v>20357.904702349868</v>
      </c>
      <c r="C262" s="284">
        <f t="shared" si="15"/>
        <v>15167.130282432117</v>
      </c>
      <c r="D262" s="284">
        <f t="shared" si="16"/>
        <v>5190.7744199177505</v>
      </c>
      <c r="E262" s="284">
        <f t="shared" si="17"/>
        <v>3028235.2820665054</v>
      </c>
      <c r="F262" s="283"/>
      <c r="G262" s="278"/>
      <c r="H262" s="272"/>
      <c r="I262" s="278"/>
    </row>
    <row r="263" spans="1:9">
      <c r="A263" s="336">
        <v>208</v>
      </c>
      <c r="B263" s="284">
        <f t="shared" si="14"/>
        <v>20357.904702349868</v>
      </c>
      <c r="C263" s="284">
        <f t="shared" si="15"/>
        <v>15141.176410332528</v>
      </c>
      <c r="D263" s="284">
        <f t="shared" si="16"/>
        <v>5216.7282920173402</v>
      </c>
      <c r="E263" s="284">
        <f t="shared" si="17"/>
        <v>3023018.5537744882</v>
      </c>
      <c r="F263" s="283"/>
      <c r="G263" s="278"/>
      <c r="H263" s="272"/>
      <c r="I263" s="278"/>
    </row>
    <row r="264" spans="1:9">
      <c r="A264" s="336">
        <v>209</v>
      </c>
      <c r="B264" s="284">
        <f t="shared" si="14"/>
        <v>20357.904702349868</v>
      </c>
      <c r="C264" s="284">
        <f t="shared" si="15"/>
        <v>15115.092768872442</v>
      </c>
      <c r="D264" s="284">
        <f t="shared" si="16"/>
        <v>5242.8119334774256</v>
      </c>
      <c r="E264" s="284">
        <f t="shared" si="17"/>
        <v>3017775.7418410107</v>
      </c>
      <c r="F264" s="283"/>
      <c r="G264" s="278"/>
      <c r="H264" s="272"/>
      <c r="I264" s="278"/>
    </row>
    <row r="265" spans="1:9">
      <c r="A265" s="336">
        <v>210</v>
      </c>
      <c r="B265" s="284">
        <f t="shared" si="14"/>
        <v>20357.904702349868</v>
      </c>
      <c r="C265" s="284">
        <f t="shared" si="15"/>
        <v>15088.878709205055</v>
      </c>
      <c r="D265" s="284">
        <f t="shared" si="16"/>
        <v>5269.0259931448127</v>
      </c>
      <c r="E265" s="284">
        <f t="shared" si="17"/>
        <v>3012506.7158478661</v>
      </c>
      <c r="F265" s="283"/>
      <c r="G265" s="335"/>
      <c r="H265" s="291"/>
      <c r="I265" s="278"/>
    </row>
    <row r="266" spans="1:9">
      <c r="A266" s="336">
        <v>211</v>
      </c>
      <c r="B266" s="284">
        <f t="shared" si="14"/>
        <v>20357.904702349868</v>
      </c>
      <c r="C266" s="284">
        <f t="shared" si="15"/>
        <v>15062.533579239331</v>
      </c>
      <c r="D266" s="284">
        <f t="shared" si="16"/>
        <v>5295.3711231105372</v>
      </c>
      <c r="E266" s="284">
        <f t="shared" si="17"/>
        <v>3007211.3447247557</v>
      </c>
      <c r="F266" s="283"/>
      <c r="G266" s="278"/>
      <c r="H266" s="272"/>
      <c r="I266" s="278"/>
    </row>
    <row r="267" spans="1:9">
      <c r="A267" s="336">
        <v>212</v>
      </c>
      <c r="B267" s="284">
        <f t="shared" si="14"/>
        <v>20357.904702349868</v>
      </c>
      <c r="C267" s="284">
        <f t="shared" si="15"/>
        <v>15036.056723623778</v>
      </c>
      <c r="D267" s="284">
        <f t="shared" si="16"/>
        <v>5321.8479787260894</v>
      </c>
      <c r="E267" s="284">
        <f t="shared" si="17"/>
        <v>3001889.4967460297</v>
      </c>
      <c r="F267" s="283"/>
      <c r="G267" s="278"/>
      <c r="H267" s="272"/>
      <c r="I267" s="278"/>
    </row>
    <row r="268" spans="1:9">
      <c r="A268" s="336">
        <v>213</v>
      </c>
      <c r="B268" s="284">
        <f t="shared" si="14"/>
        <v>20357.904702349868</v>
      </c>
      <c r="C268" s="284">
        <f t="shared" si="15"/>
        <v>15009.447483730151</v>
      </c>
      <c r="D268" s="284">
        <f t="shared" si="16"/>
        <v>5348.4572186197165</v>
      </c>
      <c r="E268" s="284">
        <f t="shared" si="17"/>
        <v>2996541.0395274102</v>
      </c>
      <c r="F268" s="283"/>
      <c r="G268" s="278"/>
      <c r="H268" s="272"/>
      <c r="I268" s="278"/>
    </row>
    <row r="269" spans="1:9">
      <c r="A269" s="336">
        <v>214</v>
      </c>
      <c r="B269" s="284">
        <f t="shared" si="14"/>
        <v>20357.904702349868</v>
      </c>
      <c r="C269" s="284">
        <f t="shared" si="15"/>
        <v>14982.705197637051</v>
      </c>
      <c r="D269" s="284">
        <f t="shared" si="16"/>
        <v>5375.1995047128166</v>
      </c>
      <c r="E269" s="284">
        <f t="shared" si="17"/>
        <v>2991165.8400226976</v>
      </c>
      <c r="F269" s="283"/>
      <c r="G269" s="278"/>
      <c r="H269" s="272"/>
      <c r="I269" s="278"/>
    </row>
    <row r="270" spans="1:9">
      <c r="A270" s="336">
        <v>215</v>
      </c>
      <c r="B270" s="284">
        <f t="shared" si="14"/>
        <v>20357.904702349868</v>
      </c>
      <c r="C270" s="284">
        <f t="shared" si="15"/>
        <v>14955.829200113489</v>
      </c>
      <c r="D270" s="284">
        <f t="shared" si="16"/>
        <v>5402.0755022363792</v>
      </c>
      <c r="E270" s="284">
        <f t="shared" si="17"/>
        <v>2985763.7645204612</v>
      </c>
      <c r="F270" s="283"/>
      <c r="G270" s="278"/>
      <c r="H270" s="272"/>
      <c r="I270" s="278"/>
    </row>
    <row r="271" spans="1:9">
      <c r="A271" s="336">
        <v>216</v>
      </c>
      <c r="B271" s="284">
        <f t="shared" si="14"/>
        <v>20357.904702349868</v>
      </c>
      <c r="C271" s="284">
        <f t="shared" si="15"/>
        <v>14928.818822602307</v>
      </c>
      <c r="D271" s="284">
        <f t="shared" si="16"/>
        <v>5429.0858797475612</v>
      </c>
      <c r="E271" s="284">
        <f t="shared" si="17"/>
        <v>2980334.6786407134</v>
      </c>
      <c r="F271" s="283">
        <v>18</v>
      </c>
      <c r="G271" s="335"/>
      <c r="H271" s="291"/>
      <c r="I271" s="335"/>
    </row>
    <row r="272" spans="1:9">
      <c r="A272" s="336">
        <v>217</v>
      </c>
      <c r="B272" s="284">
        <f t="shared" si="14"/>
        <v>20357.904702349868</v>
      </c>
      <c r="C272" s="284">
        <f t="shared" si="15"/>
        <v>14901.67339320357</v>
      </c>
      <c r="D272" s="284">
        <f t="shared" si="16"/>
        <v>5456.2313091462984</v>
      </c>
      <c r="E272" s="284">
        <f t="shared" si="17"/>
        <v>2974878.4473315673</v>
      </c>
      <c r="F272" s="283"/>
      <c r="G272" s="278"/>
      <c r="H272" s="272"/>
      <c r="I272" s="335"/>
    </row>
    <row r="273" spans="1:9">
      <c r="A273" s="336">
        <v>218</v>
      </c>
      <c r="B273" s="284">
        <f t="shared" si="14"/>
        <v>20357.904702349868</v>
      </c>
      <c r="C273" s="284">
        <f t="shared" si="15"/>
        <v>14874.392236657839</v>
      </c>
      <c r="D273" s="284">
        <f t="shared" si="16"/>
        <v>5483.5124656920289</v>
      </c>
      <c r="E273" s="284">
        <f t="shared" si="17"/>
        <v>2969394.9348658752</v>
      </c>
      <c r="F273" s="283"/>
      <c r="G273" s="278"/>
      <c r="H273" s="272"/>
      <c r="I273" s="278"/>
    </row>
    <row r="274" spans="1:9">
      <c r="A274" s="336">
        <v>219</v>
      </c>
      <c r="B274" s="284">
        <f t="shared" si="14"/>
        <v>20357.904702349868</v>
      </c>
      <c r="C274" s="284">
        <f t="shared" si="15"/>
        <v>14846.974674329378</v>
      </c>
      <c r="D274" s="284">
        <f t="shared" si="16"/>
        <v>5510.9300280204898</v>
      </c>
      <c r="E274" s="284">
        <f t="shared" si="17"/>
        <v>2963884.0048378548</v>
      </c>
      <c r="F274" s="283"/>
      <c r="G274" s="278"/>
      <c r="H274" s="272"/>
      <c r="I274" s="278"/>
    </row>
    <row r="275" spans="1:9">
      <c r="A275" s="336">
        <v>220</v>
      </c>
      <c r="B275" s="284">
        <f t="shared" si="14"/>
        <v>20357.904702349868</v>
      </c>
      <c r="C275" s="284">
        <f t="shared" si="15"/>
        <v>14819.420024189276</v>
      </c>
      <c r="D275" s="284">
        <f t="shared" si="16"/>
        <v>5538.484678160592</v>
      </c>
      <c r="E275" s="284">
        <f t="shared" si="17"/>
        <v>2958345.5201596944</v>
      </c>
      <c r="F275" s="283"/>
      <c r="G275" s="278"/>
      <c r="H275" s="272"/>
      <c r="I275" s="278"/>
    </row>
    <row r="276" spans="1:9">
      <c r="A276" s="336">
        <v>221</v>
      </c>
      <c r="B276" s="284">
        <f t="shared" si="14"/>
        <v>20357.904702349868</v>
      </c>
      <c r="C276" s="284">
        <f t="shared" si="15"/>
        <v>14791.727600798475</v>
      </c>
      <c r="D276" s="284">
        <f t="shared" si="16"/>
        <v>5566.1771015513932</v>
      </c>
      <c r="E276" s="284">
        <f t="shared" si="17"/>
        <v>2952779.3430581428</v>
      </c>
      <c r="F276" s="283"/>
      <c r="G276" s="278"/>
      <c r="H276" s="272"/>
      <c r="I276" s="278"/>
    </row>
    <row r="277" spans="1:9">
      <c r="A277" s="336">
        <v>222</v>
      </c>
      <c r="B277" s="284">
        <f t="shared" si="14"/>
        <v>20357.904702349868</v>
      </c>
      <c r="C277" s="284">
        <f t="shared" si="15"/>
        <v>14763.896715290715</v>
      </c>
      <c r="D277" s="284">
        <f t="shared" si="16"/>
        <v>5594.0079870591526</v>
      </c>
      <c r="E277" s="284">
        <f t="shared" si="17"/>
        <v>2947185.3350710836</v>
      </c>
      <c r="F277" s="283"/>
      <c r="G277" s="335"/>
      <c r="H277" s="291"/>
      <c r="I277" s="278"/>
    </row>
    <row r="278" spans="1:9">
      <c r="A278" s="336">
        <v>223</v>
      </c>
      <c r="B278" s="284">
        <f t="shared" si="14"/>
        <v>20357.904702349868</v>
      </c>
      <c r="C278" s="284">
        <f t="shared" si="15"/>
        <v>14735.926675355418</v>
      </c>
      <c r="D278" s="284">
        <f t="shared" si="16"/>
        <v>5621.9780269944495</v>
      </c>
      <c r="E278" s="284">
        <f t="shared" si="17"/>
        <v>2941563.3570440891</v>
      </c>
      <c r="F278" s="283"/>
      <c r="G278" s="278"/>
      <c r="H278" s="272"/>
      <c r="I278" s="278"/>
    </row>
    <row r="279" spans="1:9">
      <c r="A279" s="336">
        <v>224</v>
      </c>
      <c r="B279" s="284">
        <f t="shared" si="14"/>
        <v>20357.904702349868</v>
      </c>
      <c r="C279" s="284">
        <f t="shared" si="15"/>
        <v>14707.816785220448</v>
      </c>
      <c r="D279" s="284">
        <f t="shared" si="16"/>
        <v>5650.08791712942</v>
      </c>
      <c r="E279" s="284">
        <f t="shared" si="17"/>
        <v>2935913.2691269596</v>
      </c>
      <c r="F279" s="283"/>
      <c r="G279" s="278"/>
      <c r="H279" s="272"/>
      <c r="I279" s="278"/>
    </row>
    <row r="280" spans="1:9">
      <c r="A280" s="336">
        <v>225</v>
      </c>
      <c r="B280" s="284">
        <f t="shared" si="14"/>
        <v>20357.904702349868</v>
      </c>
      <c r="C280" s="284">
        <f t="shared" si="15"/>
        <v>14679.566345634799</v>
      </c>
      <c r="D280" s="284">
        <f t="shared" si="16"/>
        <v>5678.3383567150686</v>
      </c>
      <c r="E280" s="284">
        <f t="shared" si="17"/>
        <v>2930234.9307702444</v>
      </c>
      <c r="F280" s="283"/>
      <c r="G280" s="278"/>
      <c r="H280" s="272"/>
      <c r="I280" s="278"/>
    </row>
    <row r="281" spans="1:9">
      <c r="A281" s="336">
        <v>226</v>
      </c>
      <c r="B281" s="284">
        <f t="shared" si="14"/>
        <v>20357.904702349868</v>
      </c>
      <c r="C281" s="284">
        <f t="shared" si="15"/>
        <v>14651.174653851223</v>
      </c>
      <c r="D281" s="284">
        <f t="shared" si="16"/>
        <v>5706.7300484986445</v>
      </c>
      <c r="E281" s="284">
        <f t="shared" si="17"/>
        <v>2924528.2007217458</v>
      </c>
      <c r="F281" s="283"/>
      <c r="G281" s="278"/>
      <c r="H281" s="272"/>
      <c r="I281" s="278"/>
    </row>
    <row r="282" spans="1:9">
      <c r="A282" s="336">
        <v>227</v>
      </c>
      <c r="B282" s="284">
        <f t="shared" si="14"/>
        <v>20357.904702349868</v>
      </c>
      <c r="C282" s="284">
        <f t="shared" si="15"/>
        <v>14622.641003608731</v>
      </c>
      <c r="D282" s="284">
        <f t="shared" si="16"/>
        <v>5735.263698741137</v>
      </c>
      <c r="E282" s="284">
        <f t="shared" si="17"/>
        <v>2918792.9370230045</v>
      </c>
      <c r="F282" s="283"/>
      <c r="G282" s="278"/>
      <c r="H282" s="272"/>
      <c r="I282" s="278"/>
    </row>
    <row r="283" spans="1:9">
      <c r="A283" s="336">
        <v>228</v>
      </c>
      <c r="B283" s="284">
        <f t="shared" si="14"/>
        <v>20357.904702349868</v>
      </c>
      <c r="C283" s="284">
        <f t="shared" si="15"/>
        <v>14593.964685115025</v>
      </c>
      <c r="D283" s="284">
        <f t="shared" si="16"/>
        <v>5763.9400172348433</v>
      </c>
      <c r="E283" s="284">
        <f t="shared" si="17"/>
        <v>2913028.9970057695</v>
      </c>
      <c r="F283" s="283">
        <v>19</v>
      </c>
      <c r="G283" s="335"/>
      <c r="H283" s="291"/>
      <c r="I283" s="335"/>
    </row>
    <row r="284" spans="1:9">
      <c r="A284" s="336">
        <v>229</v>
      </c>
      <c r="B284" s="284">
        <f t="shared" si="14"/>
        <v>20357.904702349868</v>
      </c>
      <c r="C284" s="284">
        <f t="shared" si="15"/>
        <v>14565.144985028848</v>
      </c>
      <c r="D284" s="284">
        <f t="shared" si="16"/>
        <v>5792.7597173210197</v>
      </c>
      <c r="E284" s="284">
        <f t="shared" si="17"/>
        <v>2907236.2372884485</v>
      </c>
      <c r="F284" s="283"/>
      <c r="G284" s="278"/>
      <c r="H284" s="272"/>
      <c r="I284" s="335"/>
    </row>
    <row r="285" spans="1:9">
      <c r="A285" s="336">
        <v>230</v>
      </c>
      <c r="B285" s="284">
        <f t="shared" si="14"/>
        <v>20357.904702349868</v>
      </c>
      <c r="C285" s="284">
        <f t="shared" si="15"/>
        <v>14536.181186442243</v>
      </c>
      <c r="D285" s="284">
        <f t="shared" si="16"/>
        <v>5821.7235159076245</v>
      </c>
      <c r="E285" s="284">
        <f t="shared" si="17"/>
        <v>2901414.5137725407</v>
      </c>
      <c r="F285" s="283"/>
      <c r="G285" s="278"/>
      <c r="H285" s="272"/>
      <c r="I285" s="278"/>
    </row>
    <row r="286" spans="1:9">
      <c r="A286" s="336">
        <v>231</v>
      </c>
      <c r="B286" s="284">
        <f t="shared" si="14"/>
        <v>20357.904702349868</v>
      </c>
      <c r="C286" s="284">
        <f t="shared" si="15"/>
        <v>14507.072568862704</v>
      </c>
      <c r="D286" s="284">
        <f t="shared" si="16"/>
        <v>5850.8321334871634</v>
      </c>
      <c r="E286" s="284">
        <f t="shared" si="17"/>
        <v>2895563.6816390534</v>
      </c>
      <c r="F286" s="283"/>
      <c r="G286" s="278"/>
      <c r="H286" s="272"/>
      <c r="I286" s="278"/>
    </row>
    <row r="287" spans="1:9">
      <c r="A287" s="336">
        <v>232</v>
      </c>
      <c r="B287" s="284">
        <f t="shared" si="14"/>
        <v>20357.904702349868</v>
      </c>
      <c r="C287" s="284">
        <f t="shared" si="15"/>
        <v>14477.81840819527</v>
      </c>
      <c r="D287" s="284">
        <f t="shared" si="16"/>
        <v>5880.0862941545984</v>
      </c>
      <c r="E287" s="284">
        <f t="shared" si="17"/>
        <v>2889683.5953448988</v>
      </c>
      <c r="F287" s="283"/>
      <c r="G287" s="278"/>
      <c r="H287" s="272"/>
      <c r="I287" s="278"/>
    </row>
    <row r="288" spans="1:9">
      <c r="A288" s="336">
        <v>233</v>
      </c>
      <c r="B288" s="284">
        <f t="shared" si="14"/>
        <v>20357.904702349868</v>
      </c>
      <c r="C288" s="284">
        <f t="shared" si="15"/>
        <v>14448.417976724495</v>
      </c>
      <c r="D288" s="284">
        <f t="shared" si="16"/>
        <v>5909.4867256253729</v>
      </c>
      <c r="E288" s="284">
        <f t="shared" si="17"/>
        <v>2883774.1086192732</v>
      </c>
      <c r="F288" s="283"/>
      <c r="G288" s="278"/>
      <c r="H288" s="272"/>
      <c r="I288" s="278"/>
    </row>
    <row r="289" spans="1:9">
      <c r="A289" s="336">
        <v>234</v>
      </c>
      <c r="B289" s="284">
        <f t="shared" si="14"/>
        <v>20357.904702349868</v>
      </c>
      <c r="C289" s="284">
        <f t="shared" si="15"/>
        <v>14418.870543096367</v>
      </c>
      <c r="D289" s="284">
        <f t="shared" si="16"/>
        <v>5939.0341592535005</v>
      </c>
      <c r="E289" s="284">
        <f t="shared" si="17"/>
        <v>2877835.0744600198</v>
      </c>
      <c r="F289" s="283"/>
      <c r="G289" s="335"/>
      <c r="H289" s="291"/>
      <c r="I289" s="278"/>
    </row>
    <row r="290" spans="1:9">
      <c r="A290" s="336">
        <v>235</v>
      </c>
      <c r="B290" s="284">
        <f t="shared" si="14"/>
        <v>20357.904702349868</v>
      </c>
      <c r="C290" s="284">
        <f t="shared" si="15"/>
        <v>14389.1753723001</v>
      </c>
      <c r="D290" s="284">
        <f t="shared" si="16"/>
        <v>5968.7293300497677</v>
      </c>
      <c r="E290" s="284">
        <f t="shared" si="17"/>
        <v>2871866.34512997</v>
      </c>
      <c r="F290" s="283"/>
      <c r="G290" s="278"/>
      <c r="H290" s="272"/>
      <c r="I290" s="278"/>
    </row>
    <row r="291" spans="1:9">
      <c r="A291" s="336">
        <v>236</v>
      </c>
      <c r="B291" s="284">
        <f t="shared" si="14"/>
        <v>20357.904702349868</v>
      </c>
      <c r="C291" s="284">
        <f t="shared" si="15"/>
        <v>14359.33172564985</v>
      </c>
      <c r="D291" s="284">
        <f t="shared" si="16"/>
        <v>5998.5729767000175</v>
      </c>
      <c r="E291" s="284">
        <f t="shared" si="17"/>
        <v>2865867.77215327</v>
      </c>
      <c r="F291" s="283"/>
      <c r="G291" s="278"/>
      <c r="H291" s="272"/>
      <c r="I291" s="278"/>
    </row>
    <row r="292" spans="1:9">
      <c r="A292" s="336">
        <v>237</v>
      </c>
      <c r="B292" s="284">
        <f t="shared" si="14"/>
        <v>20357.904702349868</v>
      </c>
      <c r="C292" s="284">
        <f t="shared" si="15"/>
        <v>14329.338860766351</v>
      </c>
      <c r="D292" s="284">
        <f t="shared" si="16"/>
        <v>6028.5658415835169</v>
      </c>
      <c r="E292" s="284">
        <f t="shared" si="17"/>
        <v>2859839.2063116864</v>
      </c>
      <c r="F292" s="283"/>
      <c r="G292" s="278"/>
      <c r="H292" s="272"/>
      <c r="I292" s="278"/>
    </row>
    <row r="293" spans="1:9">
      <c r="A293" s="336">
        <v>238</v>
      </c>
      <c r="B293" s="284">
        <f t="shared" si="14"/>
        <v>20357.904702349868</v>
      </c>
      <c r="C293" s="284">
        <f t="shared" si="15"/>
        <v>14299.196031558435</v>
      </c>
      <c r="D293" s="284">
        <f t="shared" si="16"/>
        <v>6058.7086707914332</v>
      </c>
      <c r="E293" s="284">
        <f t="shared" si="17"/>
        <v>2853780.4976408952</v>
      </c>
      <c r="F293" s="283"/>
      <c r="G293" s="278"/>
      <c r="H293" s="272"/>
      <c r="I293" s="278"/>
    </row>
    <row r="294" spans="1:9">
      <c r="A294" s="336">
        <v>239</v>
      </c>
      <c r="B294" s="284">
        <f t="shared" si="14"/>
        <v>20357.904702349868</v>
      </c>
      <c r="C294" s="284">
        <f t="shared" si="15"/>
        <v>14268.902488204476</v>
      </c>
      <c r="D294" s="284">
        <f t="shared" si="16"/>
        <v>6089.0022141453919</v>
      </c>
      <c r="E294" s="284">
        <f t="shared" si="17"/>
        <v>2847691.4954267498</v>
      </c>
      <c r="F294" s="283"/>
      <c r="G294" s="278"/>
      <c r="H294" s="272"/>
      <c r="I294" s="278"/>
    </row>
    <row r="295" spans="1:9">
      <c r="A295" s="336">
        <v>240</v>
      </c>
      <c r="B295" s="284">
        <f t="shared" si="14"/>
        <v>20357.904702349868</v>
      </c>
      <c r="C295" s="284">
        <f t="shared" si="15"/>
        <v>14238.45747713375</v>
      </c>
      <c r="D295" s="284">
        <f t="shared" si="16"/>
        <v>6119.4472252161177</v>
      </c>
      <c r="E295" s="284">
        <f t="shared" si="17"/>
        <v>2841572.0482015335</v>
      </c>
      <c r="F295" s="283">
        <v>20</v>
      </c>
      <c r="G295" s="335"/>
      <c r="H295" s="291"/>
      <c r="I295" s="335"/>
    </row>
    <row r="296" spans="1:9">
      <c r="A296" s="336">
        <v>241</v>
      </c>
      <c r="B296" s="284">
        <f t="shared" si="14"/>
        <v>20357.904702349868</v>
      </c>
      <c r="C296" s="284">
        <f t="shared" si="15"/>
        <v>14207.860241007669</v>
      </c>
      <c r="D296" s="284">
        <f t="shared" si="16"/>
        <v>6150.0444613421987</v>
      </c>
      <c r="E296" s="284">
        <f t="shared" si="17"/>
        <v>2835422.0037401915</v>
      </c>
      <c r="F296" s="283"/>
      <c r="G296" s="278"/>
      <c r="H296" s="272"/>
      <c r="I296" s="335"/>
    </row>
    <row r="297" spans="1:9">
      <c r="A297" s="336">
        <v>242</v>
      </c>
      <c r="B297" s="284">
        <f t="shared" si="14"/>
        <v>20357.904702349868</v>
      </c>
      <c r="C297" s="284">
        <f t="shared" si="15"/>
        <v>14177.110018700958</v>
      </c>
      <c r="D297" s="284">
        <f t="shared" si="16"/>
        <v>6180.79468364891</v>
      </c>
      <c r="E297" s="284">
        <f t="shared" si="17"/>
        <v>2829241.2090565427</v>
      </c>
      <c r="F297" s="283"/>
      <c r="G297" s="278"/>
      <c r="H297" s="272"/>
      <c r="I297" s="278"/>
    </row>
    <row r="298" spans="1:9">
      <c r="A298" s="336">
        <v>243</v>
      </c>
      <c r="B298" s="284">
        <f t="shared" si="14"/>
        <v>20357.904702349868</v>
      </c>
      <c r="C298" s="284">
        <f t="shared" si="15"/>
        <v>14146.206045282714</v>
      </c>
      <c r="D298" s="284">
        <f t="shared" si="16"/>
        <v>6211.6986570671543</v>
      </c>
      <c r="E298" s="284">
        <f t="shared" si="17"/>
        <v>2823029.5103994757</v>
      </c>
      <c r="F298" s="283"/>
      <c r="G298" s="278"/>
      <c r="H298" s="272"/>
      <c r="I298" s="278"/>
    </row>
    <row r="299" spans="1:9">
      <c r="A299" s="336">
        <v>244</v>
      </c>
      <c r="B299" s="284">
        <f t="shared" si="14"/>
        <v>20357.904702349868</v>
      </c>
      <c r="C299" s="284">
        <f t="shared" si="15"/>
        <v>14115.147551997381</v>
      </c>
      <c r="D299" s="284">
        <f t="shared" si="16"/>
        <v>6242.7571503524869</v>
      </c>
      <c r="E299" s="284">
        <f t="shared" si="17"/>
        <v>2816786.7532491232</v>
      </c>
      <c r="F299" s="283"/>
      <c r="G299" s="278"/>
      <c r="H299" s="272"/>
      <c r="I299" s="278"/>
    </row>
    <row r="300" spans="1:9">
      <c r="A300" s="336">
        <v>245</v>
      </c>
      <c r="B300" s="284">
        <f t="shared" si="14"/>
        <v>20357.904702349868</v>
      </c>
      <c r="C300" s="284">
        <f t="shared" si="15"/>
        <v>14083.933766245616</v>
      </c>
      <c r="D300" s="284">
        <f t="shared" si="16"/>
        <v>6273.9709361042515</v>
      </c>
      <c r="E300" s="284">
        <f t="shared" si="17"/>
        <v>2810512.782313019</v>
      </c>
      <c r="F300" s="283"/>
      <c r="G300" s="278"/>
      <c r="H300" s="272"/>
      <c r="I300" s="278"/>
    </row>
    <row r="301" spans="1:9">
      <c r="A301" s="336">
        <v>246</v>
      </c>
      <c r="B301" s="284">
        <f t="shared" si="14"/>
        <v>20357.904702349868</v>
      </c>
      <c r="C301" s="284">
        <f t="shared" si="15"/>
        <v>14052.563911565097</v>
      </c>
      <c r="D301" s="284">
        <f t="shared" si="16"/>
        <v>6305.3407907847704</v>
      </c>
      <c r="E301" s="284">
        <f t="shared" si="17"/>
        <v>2804207.4415222341</v>
      </c>
      <c r="F301" s="283"/>
      <c r="G301" s="335"/>
      <c r="H301" s="291"/>
      <c r="I301" s="278"/>
    </row>
    <row r="302" spans="1:9">
      <c r="A302" s="336">
        <v>247</v>
      </c>
      <c r="B302" s="284">
        <f t="shared" si="14"/>
        <v>20357.904702349868</v>
      </c>
      <c r="C302" s="284">
        <f t="shared" si="15"/>
        <v>14021.037207611173</v>
      </c>
      <c r="D302" s="284">
        <f t="shared" si="16"/>
        <v>6336.8674947386953</v>
      </c>
      <c r="E302" s="284">
        <f t="shared" si="17"/>
        <v>2797870.5740274955</v>
      </c>
      <c r="F302" s="283"/>
      <c r="G302" s="278"/>
      <c r="H302" s="272"/>
      <c r="I302" s="278"/>
    </row>
    <row r="303" spans="1:9">
      <c r="A303" s="336">
        <v>248</v>
      </c>
      <c r="B303" s="284">
        <f t="shared" si="14"/>
        <v>20357.904702349868</v>
      </c>
      <c r="C303" s="284">
        <f t="shared" si="15"/>
        <v>13989.35287013748</v>
      </c>
      <c r="D303" s="284">
        <f t="shared" si="16"/>
        <v>6368.551832212388</v>
      </c>
      <c r="E303" s="284">
        <f t="shared" si="17"/>
        <v>2791502.0221952829</v>
      </c>
      <c r="F303" s="283"/>
      <c r="G303" s="278"/>
      <c r="H303" s="272"/>
      <c r="I303" s="278"/>
    </row>
    <row r="304" spans="1:9">
      <c r="A304" s="336">
        <v>249</v>
      </c>
      <c r="B304" s="284">
        <f t="shared" si="14"/>
        <v>20357.904702349868</v>
      </c>
      <c r="C304" s="284">
        <f t="shared" si="15"/>
        <v>13957.510110976415</v>
      </c>
      <c r="D304" s="284">
        <f t="shared" si="16"/>
        <v>6400.3945913734533</v>
      </c>
      <c r="E304" s="284">
        <f t="shared" si="17"/>
        <v>2785101.6276039095</v>
      </c>
      <c r="F304" s="283"/>
      <c r="G304" s="278"/>
      <c r="H304" s="272"/>
      <c r="I304" s="278"/>
    </row>
    <row r="305" spans="1:9">
      <c r="A305" s="336">
        <v>250</v>
      </c>
      <c r="B305" s="284">
        <f t="shared" si="14"/>
        <v>20357.904702349868</v>
      </c>
      <c r="C305" s="284">
        <f t="shared" si="15"/>
        <v>13925.508138019548</v>
      </c>
      <c r="D305" s="284">
        <f t="shared" si="16"/>
        <v>6432.39656433032</v>
      </c>
      <c r="E305" s="284">
        <f t="shared" si="17"/>
        <v>2778669.231039579</v>
      </c>
      <c r="F305" s="283"/>
      <c r="G305" s="278"/>
      <c r="H305" s="272"/>
      <c r="I305" s="278"/>
    </row>
    <row r="306" spans="1:9">
      <c r="A306" s="336">
        <v>251</v>
      </c>
      <c r="B306" s="284">
        <f t="shared" si="14"/>
        <v>20357.904702349868</v>
      </c>
      <c r="C306" s="284">
        <f t="shared" si="15"/>
        <v>13893.346155197896</v>
      </c>
      <c r="D306" s="284">
        <f t="shared" si="16"/>
        <v>6464.5585471519717</v>
      </c>
      <c r="E306" s="284">
        <f t="shared" si="17"/>
        <v>2772204.6724924273</v>
      </c>
      <c r="F306" s="283"/>
      <c r="G306" s="278"/>
      <c r="H306" s="272"/>
      <c r="I306" s="278"/>
    </row>
    <row r="307" spans="1:9">
      <c r="A307" s="336">
        <v>252</v>
      </c>
      <c r="B307" s="284">
        <f t="shared" si="14"/>
        <v>20357.904702349868</v>
      </c>
      <c r="C307" s="284">
        <f t="shared" si="15"/>
        <v>13861.023362462138</v>
      </c>
      <c r="D307" s="284">
        <f t="shared" si="16"/>
        <v>6496.8813398877301</v>
      </c>
      <c r="E307" s="284">
        <f t="shared" si="17"/>
        <v>2765707.7911525397</v>
      </c>
      <c r="F307" s="283">
        <v>21</v>
      </c>
      <c r="G307" s="335"/>
      <c r="H307" s="291"/>
      <c r="I307" s="335"/>
    </row>
    <row r="308" spans="1:9">
      <c r="A308" s="336">
        <v>253</v>
      </c>
      <c r="B308" s="284">
        <f t="shared" si="14"/>
        <v>20357.904702349868</v>
      </c>
      <c r="C308" s="284">
        <f t="shared" si="15"/>
        <v>13828.538955762699</v>
      </c>
      <c r="D308" s="284">
        <f t="shared" si="16"/>
        <v>6529.3657465871693</v>
      </c>
      <c r="E308" s="284">
        <f t="shared" si="17"/>
        <v>2759178.4254059526</v>
      </c>
      <c r="F308" s="283"/>
      <c r="G308" s="278"/>
      <c r="H308" s="272"/>
      <c r="I308" s="335"/>
    </row>
    <row r="309" spans="1:9">
      <c r="A309" s="336">
        <v>254</v>
      </c>
      <c r="B309" s="284">
        <f t="shared" si="14"/>
        <v>20357.904702349868</v>
      </c>
      <c r="C309" s="284">
        <f t="shared" si="15"/>
        <v>13795.892127029765</v>
      </c>
      <c r="D309" s="284">
        <f t="shared" si="16"/>
        <v>6562.0125753201028</v>
      </c>
      <c r="E309" s="284">
        <f t="shared" si="17"/>
        <v>2752616.4128306326</v>
      </c>
      <c r="F309" s="283"/>
      <c r="G309" s="278"/>
      <c r="H309" s="272"/>
      <c r="I309" s="278"/>
    </row>
    <row r="310" spans="1:9">
      <c r="A310" s="336">
        <v>255</v>
      </c>
      <c r="B310" s="284">
        <f t="shared" si="14"/>
        <v>20357.904702349868</v>
      </c>
      <c r="C310" s="284">
        <f t="shared" si="15"/>
        <v>13763.082064153163</v>
      </c>
      <c r="D310" s="284">
        <f t="shared" si="16"/>
        <v>6594.8226381967052</v>
      </c>
      <c r="E310" s="284">
        <f t="shared" si="17"/>
        <v>2746021.5901924358</v>
      </c>
      <c r="F310" s="283"/>
      <c r="G310" s="278"/>
      <c r="H310" s="272"/>
      <c r="I310" s="278"/>
    </row>
    <row r="311" spans="1:9">
      <c r="A311" s="336">
        <v>256</v>
      </c>
      <c r="B311" s="284">
        <f t="shared" si="14"/>
        <v>20357.904702349868</v>
      </c>
      <c r="C311" s="284">
        <f t="shared" si="15"/>
        <v>13730.10795096218</v>
      </c>
      <c r="D311" s="284">
        <f t="shared" si="16"/>
        <v>6627.7967513876883</v>
      </c>
      <c r="E311" s="284">
        <f t="shared" si="17"/>
        <v>2739393.7934410479</v>
      </c>
      <c r="F311" s="283"/>
      <c r="G311" s="278"/>
      <c r="H311" s="272"/>
      <c r="I311" s="278"/>
    </row>
    <row r="312" spans="1:9">
      <c r="A312" s="336">
        <v>257</v>
      </c>
      <c r="B312" s="284">
        <f t="shared" ref="B312:B375" si="18">IF(A312&gt;12*$D$14,0,$D$20)</f>
        <v>20357.904702349868</v>
      </c>
      <c r="C312" s="284">
        <f t="shared" ref="C312:C375" si="19">IF(A312&gt;12*$D$14,0,E311*$D$10/12)</f>
        <v>13696.968967205241</v>
      </c>
      <c r="D312" s="284">
        <f t="shared" ref="D312:D375" si="20">IF(A312&gt;12*$D$14,0,B312-C312)</f>
        <v>6660.935735144627</v>
      </c>
      <c r="E312" s="284">
        <f t="shared" ref="E312:E375" si="21">IF(A312&gt;12*$D$14,0,E311-D312)</f>
        <v>2732732.8577059032</v>
      </c>
      <c r="F312" s="283"/>
      <c r="G312" s="278"/>
      <c r="H312" s="272"/>
      <c r="I312" s="278"/>
    </row>
    <row r="313" spans="1:9">
      <c r="A313" s="336">
        <v>258</v>
      </c>
      <c r="B313" s="284">
        <f t="shared" si="18"/>
        <v>20357.904702349868</v>
      </c>
      <c r="C313" s="284">
        <f t="shared" si="19"/>
        <v>13663.664288529517</v>
      </c>
      <c r="D313" s="284">
        <f t="shared" si="20"/>
        <v>6694.240413820351</v>
      </c>
      <c r="E313" s="284">
        <f t="shared" si="21"/>
        <v>2726038.6172920829</v>
      </c>
      <c r="F313" s="283"/>
      <c r="G313" s="335"/>
      <c r="H313" s="291"/>
      <c r="I313" s="278"/>
    </row>
    <row r="314" spans="1:9">
      <c r="A314" s="336">
        <v>259</v>
      </c>
      <c r="B314" s="284">
        <f t="shared" si="18"/>
        <v>20357.904702349868</v>
      </c>
      <c r="C314" s="284">
        <f t="shared" si="19"/>
        <v>13630.193086460415</v>
      </c>
      <c r="D314" s="284">
        <f t="shared" si="20"/>
        <v>6727.7116158894532</v>
      </c>
      <c r="E314" s="284">
        <f t="shared" si="21"/>
        <v>2719310.9056761935</v>
      </c>
      <c r="F314" s="283"/>
      <c r="G314" s="278"/>
      <c r="H314" s="272"/>
      <c r="I314" s="278"/>
    </row>
    <row r="315" spans="1:9">
      <c r="A315" s="336">
        <v>260</v>
      </c>
      <c r="B315" s="284">
        <f t="shared" si="18"/>
        <v>20357.904702349868</v>
      </c>
      <c r="C315" s="284">
        <f t="shared" si="19"/>
        <v>13596.55452838097</v>
      </c>
      <c r="D315" s="284">
        <f t="shared" si="20"/>
        <v>6761.3501739688982</v>
      </c>
      <c r="E315" s="284">
        <f t="shared" si="21"/>
        <v>2712549.5555022247</v>
      </c>
      <c r="F315" s="283"/>
      <c r="G315" s="278"/>
      <c r="H315" s="272"/>
      <c r="I315" s="278"/>
    </row>
    <row r="316" spans="1:9">
      <c r="A316" s="336">
        <v>261</v>
      </c>
      <c r="B316" s="284">
        <f t="shared" si="18"/>
        <v>20357.904702349868</v>
      </c>
      <c r="C316" s="284">
        <f t="shared" si="19"/>
        <v>13562.747777511126</v>
      </c>
      <c r="D316" s="284">
        <f t="shared" si="20"/>
        <v>6795.1569248387423</v>
      </c>
      <c r="E316" s="284">
        <f t="shared" si="21"/>
        <v>2705754.398577386</v>
      </c>
      <c r="F316" s="283"/>
      <c r="G316" s="278"/>
      <c r="H316" s="272"/>
      <c r="I316" s="278"/>
    </row>
    <row r="317" spans="1:9">
      <c r="A317" s="336">
        <v>262</v>
      </c>
      <c r="B317" s="284">
        <f t="shared" si="18"/>
        <v>20357.904702349868</v>
      </c>
      <c r="C317" s="284">
        <f t="shared" si="19"/>
        <v>13528.771992886932</v>
      </c>
      <c r="D317" s="284">
        <f t="shared" si="20"/>
        <v>6829.132709462936</v>
      </c>
      <c r="E317" s="284">
        <f t="shared" si="21"/>
        <v>2698925.2658679229</v>
      </c>
      <c r="F317" s="283"/>
      <c r="G317" s="278"/>
      <c r="H317" s="272"/>
      <c r="I317" s="278"/>
    </row>
    <row r="318" spans="1:9">
      <c r="A318" s="336">
        <v>263</v>
      </c>
      <c r="B318" s="284">
        <f t="shared" si="18"/>
        <v>20357.904702349868</v>
      </c>
      <c r="C318" s="284">
        <f t="shared" si="19"/>
        <v>13494.626329339617</v>
      </c>
      <c r="D318" s="284">
        <f t="shared" si="20"/>
        <v>6863.278373010251</v>
      </c>
      <c r="E318" s="284">
        <f t="shared" si="21"/>
        <v>2692061.9874949125</v>
      </c>
      <c r="F318" s="283"/>
      <c r="G318" s="278"/>
      <c r="H318" s="272"/>
      <c r="I318" s="278"/>
    </row>
    <row r="319" spans="1:9">
      <c r="A319" s="336">
        <v>264</v>
      </c>
      <c r="B319" s="284">
        <f t="shared" si="18"/>
        <v>20357.904702349868</v>
      </c>
      <c r="C319" s="284">
        <f t="shared" si="19"/>
        <v>13460.309937474563</v>
      </c>
      <c r="D319" s="284">
        <f t="shared" si="20"/>
        <v>6897.5947648753045</v>
      </c>
      <c r="E319" s="284">
        <f t="shared" si="21"/>
        <v>2685164.3927300372</v>
      </c>
      <c r="F319" s="283">
        <v>22</v>
      </c>
      <c r="G319" s="335"/>
      <c r="H319" s="291"/>
      <c r="I319" s="335"/>
    </row>
    <row r="320" spans="1:9">
      <c r="A320" s="336">
        <v>265</v>
      </c>
      <c r="B320" s="284">
        <f t="shared" si="18"/>
        <v>20357.904702349868</v>
      </c>
      <c r="C320" s="284">
        <f t="shared" si="19"/>
        <v>13425.821963650187</v>
      </c>
      <c r="D320" s="284">
        <f t="shared" si="20"/>
        <v>6932.0827386996807</v>
      </c>
      <c r="E320" s="284">
        <f t="shared" si="21"/>
        <v>2678232.3099913374</v>
      </c>
      <c r="F320" s="283"/>
      <c r="G320" s="278"/>
      <c r="H320" s="272"/>
      <c r="I320" s="335"/>
    </row>
    <row r="321" spans="1:9">
      <c r="A321" s="336">
        <v>266</v>
      </c>
      <c r="B321" s="284">
        <f t="shared" si="18"/>
        <v>20357.904702349868</v>
      </c>
      <c r="C321" s="284">
        <f t="shared" si="19"/>
        <v>13391.161549956689</v>
      </c>
      <c r="D321" s="284">
        <f t="shared" si="20"/>
        <v>6966.7431523931791</v>
      </c>
      <c r="E321" s="284">
        <f t="shared" si="21"/>
        <v>2671265.5668389443</v>
      </c>
      <c r="F321" s="283"/>
      <c r="G321" s="278"/>
      <c r="H321" s="272"/>
      <c r="I321" s="278"/>
    </row>
    <row r="322" spans="1:9">
      <c r="A322" s="336">
        <v>267</v>
      </c>
      <c r="B322" s="284">
        <f t="shared" si="18"/>
        <v>20357.904702349868</v>
      </c>
      <c r="C322" s="284">
        <f t="shared" si="19"/>
        <v>13356.327834194723</v>
      </c>
      <c r="D322" s="284">
        <f t="shared" si="20"/>
        <v>7001.5768681551453</v>
      </c>
      <c r="E322" s="284">
        <f t="shared" si="21"/>
        <v>2664263.9899707893</v>
      </c>
      <c r="F322" s="283"/>
      <c r="G322" s="278"/>
      <c r="H322" s="272"/>
      <c r="I322" s="278"/>
    </row>
    <row r="323" spans="1:9">
      <c r="A323" s="336">
        <v>268</v>
      </c>
      <c r="B323" s="284">
        <f t="shared" si="18"/>
        <v>20357.904702349868</v>
      </c>
      <c r="C323" s="284">
        <f t="shared" si="19"/>
        <v>13321.319949853947</v>
      </c>
      <c r="D323" s="284">
        <f t="shared" si="20"/>
        <v>7036.5847524959208</v>
      </c>
      <c r="E323" s="284">
        <f t="shared" si="21"/>
        <v>2657227.4052182934</v>
      </c>
      <c r="F323" s="283"/>
      <c r="G323" s="278"/>
      <c r="H323" s="272"/>
      <c r="I323" s="278"/>
    </row>
    <row r="324" spans="1:9">
      <c r="A324" s="336">
        <v>269</v>
      </c>
      <c r="B324" s="284">
        <f t="shared" si="18"/>
        <v>20357.904702349868</v>
      </c>
      <c r="C324" s="284">
        <f t="shared" si="19"/>
        <v>13286.137026091468</v>
      </c>
      <c r="D324" s="284">
        <f t="shared" si="20"/>
        <v>7071.7676762583997</v>
      </c>
      <c r="E324" s="284">
        <f t="shared" si="21"/>
        <v>2650155.637542035</v>
      </c>
      <c r="F324" s="283"/>
      <c r="G324" s="278"/>
      <c r="H324" s="272"/>
      <c r="I324" s="278"/>
    </row>
    <row r="325" spans="1:9">
      <c r="A325" s="336">
        <v>270</v>
      </c>
      <c r="B325" s="284">
        <f t="shared" si="18"/>
        <v>20357.904702349868</v>
      </c>
      <c r="C325" s="284">
        <f t="shared" si="19"/>
        <v>13250.778187710175</v>
      </c>
      <c r="D325" s="284">
        <f t="shared" si="20"/>
        <v>7107.1265146396927</v>
      </c>
      <c r="E325" s="284">
        <f t="shared" si="21"/>
        <v>2643048.5110273953</v>
      </c>
      <c r="F325" s="283"/>
      <c r="G325" s="335"/>
      <c r="H325" s="291"/>
      <c r="I325" s="278"/>
    </row>
    <row r="326" spans="1:9">
      <c r="A326" s="336">
        <v>271</v>
      </c>
      <c r="B326" s="284">
        <f t="shared" si="18"/>
        <v>20357.904702349868</v>
      </c>
      <c r="C326" s="284">
        <f t="shared" si="19"/>
        <v>13215.242555136976</v>
      </c>
      <c r="D326" s="284">
        <f t="shared" si="20"/>
        <v>7142.6621472128918</v>
      </c>
      <c r="E326" s="284">
        <f t="shared" si="21"/>
        <v>2635905.8488801825</v>
      </c>
      <c r="F326" s="283"/>
      <c r="G326" s="278"/>
      <c r="H326" s="272"/>
      <c r="I326" s="278"/>
    </row>
    <row r="327" spans="1:9">
      <c r="A327" s="336">
        <v>272</v>
      </c>
      <c r="B327" s="284">
        <f t="shared" si="18"/>
        <v>20357.904702349868</v>
      </c>
      <c r="C327" s="284">
        <f t="shared" si="19"/>
        <v>13179.529244400912</v>
      </c>
      <c r="D327" s="284">
        <f t="shared" si="20"/>
        <v>7178.375457948956</v>
      </c>
      <c r="E327" s="284">
        <f t="shared" si="21"/>
        <v>2628727.4734222335</v>
      </c>
      <c r="F327" s="283"/>
      <c r="G327" s="278"/>
      <c r="H327" s="272"/>
      <c r="I327" s="278"/>
    </row>
    <row r="328" spans="1:9">
      <c r="A328" s="336">
        <v>273</v>
      </c>
      <c r="B328" s="284">
        <f t="shared" si="18"/>
        <v>20357.904702349868</v>
      </c>
      <c r="C328" s="284">
        <f t="shared" si="19"/>
        <v>13143.637367111167</v>
      </c>
      <c r="D328" s="284">
        <f t="shared" si="20"/>
        <v>7214.267335238701</v>
      </c>
      <c r="E328" s="284">
        <f t="shared" si="21"/>
        <v>2621513.2060869946</v>
      </c>
      <c r="F328" s="283"/>
      <c r="G328" s="278"/>
      <c r="H328" s="272"/>
      <c r="I328" s="278"/>
    </row>
    <row r="329" spans="1:9">
      <c r="A329" s="336">
        <v>274</v>
      </c>
      <c r="B329" s="284">
        <f t="shared" si="18"/>
        <v>20357.904702349868</v>
      </c>
      <c r="C329" s="284">
        <f t="shared" si="19"/>
        <v>13107.566030434973</v>
      </c>
      <c r="D329" s="284">
        <f t="shared" si="20"/>
        <v>7250.3386719148948</v>
      </c>
      <c r="E329" s="284">
        <f t="shared" si="21"/>
        <v>2614262.8674150798</v>
      </c>
      <c r="F329" s="283"/>
      <c r="G329" s="278"/>
      <c r="H329" s="272"/>
      <c r="I329" s="278"/>
    </row>
    <row r="330" spans="1:9">
      <c r="A330" s="336">
        <v>275</v>
      </c>
      <c r="B330" s="284">
        <f t="shared" si="18"/>
        <v>20357.904702349868</v>
      </c>
      <c r="C330" s="284">
        <f t="shared" si="19"/>
        <v>13071.314337075399</v>
      </c>
      <c r="D330" s="284">
        <f t="shared" si="20"/>
        <v>7286.5903652744691</v>
      </c>
      <c r="E330" s="284">
        <f t="shared" si="21"/>
        <v>2606976.2770498055</v>
      </c>
      <c r="F330" s="283"/>
      <c r="G330" s="278"/>
      <c r="H330" s="272"/>
      <c r="I330" s="278"/>
    </row>
    <row r="331" spans="1:9">
      <c r="A331" s="336">
        <v>276</v>
      </c>
      <c r="B331" s="284">
        <f t="shared" si="18"/>
        <v>20357.904702349868</v>
      </c>
      <c r="C331" s="284">
        <f t="shared" si="19"/>
        <v>13034.881385249028</v>
      </c>
      <c r="D331" s="284">
        <f t="shared" si="20"/>
        <v>7323.0233171008404</v>
      </c>
      <c r="E331" s="284">
        <f t="shared" si="21"/>
        <v>2599653.2537327046</v>
      </c>
      <c r="F331" s="283">
        <v>23</v>
      </c>
      <c r="G331" s="335"/>
      <c r="H331" s="291"/>
      <c r="I331" s="335"/>
    </row>
    <row r="332" spans="1:9">
      <c r="A332" s="336">
        <v>277</v>
      </c>
      <c r="B332" s="284">
        <f t="shared" si="18"/>
        <v>20357.904702349868</v>
      </c>
      <c r="C332" s="284">
        <f t="shared" si="19"/>
        <v>12998.266268663523</v>
      </c>
      <c r="D332" s="284">
        <f t="shared" si="20"/>
        <v>7359.6384336863448</v>
      </c>
      <c r="E332" s="284">
        <f t="shared" si="21"/>
        <v>2592293.6152990181</v>
      </c>
      <c r="F332" s="283"/>
      <c r="G332" s="278"/>
      <c r="H332" s="272"/>
      <c r="I332" s="335"/>
    </row>
    <row r="333" spans="1:9">
      <c r="A333" s="336">
        <v>278</v>
      </c>
      <c r="B333" s="284">
        <f t="shared" si="18"/>
        <v>20357.904702349868</v>
      </c>
      <c r="C333" s="284">
        <f t="shared" si="19"/>
        <v>12961.468076495092</v>
      </c>
      <c r="D333" s="284">
        <f t="shared" si="20"/>
        <v>7396.4366258547761</v>
      </c>
      <c r="E333" s="284">
        <f t="shared" si="21"/>
        <v>2584897.1786731635</v>
      </c>
      <c r="F333" s="283"/>
      <c r="G333" s="278"/>
      <c r="H333" s="272"/>
      <c r="I333" s="278"/>
    </row>
    <row r="334" spans="1:9">
      <c r="A334" s="336">
        <v>279</v>
      </c>
      <c r="B334" s="284">
        <f t="shared" si="18"/>
        <v>20357.904702349868</v>
      </c>
      <c r="C334" s="284">
        <f t="shared" si="19"/>
        <v>12924.485893365818</v>
      </c>
      <c r="D334" s="284">
        <f t="shared" si="20"/>
        <v>7433.41880898405</v>
      </c>
      <c r="E334" s="284">
        <f t="shared" si="21"/>
        <v>2577463.7598641794</v>
      </c>
      <c r="F334" s="283"/>
      <c r="G334" s="278"/>
      <c r="H334" s="272"/>
      <c r="I334" s="278"/>
    </row>
    <row r="335" spans="1:9">
      <c r="A335" s="336">
        <v>280</v>
      </c>
      <c r="B335" s="284">
        <f t="shared" si="18"/>
        <v>20357.904702349868</v>
      </c>
      <c r="C335" s="284">
        <f t="shared" si="19"/>
        <v>12887.318799320898</v>
      </c>
      <c r="D335" s="284">
        <f t="shared" si="20"/>
        <v>7470.5859030289703</v>
      </c>
      <c r="E335" s="284">
        <f t="shared" si="21"/>
        <v>2569993.1739611505</v>
      </c>
      <c r="F335" s="283"/>
      <c r="G335" s="278"/>
      <c r="H335" s="272"/>
      <c r="I335" s="278"/>
    </row>
    <row r="336" spans="1:9">
      <c r="A336" s="336">
        <v>281</v>
      </c>
      <c r="B336" s="284">
        <f t="shared" si="18"/>
        <v>20357.904702349868</v>
      </c>
      <c r="C336" s="284">
        <f t="shared" si="19"/>
        <v>12849.965869805754</v>
      </c>
      <c r="D336" s="284">
        <f t="shared" si="20"/>
        <v>7507.9388325441141</v>
      </c>
      <c r="E336" s="284">
        <f t="shared" si="21"/>
        <v>2562485.2351286062</v>
      </c>
      <c r="F336" s="283"/>
      <c r="G336" s="278"/>
      <c r="H336" s="272"/>
      <c r="I336" s="278"/>
    </row>
    <row r="337" spans="1:9">
      <c r="A337" s="336">
        <v>282</v>
      </c>
      <c r="B337" s="284">
        <f t="shared" si="18"/>
        <v>20357.904702349868</v>
      </c>
      <c r="C337" s="284">
        <f t="shared" si="19"/>
        <v>12812.426175643033</v>
      </c>
      <c r="D337" s="284">
        <f t="shared" si="20"/>
        <v>7545.4785267068346</v>
      </c>
      <c r="E337" s="284">
        <f t="shared" si="21"/>
        <v>2554939.7566018994</v>
      </c>
      <c r="F337" s="283"/>
      <c r="G337" s="335"/>
      <c r="H337" s="291"/>
      <c r="I337" s="278"/>
    </row>
    <row r="338" spans="1:9">
      <c r="A338" s="336">
        <v>283</v>
      </c>
      <c r="B338" s="284">
        <f t="shared" si="18"/>
        <v>20357.904702349868</v>
      </c>
      <c r="C338" s="284">
        <f t="shared" si="19"/>
        <v>12774.698783009497</v>
      </c>
      <c r="D338" s="284">
        <f t="shared" si="20"/>
        <v>7583.2059193403711</v>
      </c>
      <c r="E338" s="284">
        <f t="shared" si="21"/>
        <v>2547356.5506825591</v>
      </c>
      <c r="F338" s="283"/>
      <c r="G338" s="278"/>
      <c r="H338" s="272"/>
      <c r="I338" s="278"/>
    </row>
    <row r="339" spans="1:9">
      <c r="A339" s="336">
        <v>284</v>
      </c>
      <c r="B339" s="284">
        <f t="shared" si="18"/>
        <v>20357.904702349868</v>
      </c>
      <c r="C339" s="284">
        <f t="shared" si="19"/>
        <v>12736.782753412796</v>
      </c>
      <c r="D339" s="284">
        <f t="shared" si="20"/>
        <v>7621.1219489370724</v>
      </c>
      <c r="E339" s="284">
        <f t="shared" si="21"/>
        <v>2539735.4287336222</v>
      </c>
      <c r="F339" s="283"/>
      <c r="G339" s="278"/>
      <c r="H339" s="272"/>
      <c r="I339" s="278"/>
    </row>
    <row r="340" spans="1:9">
      <c r="A340" s="336">
        <v>285</v>
      </c>
      <c r="B340" s="284">
        <f t="shared" si="18"/>
        <v>20357.904702349868</v>
      </c>
      <c r="C340" s="284">
        <f t="shared" si="19"/>
        <v>12698.67714366811</v>
      </c>
      <c r="D340" s="284">
        <f t="shared" si="20"/>
        <v>7659.2275586817577</v>
      </c>
      <c r="E340" s="284">
        <f t="shared" si="21"/>
        <v>2532076.2011749404</v>
      </c>
      <c r="F340" s="283"/>
      <c r="G340" s="278"/>
      <c r="H340" s="272"/>
      <c r="I340" s="278"/>
    </row>
    <row r="341" spans="1:9">
      <c r="A341" s="336">
        <v>286</v>
      </c>
      <c r="B341" s="284">
        <f t="shared" si="18"/>
        <v>20357.904702349868</v>
      </c>
      <c r="C341" s="284">
        <f t="shared" si="19"/>
        <v>12660.381005874704</v>
      </c>
      <c r="D341" s="284">
        <f t="shared" si="20"/>
        <v>7697.5236964751639</v>
      </c>
      <c r="E341" s="284">
        <f t="shared" si="21"/>
        <v>2524378.6774784653</v>
      </c>
      <c r="F341" s="283"/>
      <c r="G341" s="278"/>
      <c r="H341" s="272"/>
      <c r="I341" s="278"/>
    </row>
    <row r="342" spans="1:9">
      <c r="A342" s="336">
        <v>287</v>
      </c>
      <c r="B342" s="284">
        <f t="shared" si="18"/>
        <v>20357.904702349868</v>
      </c>
      <c r="C342" s="284">
        <f t="shared" si="19"/>
        <v>12621.893387392329</v>
      </c>
      <c r="D342" s="284">
        <f t="shared" si="20"/>
        <v>7736.0113149575391</v>
      </c>
      <c r="E342" s="284">
        <f t="shared" si="21"/>
        <v>2516642.6661635078</v>
      </c>
      <c r="F342" s="283"/>
      <c r="G342" s="278"/>
      <c r="H342" s="272"/>
      <c r="I342" s="278"/>
    </row>
    <row r="343" spans="1:9">
      <c r="A343" s="336">
        <v>288</v>
      </c>
      <c r="B343" s="284">
        <f t="shared" si="18"/>
        <v>20357.904702349868</v>
      </c>
      <c r="C343" s="284">
        <f t="shared" si="19"/>
        <v>12583.21333081754</v>
      </c>
      <c r="D343" s="284">
        <f t="shared" si="20"/>
        <v>7774.691371532328</v>
      </c>
      <c r="E343" s="284">
        <f t="shared" si="21"/>
        <v>2508867.9747919757</v>
      </c>
      <c r="F343" s="283">
        <v>24</v>
      </c>
      <c r="G343" s="335"/>
      <c r="H343" s="291"/>
      <c r="I343" s="335"/>
    </row>
    <row r="344" spans="1:9">
      <c r="A344" s="336">
        <v>289</v>
      </c>
      <c r="B344" s="284">
        <f t="shared" si="18"/>
        <v>20357.904702349868</v>
      </c>
      <c r="C344" s="284">
        <f t="shared" si="19"/>
        <v>12544.33987395988</v>
      </c>
      <c r="D344" s="284">
        <f t="shared" si="20"/>
        <v>7813.5648283899882</v>
      </c>
      <c r="E344" s="284">
        <f t="shared" si="21"/>
        <v>2501054.4099635859</v>
      </c>
      <c r="F344" s="283"/>
      <c r="G344" s="278"/>
      <c r="H344" s="272"/>
      <c r="I344" s="335"/>
    </row>
    <row r="345" spans="1:9">
      <c r="A345" s="336">
        <v>290</v>
      </c>
      <c r="B345" s="284">
        <f t="shared" si="18"/>
        <v>20357.904702349868</v>
      </c>
      <c r="C345" s="284">
        <f t="shared" si="19"/>
        <v>12505.272049817931</v>
      </c>
      <c r="D345" s="284">
        <f t="shared" si="20"/>
        <v>7852.6326525319364</v>
      </c>
      <c r="E345" s="284">
        <f t="shared" si="21"/>
        <v>2493201.7773110541</v>
      </c>
      <c r="F345" s="283"/>
      <c r="G345" s="278"/>
      <c r="H345" s="272"/>
      <c r="I345" s="278"/>
    </row>
    <row r="346" spans="1:9">
      <c r="A346" s="336">
        <v>291</v>
      </c>
      <c r="B346" s="284">
        <f t="shared" si="18"/>
        <v>20357.904702349868</v>
      </c>
      <c r="C346" s="284">
        <f t="shared" si="19"/>
        <v>12466.00888655527</v>
      </c>
      <c r="D346" s="284">
        <f t="shared" si="20"/>
        <v>7891.8958157945981</v>
      </c>
      <c r="E346" s="284">
        <f t="shared" si="21"/>
        <v>2485309.8814952592</v>
      </c>
      <c r="F346" s="283"/>
      <c r="G346" s="278"/>
      <c r="H346" s="272"/>
      <c r="I346" s="278"/>
    </row>
    <row r="347" spans="1:9">
      <c r="A347" s="336">
        <v>292</v>
      </c>
      <c r="B347" s="284">
        <f t="shared" si="18"/>
        <v>20357.904702349868</v>
      </c>
      <c r="C347" s="284">
        <f t="shared" si="19"/>
        <v>12426.549407476297</v>
      </c>
      <c r="D347" s="284">
        <f t="shared" si="20"/>
        <v>7931.3552948735705</v>
      </c>
      <c r="E347" s="284">
        <f t="shared" si="21"/>
        <v>2477378.5262003858</v>
      </c>
      <c r="F347" s="283"/>
      <c r="G347" s="278"/>
      <c r="H347" s="272"/>
      <c r="I347" s="278"/>
    </row>
    <row r="348" spans="1:9">
      <c r="A348" s="336">
        <v>293</v>
      </c>
      <c r="B348" s="284">
        <f t="shared" si="18"/>
        <v>20357.904702349868</v>
      </c>
      <c r="C348" s="284">
        <f t="shared" si="19"/>
        <v>12386.892631001931</v>
      </c>
      <c r="D348" s="284">
        <f t="shared" si="20"/>
        <v>7971.0120713479373</v>
      </c>
      <c r="E348" s="284">
        <f t="shared" si="21"/>
        <v>2469407.514129038</v>
      </c>
      <c r="F348" s="283"/>
      <c r="G348" s="278"/>
      <c r="H348" s="272"/>
      <c r="I348" s="278"/>
    </row>
    <row r="349" spans="1:9">
      <c r="A349" s="336">
        <v>294</v>
      </c>
      <c r="B349" s="284">
        <f t="shared" si="18"/>
        <v>20357.904702349868</v>
      </c>
      <c r="C349" s="284">
        <f t="shared" si="19"/>
        <v>12347.03757064519</v>
      </c>
      <c r="D349" s="284">
        <f t="shared" si="20"/>
        <v>8010.8671317046774</v>
      </c>
      <c r="E349" s="284">
        <f t="shared" si="21"/>
        <v>2461396.6469973335</v>
      </c>
      <c r="F349" s="283"/>
      <c r="G349" s="335"/>
      <c r="H349" s="291"/>
      <c r="I349" s="278"/>
    </row>
    <row r="350" spans="1:9">
      <c r="A350" s="336">
        <v>295</v>
      </c>
      <c r="B350" s="284">
        <f t="shared" si="18"/>
        <v>20357.904702349868</v>
      </c>
      <c r="C350" s="284">
        <f t="shared" si="19"/>
        <v>12306.983234986668</v>
      </c>
      <c r="D350" s="284">
        <f t="shared" si="20"/>
        <v>8050.9214673631996</v>
      </c>
      <c r="E350" s="284">
        <f t="shared" si="21"/>
        <v>2453345.7255299701</v>
      </c>
      <c r="F350" s="283"/>
      <c r="G350" s="278"/>
      <c r="H350" s="272"/>
      <c r="I350" s="278"/>
    </row>
    <row r="351" spans="1:9">
      <c r="A351" s="336">
        <v>296</v>
      </c>
      <c r="B351" s="284">
        <f t="shared" si="18"/>
        <v>20357.904702349868</v>
      </c>
      <c r="C351" s="284">
        <f t="shared" si="19"/>
        <v>12266.728627649851</v>
      </c>
      <c r="D351" s="284">
        <f t="shared" si="20"/>
        <v>8091.1760747000171</v>
      </c>
      <c r="E351" s="284">
        <f t="shared" si="21"/>
        <v>2445254.5494552702</v>
      </c>
      <c r="F351" s="283"/>
      <c r="G351" s="278"/>
      <c r="H351" s="272"/>
      <c r="I351" s="278"/>
    </row>
    <row r="352" spans="1:9">
      <c r="A352" s="336">
        <v>297</v>
      </c>
      <c r="B352" s="284">
        <f t="shared" si="18"/>
        <v>20357.904702349868</v>
      </c>
      <c r="C352" s="284">
        <f t="shared" si="19"/>
        <v>12226.272747276351</v>
      </c>
      <c r="D352" s="284">
        <f t="shared" si="20"/>
        <v>8131.631955073517</v>
      </c>
      <c r="E352" s="284">
        <f t="shared" si="21"/>
        <v>2437122.9175001965</v>
      </c>
      <c r="F352" s="283"/>
      <c r="G352" s="278"/>
      <c r="H352" s="272"/>
      <c r="I352" s="278"/>
    </row>
    <row r="353" spans="1:9">
      <c r="A353" s="336">
        <v>298</v>
      </c>
      <c r="B353" s="284">
        <f t="shared" si="18"/>
        <v>20357.904702349868</v>
      </c>
      <c r="C353" s="284">
        <f t="shared" si="19"/>
        <v>12185.614587500982</v>
      </c>
      <c r="D353" s="284">
        <f t="shared" si="20"/>
        <v>8172.2901148488854</v>
      </c>
      <c r="E353" s="284">
        <f t="shared" si="21"/>
        <v>2428950.6273853476</v>
      </c>
      <c r="F353" s="283"/>
      <c r="G353" s="278"/>
      <c r="H353" s="272"/>
      <c r="I353" s="278"/>
    </row>
    <row r="354" spans="1:9">
      <c r="A354" s="336">
        <v>299</v>
      </c>
      <c r="B354" s="284">
        <f t="shared" si="18"/>
        <v>20357.904702349868</v>
      </c>
      <c r="C354" s="284">
        <f t="shared" si="19"/>
        <v>12144.753136926738</v>
      </c>
      <c r="D354" s="284">
        <f t="shared" si="20"/>
        <v>8213.1515654231298</v>
      </c>
      <c r="E354" s="284">
        <f t="shared" si="21"/>
        <v>2420737.4758199244</v>
      </c>
      <c r="F354" s="283"/>
      <c r="G354" s="278"/>
      <c r="H354" s="272"/>
      <c r="I354" s="278"/>
    </row>
    <row r="355" spans="1:9">
      <c r="A355" s="336">
        <v>300</v>
      </c>
      <c r="B355" s="284">
        <f t="shared" si="18"/>
        <v>20357.904702349868</v>
      </c>
      <c r="C355" s="284">
        <f t="shared" si="19"/>
        <v>12103.687379099623</v>
      </c>
      <c r="D355" s="284">
        <f t="shared" si="20"/>
        <v>8254.2173232502446</v>
      </c>
      <c r="E355" s="284">
        <f t="shared" si="21"/>
        <v>2412483.2584966742</v>
      </c>
      <c r="F355" s="283">
        <v>25</v>
      </c>
      <c r="G355" s="335"/>
      <c r="H355" s="291"/>
      <c r="I355" s="335"/>
    </row>
    <row r="356" spans="1:9">
      <c r="A356" s="336">
        <v>301</v>
      </c>
      <c r="B356" s="284">
        <f t="shared" si="18"/>
        <v>20357.904702349868</v>
      </c>
      <c r="C356" s="284">
        <f t="shared" si="19"/>
        <v>12062.416292483373</v>
      </c>
      <c r="D356" s="284">
        <f t="shared" si="20"/>
        <v>8295.4884098664952</v>
      </c>
      <c r="E356" s="284">
        <f t="shared" si="21"/>
        <v>2404187.7700868077</v>
      </c>
      <c r="F356" s="283"/>
      <c r="G356" s="278"/>
      <c r="H356" s="272"/>
      <c r="I356" s="335"/>
    </row>
    <row r="357" spans="1:9">
      <c r="A357" s="336">
        <v>302</v>
      </c>
      <c r="B357" s="284">
        <f t="shared" si="18"/>
        <v>20357.904702349868</v>
      </c>
      <c r="C357" s="284">
        <f t="shared" si="19"/>
        <v>12020.938850434039</v>
      </c>
      <c r="D357" s="284">
        <f t="shared" si="20"/>
        <v>8336.9658519158293</v>
      </c>
      <c r="E357" s="284">
        <f t="shared" si="21"/>
        <v>2395850.8042348917</v>
      </c>
      <c r="F357" s="283"/>
      <c r="G357" s="278"/>
      <c r="H357" s="272"/>
      <c r="I357" s="278"/>
    </row>
    <row r="358" spans="1:9">
      <c r="A358" s="336">
        <v>303</v>
      </c>
      <c r="B358" s="284">
        <f t="shared" si="18"/>
        <v>20357.904702349868</v>
      </c>
      <c r="C358" s="284">
        <f t="shared" si="19"/>
        <v>11979.254021174458</v>
      </c>
      <c r="D358" s="284">
        <f t="shared" si="20"/>
        <v>8378.6506811754098</v>
      </c>
      <c r="E358" s="284">
        <f t="shared" si="21"/>
        <v>2387472.1535537164</v>
      </c>
      <c r="F358" s="283"/>
      <c r="G358" s="278"/>
      <c r="H358" s="272"/>
      <c r="I358" s="278"/>
    </row>
    <row r="359" spans="1:9">
      <c r="A359" s="336">
        <v>304</v>
      </c>
      <c r="B359" s="284">
        <f t="shared" si="18"/>
        <v>20357.904702349868</v>
      </c>
      <c r="C359" s="284">
        <f t="shared" si="19"/>
        <v>11937.360767768581</v>
      </c>
      <c r="D359" s="284">
        <f t="shared" si="20"/>
        <v>8420.5439345812865</v>
      </c>
      <c r="E359" s="284">
        <f t="shared" si="21"/>
        <v>2379051.609619135</v>
      </c>
      <c r="F359" s="283"/>
      <c r="G359" s="278"/>
      <c r="H359" s="272"/>
      <c r="I359" s="278"/>
    </row>
    <row r="360" spans="1:9">
      <c r="A360" s="336">
        <v>305</v>
      </c>
      <c r="B360" s="284">
        <f t="shared" si="18"/>
        <v>20357.904702349868</v>
      </c>
      <c r="C360" s="284">
        <f t="shared" si="19"/>
        <v>11895.258048095677</v>
      </c>
      <c r="D360" s="284">
        <f t="shared" si="20"/>
        <v>8462.6466542541912</v>
      </c>
      <c r="E360" s="284">
        <f t="shared" si="21"/>
        <v>2370588.9629648807</v>
      </c>
      <c r="F360" s="283"/>
      <c r="G360" s="278"/>
      <c r="H360" s="272"/>
      <c r="I360" s="278"/>
    </row>
    <row r="361" spans="1:9">
      <c r="A361" s="336">
        <v>306</v>
      </c>
      <c r="B361" s="284">
        <f t="shared" si="18"/>
        <v>20357.904702349868</v>
      </c>
      <c r="C361" s="284">
        <f t="shared" si="19"/>
        <v>11852.944814824405</v>
      </c>
      <c r="D361" s="284">
        <f t="shared" si="20"/>
        <v>8504.9598875254633</v>
      </c>
      <c r="E361" s="284">
        <f t="shared" si="21"/>
        <v>2362084.0030773552</v>
      </c>
      <c r="F361" s="283"/>
      <c r="G361" s="335"/>
      <c r="H361" s="291"/>
      <c r="I361" s="278"/>
    </row>
    <row r="362" spans="1:9">
      <c r="A362" s="336">
        <v>307</v>
      </c>
      <c r="B362" s="284">
        <f t="shared" si="18"/>
        <v>20357.904702349868</v>
      </c>
      <c r="C362" s="284">
        <f t="shared" si="19"/>
        <v>11810.420015386777</v>
      </c>
      <c r="D362" s="284">
        <f t="shared" si="20"/>
        <v>8547.484686963091</v>
      </c>
      <c r="E362" s="284">
        <f t="shared" si="21"/>
        <v>2353536.518390392</v>
      </c>
      <c r="F362" s="283"/>
      <c r="G362" s="278"/>
      <c r="H362" s="272"/>
      <c r="I362" s="278"/>
    </row>
    <row r="363" spans="1:9">
      <c r="A363" s="336">
        <v>308</v>
      </c>
      <c r="B363" s="284">
        <f t="shared" si="18"/>
        <v>20357.904702349868</v>
      </c>
      <c r="C363" s="284">
        <f t="shared" si="19"/>
        <v>11767.682591951962</v>
      </c>
      <c r="D363" s="284">
        <f t="shared" si="20"/>
        <v>8590.2221103979064</v>
      </c>
      <c r="E363" s="284">
        <f t="shared" si="21"/>
        <v>2344946.2962799938</v>
      </c>
      <c r="F363" s="283"/>
      <c r="G363" s="278"/>
      <c r="H363" s="272"/>
      <c r="I363" s="278"/>
    </row>
    <row r="364" spans="1:9">
      <c r="A364" s="336">
        <v>309</v>
      </c>
      <c r="B364" s="284">
        <f t="shared" si="18"/>
        <v>20357.904702349868</v>
      </c>
      <c r="C364" s="284">
        <f t="shared" si="19"/>
        <v>11724.731481399969</v>
      </c>
      <c r="D364" s="284">
        <f t="shared" si="20"/>
        <v>8633.1732209498987</v>
      </c>
      <c r="E364" s="284">
        <f t="shared" si="21"/>
        <v>2336313.1230590441</v>
      </c>
      <c r="F364" s="283"/>
      <c r="G364" s="278"/>
      <c r="H364" s="272"/>
      <c r="I364" s="278"/>
    </row>
    <row r="365" spans="1:9">
      <c r="A365" s="336">
        <v>310</v>
      </c>
      <c r="B365" s="284">
        <f t="shared" si="18"/>
        <v>20357.904702349868</v>
      </c>
      <c r="C365" s="284">
        <f t="shared" si="19"/>
        <v>11681.565615295222</v>
      </c>
      <c r="D365" s="284">
        <f t="shared" si="20"/>
        <v>8676.3390870546464</v>
      </c>
      <c r="E365" s="284">
        <f t="shared" si="21"/>
        <v>2327636.7839719895</v>
      </c>
      <c r="F365" s="283"/>
      <c r="G365" s="278"/>
      <c r="H365" s="272"/>
      <c r="I365" s="278"/>
    </row>
    <row r="366" spans="1:9">
      <c r="A366" s="336">
        <v>311</v>
      </c>
      <c r="B366" s="284">
        <f t="shared" si="18"/>
        <v>20357.904702349868</v>
      </c>
      <c r="C366" s="284">
        <f t="shared" si="19"/>
        <v>11638.183919859948</v>
      </c>
      <c r="D366" s="284">
        <f t="shared" si="20"/>
        <v>8719.7207824899197</v>
      </c>
      <c r="E366" s="284">
        <f t="shared" si="21"/>
        <v>2318917.0631894995</v>
      </c>
      <c r="F366" s="283"/>
      <c r="G366" s="278"/>
      <c r="H366" s="272"/>
      <c r="I366" s="278"/>
    </row>
    <row r="367" spans="1:9">
      <c r="A367" s="336">
        <v>312</v>
      </c>
      <c r="B367" s="284">
        <f t="shared" si="18"/>
        <v>20357.904702349868</v>
      </c>
      <c r="C367" s="284">
        <f t="shared" si="19"/>
        <v>11594.585315947499</v>
      </c>
      <c r="D367" s="284">
        <f t="shared" si="20"/>
        <v>8763.3193864023688</v>
      </c>
      <c r="E367" s="284">
        <f t="shared" si="21"/>
        <v>2310153.7438030974</v>
      </c>
      <c r="F367" s="283">
        <v>26</v>
      </c>
      <c r="G367" s="335"/>
      <c r="H367" s="291"/>
      <c r="I367" s="335"/>
    </row>
    <row r="368" spans="1:9">
      <c r="A368" s="336">
        <v>313</v>
      </c>
      <c r="B368" s="284">
        <f t="shared" si="18"/>
        <v>20357.904702349868</v>
      </c>
      <c r="C368" s="284">
        <f t="shared" si="19"/>
        <v>11550.768719015488</v>
      </c>
      <c r="D368" s="284">
        <f t="shared" si="20"/>
        <v>8807.1359833343795</v>
      </c>
      <c r="E368" s="284">
        <f t="shared" si="21"/>
        <v>2301346.607819763</v>
      </c>
      <c r="F368" s="283"/>
      <c r="G368" s="278"/>
      <c r="H368" s="272"/>
      <c r="I368" s="335"/>
    </row>
    <row r="369" spans="1:9">
      <c r="A369" s="336">
        <v>314</v>
      </c>
      <c r="B369" s="284">
        <f t="shared" si="18"/>
        <v>20357.904702349868</v>
      </c>
      <c r="C369" s="284">
        <f t="shared" si="19"/>
        <v>11506.733039098815</v>
      </c>
      <c r="D369" s="284">
        <f t="shared" si="20"/>
        <v>8851.1716632510525</v>
      </c>
      <c r="E369" s="284">
        <f t="shared" si="21"/>
        <v>2292495.4361565118</v>
      </c>
      <c r="F369" s="283"/>
      <c r="G369" s="278"/>
      <c r="H369" s="272"/>
      <c r="I369" s="278"/>
    </row>
    <row r="370" spans="1:9">
      <c r="A370" s="336">
        <v>315</v>
      </c>
      <c r="B370" s="284">
        <f t="shared" si="18"/>
        <v>20357.904702349868</v>
      </c>
      <c r="C370" s="284">
        <f t="shared" si="19"/>
        <v>11462.47718078256</v>
      </c>
      <c r="D370" s="284">
        <f t="shared" si="20"/>
        <v>8895.4275215673078</v>
      </c>
      <c r="E370" s="284">
        <f t="shared" si="21"/>
        <v>2283600.0086349444</v>
      </c>
      <c r="F370" s="283"/>
      <c r="G370" s="278"/>
      <c r="H370" s="272"/>
      <c r="I370" s="278"/>
    </row>
    <row r="371" spans="1:9">
      <c r="A371" s="336">
        <v>316</v>
      </c>
      <c r="B371" s="284">
        <f t="shared" si="18"/>
        <v>20357.904702349868</v>
      </c>
      <c r="C371" s="284">
        <f t="shared" si="19"/>
        <v>11418.000043174723</v>
      </c>
      <c r="D371" s="284">
        <f t="shared" si="20"/>
        <v>8939.9046591751448</v>
      </c>
      <c r="E371" s="284">
        <f t="shared" si="21"/>
        <v>2274660.1039757691</v>
      </c>
      <c r="F371" s="283"/>
      <c r="G371" s="278"/>
      <c r="H371" s="272"/>
      <c r="I371" s="278"/>
    </row>
    <row r="372" spans="1:9">
      <c r="A372" s="336">
        <v>317</v>
      </c>
      <c r="B372" s="284">
        <f t="shared" si="18"/>
        <v>20357.904702349868</v>
      </c>
      <c r="C372" s="284">
        <f t="shared" si="19"/>
        <v>11373.300519878847</v>
      </c>
      <c r="D372" s="284">
        <f t="shared" si="20"/>
        <v>8984.604182471021</v>
      </c>
      <c r="E372" s="284">
        <f t="shared" si="21"/>
        <v>2265675.4997932981</v>
      </c>
      <c r="F372" s="283"/>
      <c r="G372" s="278"/>
      <c r="H372" s="272"/>
      <c r="I372" s="278"/>
    </row>
    <row r="373" spans="1:9">
      <c r="A373" s="336">
        <v>318</v>
      </c>
      <c r="B373" s="284">
        <f t="shared" si="18"/>
        <v>20357.904702349868</v>
      </c>
      <c r="C373" s="284">
        <f t="shared" si="19"/>
        <v>11328.377498966491</v>
      </c>
      <c r="D373" s="284">
        <f t="shared" si="20"/>
        <v>9029.5272033833771</v>
      </c>
      <c r="E373" s="284">
        <f t="shared" si="21"/>
        <v>2256645.9725899147</v>
      </c>
      <c r="F373" s="283"/>
      <c r="G373" s="335"/>
      <c r="H373" s="291"/>
      <c r="I373" s="278"/>
    </row>
    <row r="374" spans="1:9">
      <c r="A374" s="336">
        <v>319</v>
      </c>
      <c r="B374" s="284">
        <f t="shared" si="18"/>
        <v>20357.904702349868</v>
      </c>
      <c r="C374" s="284">
        <f t="shared" si="19"/>
        <v>11283.229862949573</v>
      </c>
      <c r="D374" s="284">
        <f t="shared" si="20"/>
        <v>9074.6748394002952</v>
      </c>
      <c r="E374" s="284">
        <f t="shared" si="21"/>
        <v>2247571.2977505145</v>
      </c>
      <c r="F374" s="283"/>
      <c r="G374" s="278"/>
      <c r="H374" s="272"/>
      <c r="I374" s="278"/>
    </row>
    <row r="375" spans="1:9">
      <c r="A375" s="336">
        <v>320</v>
      </c>
      <c r="B375" s="284">
        <f t="shared" si="18"/>
        <v>20357.904702349868</v>
      </c>
      <c r="C375" s="284">
        <f t="shared" si="19"/>
        <v>11237.856488752574</v>
      </c>
      <c r="D375" s="284">
        <f t="shared" si="20"/>
        <v>9120.0482135972943</v>
      </c>
      <c r="E375" s="284">
        <f t="shared" si="21"/>
        <v>2238451.2495369171</v>
      </c>
      <c r="F375" s="283"/>
      <c r="G375" s="278"/>
      <c r="H375" s="272"/>
      <c r="I375" s="278"/>
    </row>
    <row r="376" spans="1:9">
      <c r="A376" s="336">
        <v>321</v>
      </c>
      <c r="B376" s="284">
        <f t="shared" ref="B376:B439" si="22">IF(A376&gt;12*$D$14,0,$D$20)</f>
        <v>20357.904702349868</v>
      </c>
      <c r="C376" s="284">
        <f t="shared" ref="C376:C439" si="23">IF(A376&gt;12*$D$14,0,E375*$D$10/12)</f>
        <v>11192.256247684585</v>
      </c>
      <c r="D376" s="284">
        <f t="shared" ref="D376:D439" si="24">IF(A376&gt;12*$D$14,0,B376-C376)</f>
        <v>9165.6484546652828</v>
      </c>
      <c r="E376" s="284">
        <f t="shared" ref="E376:E439" si="25">IF(A376&gt;12*$D$14,0,E375-D376)</f>
        <v>2229285.6010822519</v>
      </c>
      <c r="F376" s="283"/>
      <c r="G376" s="278"/>
      <c r="H376" s="272"/>
      <c r="I376" s="278"/>
    </row>
    <row r="377" spans="1:9">
      <c r="A377" s="336">
        <v>322</v>
      </c>
      <c r="B377" s="284">
        <f t="shared" si="22"/>
        <v>20357.904702349868</v>
      </c>
      <c r="C377" s="284">
        <f t="shared" si="23"/>
        <v>11146.428005411261</v>
      </c>
      <c r="D377" s="284">
        <f t="shared" si="24"/>
        <v>9211.4766969386073</v>
      </c>
      <c r="E377" s="284">
        <f t="shared" si="25"/>
        <v>2220074.1243853131</v>
      </c>
      <c r="F377" s="283"/>
      <c r="G377" s="278"/>
      <c r="H377" s="272"/>
      <c r="I377" s="278"/>
    </row>
    <row r="378" spans="1:9">
      <c r="A378" s="336">
        <v>323</v>
      </c>
      <c r="B378" s="284">
        <f t="shared" si="22"/>
        <v>20357.904702349868</v>
      </c>
      <c r="C378" s="284">
        <f t="shared" si="23"/>
        <v>11100.370621926566</v>
      </c>
      <c r="D378" s="284">
        <f t="shared" si="24"/>
        <v>9257.5340804233019</v>
      </c>
      <c r="E378" s="284">
        <f t="shared" si="25"/>
        <v>2210816.5903048897</v>
      </c>
      <c r="F378" s="283"/>
      <c r="G378" s="278"/>
      <c r="H378" s="272"/>
      <c r="I378" s="278"/>
    </row>
    <row r="379" spans="1:9">
      <c r="A379" s="336">
        <v>324</v>
      </c>
      <c r="B379" s="284">
        <f t="shared" si="22"/>
        <v>20357.904702349868</v>
      </c>
      <c r="C379" s="284">
        <f t="shared" si="23"/>
        <v>11054.08295152445</v>
      </c>
      <c r="D379" s="284">
        <f t="shared" si="24"/>
        <v>9303.8217508254183</v>
      </c>
      <c r="E379" s="284">
        <f t="shared" si="25"/>
        <v>2201512.7685540644</v>
      </c>
      <c r="F379" s="283">
        <v>27</v>
      </c>
      <c r="G379" s="335"/>
      <c r="H379" s="291"/>
      <c r="I379" s="335"/>
    </row>
    <row r="380" spans="1:9">
      <c r="A380" s="336">
        <v>325</v>
      </c>
      <c r="B380" s="284">
        <f t="shared" si="22"/>
        <v>20357.904702349868</v>
      </c>
      <c r="C380" s="284">
        <f t="shared" si="23"/>
        <v>11007.563842770323</v>
      </c>
      <c r="D380" s="284">
        <f t="shared" si="24"/>
        <v>9350.3408595795445</v>
      </c>
      <c r="E380" s="284">
        <f t="shared" si="25"/>
        <v>2192162.4276944851</v>
      </c>
      <c r="F380" s="283"/>
      <c r="G380" s="278"/>
      <c r="H380" s="272"/>
      <c r="I380" s="335"/>
    </row>
    <row r="381" spans="1:9">
      <c r="A381" s="336">
        <v>326</v>
      </c>
      <c r="B381" s="284">
        <f t="shared" si="22"/>
        <v>20357.904702349868</v>
      </c>
      <c r="C381" s="284">
        <f t="shared" si="23"/>
        <v>10960.812138472427</v>
      </c>
      <c r="D381" s="284">
        <f t="shared" si="24"/>
        <v>9397.0925638774406</v>
      </c>
      <c r="E381" s="284">
        <f t="shared" si="25"/>
        <v>2182765.3351306077</v>
      </c>
      <c r="F381" s="283"/>
      <c r="G381" s="278"/>
      <c r="H381" s="272"/>
      <c r="I381" s="278"/>
    </row>
    <row r="382" spans="1:9">
      <c r="A382" s="336">
        <v>327</v>
      </c>
      <c r="B382" s="284">
        <f t="shared" si="22"/>
        <v>20357.904702349868</v>
      </c>
      <c r="C382" s="284">
        <f t="shared" si="23"/>
        <v>10913.826675653039</v>
      </c>
      <c r="D382" s="284">
        <f t="shared" si="24"/>
        <v>9444.0780266968286</v>
      </c>
      <c r="E382" s="284">
        <f t="shared" si="25"/>
        <v>2173321.2571039107</v>
      </c>
      <c r="F382" s="283"/>
      <c r="G382" s="278"/>
      <c r="H382" s="272"/>
      <c r="I382" s="278"/>
    </row>
    <row r="383" spans="1:9">
      <c r="A383" s="336">
        <v>328</v>
      </c>
      <c r="B383" s="284">
        <f t="shared" si="22"/>
        <v>20357.904702349868</v>
      </c>
      <c r="C383" s="284">
        <f t="shared" si="23"/>
        <v>10866.606285519554</v>
      </c>
      <c r="D383" s="284">
        <f t="shared" si="24"/>
        <v>9491.2984168303137</v>
      </c>
      <c r="E383" s="284">
        <f t="shared" si="25"/>
        <v>2163829.9586870805</v>
      </c>
      <c r="F383" s="283"/>
      <c r="G383" s="278"/>
      <c r="H383" s="272"/>
      <c r="I383" s="278"/>
    </row>
    <row r="384" spans="1:9">
      <c r="A384" s="336">
        <v>329</v>
      </c>
      <c r="B384" s="284">
        <f t="shared" si="22"/>
        <v>20357.904702349868</v>
      </c>
      <c r="C384" s="284">
        <f t="shared" si="23"/>
        <v>10819.149793435403</v>
      </c>
      <c r="D384" s="284">
        <f t="shared" si="24"/>
        <v>9538.754908914465</v>
      </c>
      <c r="E384" s="284">
        <f t="shared" si="25"/>
        <v>2154291.2037781659</v>
      </c>
      <c r="F384" s="283"/>
      <c r="G384" s="278"/>
      <c r="H384" s="272"/>
      <c r="I384" s="278"/>
    </row>
    <row r="385" spans="1:9">
      <c r="A385" s="336">
        <v>330</v>
      </c>
      <c r="B385" s="284">
        <f t="shared" si="22"/>
        <v>20357.904702349868</v>
      </c>
      <c r="C385" s="284">
        <f t="shared" si="23"/>
        <v>10771.456018890831</v>
      </c>
      <c r="D385" s="284">
        <f t="shared" si="24"/>
        <v>9586.4486834590371</v>
      </c>
      <c r="E385" s="284">
        <f t="shared" si="25"/>
        <v>2144704.755094707</v>
      </c>
      <c r="F385" s="283"/>
      <c r="G385" s="335"/>
      <c r="H385" s="291"/>
      <c r="I385" s="278"/>
    </row>
    <row r="386" spans="1:9">
      <c r="A386" s="336">
        <v>331</v>
      </c>
      <c r="B386" s="284">
        <f t="shared" si="22"/>
        <v>20357.904702349868</v>
      </c>
      <c r="C386" s="284">
        <f t="shared" si="23"/>
        <v>10723.523775473535</v>
      </c>
      <c r="D386" s="284">
        <f t="shared" si="24"/>
        <v>9634.3809268763325</v>
      </c>
      <c r="E386" s="284">
        <f t="shared" si="25"/>
        <v>2135070.3741678307</v>
      </c>
      <c r="F386" s="283"/>
      <c r="G386" s="278"/>
      <c r="H386" s="272"/>
      <c r="I386" s="278"/>
    </row>
    <row r="387" spans="1:9">
      <c r="A387" s="336">
        <v>332</v>
      </c>
      <c r="B387" s="284">
        <f t="shared" si="22"/>
        <v>20357.904702349868</v>
      </c>
      <c r="C387" s="284">
        <f t="shared" si="23"/>
        <v>10675.351870839155</v>
      </c>
      <c r="D387" s="284">
        <f t="shared" si="24"/>
        <v>9682.5528315107131</v>
      </c>
      <c r="E387" s="284">
        <f t="shared" si="25"/>
        <v>2125387.8213363201</v>
      </c>
      <c r="F387" s="283"/>
      <c r="G387" s="278"/>
      <c r="H387" s="272"/>
      <c r="I387" s="278"/>
    </row>
    <row r="388" spans="1:9">
      <c r="A388" s="336">
        <v>333</v>
      </c>
      <c r="B388" s="284">
        <f t="shared" si="22"/>
        <v>20357.904702349868</v>
      </c>
      <c r="C388" s="284">
        <f t="shared" si="23"/>
        <v>10626.939106681601</v>
      </c>
      <c r="D388" s="284">
        <f t="shared" si="24"/>
        <v>9730.9655956682673</v>
      </c>
      <c r="E388" s="284">
        <f t="shared" si="25"/>
        <v>2115656.855740652</v>
      </c>
      <c r="F388" s="283"/>
      <c r="G388" s="278"/>
      <c r="H388" s="272"/>
      <c r="I388" s="278"/>
    </row>
    <row r="389" spans="1:9">
      <c r="A389" s="336">
        <v>334</v>
      </c>
      <c r="B389" s="284">
        <f t="shared" si="22"/>
        <v>20357.904702349868</v>
      </c>
      <c r="C389" s="284">
        <f t="shared" si="23"/>
        <v>10578.28427870326</v>
      </c>
      <c r="D389" s="284">
        <f t="shared" si="24"/>
        <v>9779.6204236466074</v>
      </c>
      <c r="E389" s="284">
        <f t="shared" si="25"/>
        <v>2105877.2353170053</v>
      </c>
      <c r="F389" s="283"/>
      <c r="G389" s="278"/>
      <c r="H389" s="272"/>
      <c r="I389" s="278"/>
    </row>
    <row r="390" spans="1:9">
      <c r="A390" s="336">
        <v>335</v>
      </c>
      <c r="B390" s="284">
        <f t="shared" si="22"/>
        <v>20357.904702349868</v>
      </c>
      <c r="C390" s="284">
        <f t="shared" si="23"/>
        <v>10529.386176585027</v>
      </c>
      <c r="D390" s="284">
        <f t="shared" si="24"/>
        <v>9828.5185257648409</v>
      </c>
      <c r="E390" s="284">
        <f t="shared" si="25"/>
        <v>2096048.7167912405</v>
      </c>
      <c r="F390" s="283"/>
      <c r="G390" s="278"/>
      <c r="H390" s="272"/>
      <c r="I390" s="278"/>
    </row>
    <row r="391" spans="1:9">
      <c r="A391" s="336">
        <v>336</v>
      </c>
      <c r="B391" s="284">
        <f t="shared" si="22"/>
        <v>20357.904702349868</v>
      </c>
      <c r="C391" s="284">
        <f t="shared" si="23"/>
        <v>10480.243583956204</v>
      </c>
      <c r="D391" s="284">
        <f t="shared" si="24"/>
        <v>9877.6611183936639</v>
      </c>
      <c r="E391" s="284">
        <f t="shared" si="25"/>
        <v>2086171.0556728467</v>
      </c>
      <c r="F391" s="283">
        <v>28</v>
      </c>
      <c r="G391" s="335"/>
      <c r="H391" s="291"/>
      <c r="I391" s="335"/>
    </row>
    <row r="392" spans="1:9">
      <c r="A392" s="336">
        <v>337</v>
      </c>
      <c r="B392" s="284">
        <f t="shared" si="22"/>
        <v>20357.904702349868</v>
      </c>
      <c r="C392" s="284">
        <f t="shared" si="23"/>
        <v>10430.855278364235</v>
      </c>
      <c r="D392" s="284">
        <f t="shared" si="24"/>
        <v>9927.0494239856325</v>
      </c>
      <c r="E392" s="284">
        <f t="shared" si="25"/>
        <v>2076244.0062488611</v>
      </c>
      <c r="F392" s="283"/>
      <c r="G392" s="278"/>
      <c r="H392" s="272"/>
      <c r="I392" s="335"/>
    </row>
    <row r="393" spans="1:9">
      <c r="A393" s="336">
        <v>338</v>
      </c>
      <c r="B393" s="284">
        <f t="shared" si="22"/>
        <v>20357.904702349868</v>
      </c>
      <c r="C393" s="284">
        <f t="shared" si="23"/>
        <v>10381.220031244307</v>
      </c>
      <c r="D393" s="284">
        <f t="shared" si="24"/>
        <v>9976.6846711055605</v>
      </c>
      <c r="E393" s="284">
        <f t="shared" si="25"/>
        <v>2066267.3215777555</v>
      </c>
      <c r="F393" s="283"/>
      <c r="G393" s="278"/>
      <c r="H393" s="272"/>
      <c r="I393" s="278"/>
    </row>
    <row r="394" spans="1:9">
      <c r="A394" s="336">
        <v>339</v>
      </c>
      <c r="B394" s="284">
        <f t="shared" si="22"/>
        <v>20357.904702349868</v>
      </c>
      <c r="C394" s="284">
        <f t="shared" si="23"/>
        <v>10331.336607888779</v>
      </c>
      <c r="D394" s="284">
        <f t="shared" si="24"/>
        <v>10026.568094461089</v>
      </c>
      <c r="E394" s="284">
        <f t="shared" si="25"/>
        <v>2056240.7534832945</v>
      </c>
      <c r="F394" s="283"/>
      <c r="G394" s="278"/>
      <c r="H394" s="272"/>
      <c r="I394" s="278"/>
    </row>
    <row r="395" spans="1:9">
      <c r="A395" s="336">
        <v>340</v>
      </c>
      <c r="B395" s="284">
        <f t="shared" si="22"/>
        <v>20357.904702349868</v>
      </c>
      <c r="C395" s="284">
        <f t="shared" si="23"/>
        <v>10281.203767416473</v>
      </c>
      <c r="D395" s="284">
        <f t="shared" si="24"/>
        <v>10076.700934933395</v>
      </c>
      <c r="E395" s="284">
        <f t="shared" si="25"/>
        <v>2046164.052548361</v>
      </c>
      <c r="F395" s="283"/>
      <c r="G395" s="278"/>
      <c r="H395" s="272"/>
      <c r="I395" s="278"/>
    </row>
    <row r="396" spans="1:9">
      <c r="A396" s="336">
        <v>341</v>
      </c>
      <c r="B396" s="284">
        <f t="shared" si="22"/>
        <v>20357.904702349868</v>
      </c>
      <c r="C396" s="284">
        <f t="shared" si="23"/>
        <v>10230.820262741805</v>
      </c>
      <c r="D396" s="284">
        <f t="shared" si="24"/>
        <v>10127.084439608063</v>
      </c>
      <c r="E396" s="284">
        <f t="shared" si="25"/>
        <v>2036036.968108753</v>
      </c>
      <c r="F396" s="283"/>
      <c r="G396" s="278"/>
      <c r="H396" s="272"/>
      <c r="I396" s="278"/>
    </row>
    <row r="397" spans="1:9">
      <c r="A397" s="336">
        <v>342</v>
      </c>
      <c r="B397" s="284">
        <f t="shared" si="22"/>
        <v>20357.904702349868</v>
      </c>
      <c r="C397" s="284">
        <f t="shared" si="23"/>
        <v>10180.184840543765</v>
      </c>
      <c r="D397" s="284">
        <f t="shared" si="24"/>
        <v>10177.719861806103</v>
      </c>
      <c r="E397" s="284">
        <f t="shared" si="25"/>
        <v>2025859.2482469468</v>
      </c>
      <c r="F397" s="283"/>
      <c r="G397" s="335"/>
      <c r="H397" s="291"/>
      <c r="I397" s="278"/>
    </row>
    <row r="398" spans="1:9">
      <c r="A398" s="336">
        <v>343</v>
      </c>
      <c r="B398" s="284">
        <f t="shared" si="22"/>
        <v>20357.904702349868</v>
      </c>
      <c r="C398" s="284">
        <f t="shared" si="23"/>
        <v>10129.296241234735</v>
      </c>
      <c r="D398" s="284">
        <f t="shared" si="24"/>
        <v>10228.608461115133</v>
      </c>
      <c r="E398" s="284">
        <f t="shared" si="25"/>
        <v>2015630.6397858318</v>
      </c>
      <c r="F398" s="283"/>
      <c r="G398" s="278"/>
      <c r="H398" s="272"/>
      <c r="I398" s="278"/>
    </row>
    <row r="399" spans="1:9">
      <c r="A399" s="336">
        <v>344</v>
      </c>
      <c r="B399" s="284">
        <f t="shared" si="22"/>
        <v>20357.904702349868</v>
      </c>
      <c r="C399" s="284">
        <f t="shared" si="23"/>
        <v>10078.15319892916</v>
      </c>
      <c r="D399" s="284">
        <f t="shared" si="24"/>
        <v>10279.751503420708</v>
      </c>
      <c r="E399" s="284">
        <f t="shared" si="25"/>
        <v>2005350.888282411</v>
      </c>
      <c r="F399" s="283"/>
      <c r="G399" s="278"/>
      <c r="H399" s="272"/>
      <c r="I399" s="278"/>
    </row>
    <row r="400" spans="1:9">
      <c r="A400" s="336">
        <v>345</v>
      </c>
      <c r="B400" s="284">
        <f t="shared" si="22"/>
        <v>20357.904702349868</v>
      </c>
      <c r="C400" s="284">
        <f t="shared" si="23"/>
        <v>10026.754441412055</v>
      </c>
      <c r="D400" s="284">
        <f t="shared" si="24"/>
        <v>10331.150260937813</v>
      </c>
      <c r="E400" s="284">
        <f t="shared" si="25"/>
        <v>1995019.7380214732</v>
      </c>
      <c r="F400" s="283"/>
      <c r="G400" s="278"/>
      <c r="H400" s="272"/>
      <c r="I400" s="278"/>
    </row>
    <row r="401" spans="1:9">
      <c r="A401" s="336">
        <v>346</v>
      </c>
      <c r="B401" s="284">
        <f t="shared" si="22"/>
        <v>20357.904702349868</v>
      </c>
      <c r="C401" s="284">
        <f t="shared" si="23"/>
        <v>9975.0986901073666</v>
      </c>
      <c r="D401" s="284">
        <f t="shared" si="24"/>
        <v>10382.806012242501</v>
      </c>
      <c r="E401" s="284">
        <f t="shared" si="25"/>
        <v>1984636.9320092306</v>
      </c>
      <c r="F401" s="283"/>
      <c r="G401" s="278"/>
      <c r="H401" s="272"/>
      <c r="I401" s="278"/>
    </row>
    <row r="402" spans="1:9">
      <c r="A402" s="336">
        <v>347</v>
      </c>
      <c r="B402" s="284">
        <f t="shared" si="22"/>
        <v>20357.904702349868</v>
      </c>
      <c r="C402" s="284">
        <f t="shared" si="23"/>
        <v>9923.184660046154</v>
      </c>
      <c r="D402" s="284">
        <f t="shared" si="24"/>
        <v>10434.720042303714</v>
      </c>
      <c r="E402" s="284">
        <f t="shared" si="25"/>
        <v>1974202.2119669269</v>
      </c>
      <c r="F402" s="283"/>
      <c r="G402" s="278"/>
      <c r="H402" s="272"/>
      <c r="I402" s="278"/>
    </row>
    <row r="403" spans="1:9">
      <c r="A403" s="336">
        <v>348</v>
      </c>
      <c r="B403" s="284">
        <f t="shared" si="22"/>
        <v>20357.904702349868</v>
      </c>
      <c r="C403" s="284">
        <f t="shared" si="23"/>
        <v>9871.0110598346346</v>
      </c>
      <c r="D403" s="284">
        <f t="shared" si="24"/>
        <v>10486.893642515233</v>
      </c>
      <c r="E403" s="284">
        <f t="shared" si="25"/>
        <v>1963715.3183244118</v>
      </c>
      <c r="F403" s="283">
        <v>29</v>
      </c>
      <c r="G403" s="335"/>
      <c r="H403" s="291"/>
      <c r="I403" s="335"/>
    </row>
    <row r="404" spans="1:9">
      <c r="A404" s="336">
        <v>349</v>
      </c>
      <c r="B404" s="284">
        <f t="shared" si="22"/>
        <v>20357.904702349868</v>
      </c>
      <c r="C404" s="284">
        <f t="shared" si="23"/>
        <v>9818.5765916220607</v>
      </c>
      <c r="D404" s="284">
        <f t="shared" si="24"/>
        <v>10539.328110727807</v>
      </c>
      <c r="E404" s="284">
        <f t="shared" si="25"/>
        <v>1953175.990213684</v>
      </c>
      <c r="F404" s="283"/>
      <c r="G404" s="278"/>
      <c r="H404" s="272"/>
      <c r="I404" s="335"/>
    </row>
    <row r="405" spans="1:9">
      <c r="A405" s="336">
        <v>350</v>
      </c>
      <c r="B405" s="284">
        <f t="shared" si="22"/>
        <v>20357.904702349868</v>
      </c>
      <c r="C405" s="284">
        <f t="shared" si="23"/>
        <v>9765.8799510684203</v>
      </c>
      <c r="D405" s="284">
        <f t="shared" si="24"/>
        <v>10592.024751281448</v>
      </c>
      <c r="E405" s="284">
        <f t="shared" si="25"/>
        <v>1942583.9654624027</v>
      </c>
      <c r="F405" s="283"/>
      <c r="G405" s="278"/>
      <c r="H405" s="272"/>
      <c r="I405" s="278"/>
    </row>
    <row r="406" spans="1:9">
      <c r="A406" s="336">
        <v>351</v>
      </c>
      <c r="B406" s="284">
        <f t="shared" si="22"/>
        <v>20357.904702349868</v>
      </c>
      <c r="C406" s="284">
        <f t="shared" si="23"/>
        <v>9712.9198273120146</v>
      </c>
      <c r="D406" s="284">
        <f t="shared" si="24"/>
        <v>10644.984875037853</v>
      </c>
      <c r="E406" s="284">
        <f t="shared" si="25"/>
        <v>1931938.9805873649</v>
      </c>
      <c r="F406" s="283"/>
      <c r="G406" s="278"/>
      <c r="H406" s="272"/>
      <c r="I406" s="278"/>
    </row>
    <row r="407" spans="1:9">
      <c r="A407" s="336">
        <v>352</v>
      </c>
      <c r="B407" s="284">
        <f t="shared" si="22"/>
        <v>20357.904702349868</v>
      </c>
      <c r="C407" s="284">
        <f t="shared" si="23"/>
        <v>9659.6949029368243</v>
      </c>
      <c r="D407" s="284">
        <f t="shared" si="24"/>
        <v>10698.209799413044</v>
      </c>
      <c r="E407" s="284">
        <f t="shared" si="25"/>
        <v>1921240.7707879518</v>
      </c>
      <c r="F407" s="283"/>
      <c r="G407" s="278"/>
      <c r="H407" s="272"/>
      <c r="I407" s="278"/>
    </row>
    <row r="408" spans="1:9">
      <c r="A408" s="336">
        <v>353</v>
      </c>
      <c r="B408" s="284">
        <f t="shared" si="22"/>
        <v>20357.904702349868</v>
      </c>
      <c r="C408" s="284">
        <f t="shared" si="23"/>
        <v>9606.2038539397599</v>
      </c>
      <c r="D408" s="284">
        <f t="shared" si="24"/>
        <v>10751.700848410108</v>
      </c>
      <c r="E408" s="284">
        <f t="shared" si="25"/>
        <v>1910489.0699395416</v>
      </c>
      <c r="F408" s="283"/>
      <c r="G408" s="278"/>
      <c r="H408" s="272"/>
      <c r="I408" s="278"/>
    </row>
    <row r="409" spans="1:9">
      <c r="A409" s="336">
        <v>354</v>
      </c>
      <c r="B409" s="284">
        <f t="shared" si="22"/>
        <v>20357.904702349868</v>
      </c>
      <c r="C409" s="284">
        <f t="shared" si="23"/>
        <v>9552.4453496977094</v>
      </c>
      <c r="D409" s="284">
        <f t="shared" si="24"/>
        <v>10805.459352652158</v>
      </c>
      <c r="E409" s="284">
        <f t="shared" si="25"/>
        <v>1899683.6105868896</v>
      </c>
      <c r="F409" s="283"/>
      <c r="G409" s="335"/>
      <c r="H409" s="291"/>
      <c r="I409" s="278"/>
    </row>
    <row r="410" spans="1:9">
      <c r="A410" s="336">
        <v>355</v>
      </c>
      <c r="B410" s="284">
        <f t="shared" si="22"/>
        <v>20357.904702349868</v>
      </c>
      <c r="C410" s="284">
        <f t="shared" si="23"/>
        <v>9498.4180529344485</v>
      </c>
      <c r="D410" s="284">
        <f t="shared" si="24"/>
        <v>10859.486649415419</v>
      </c>
      <c r="E410" s="284">
        <f t="shared" si="25"/>
        <v>1888824.1239374741</v>
      </c>
      <c r="F410" s="283"/>
      <c r="G410" s="278"/>
      <c r="H410" s="272"/>
      <c r="I410" s="278"/>
    </row>
    <row r="411" spans="1:9">
      <c r="A411" s="336">
        <v>356</v>
      </c>
      <c r="B411" s="284">
        <f t="shared" si="22"/>
        <v>20357.904702349868</v>
      </c>
      <c r="C411" s="284">
        <f t="shared" si="23"/>
        <v>9444.1206196873718</v>
      </c>
      <c r="D411" s="284">
        <f t="shared" si="24"/>
        <v>10913.784082662496</v>
      </c>
      <c r="E411" s="284">
        <f t="shared" si="25"/>
        <v>1877910.3398548116</v>
      </c>
      <c r="F411" s="283"/>
      <c r="G411" s="278"/>
      <c r="H411" s="272"/>
      <c r="I411" s="278"/>
    </row>
    <row r="412" spans="1:9">
      <c r="A412" s="336">
        <v>357</v>
      </c>
      <c r="B412" s="284">
        <f t="shared" si="22"/>
        <v>20357.904702349868</v>
      </c>
      <c r="C412" s="284">
        <f t="shared" si="23"/>
        <v>9389.5516992740577</v>
      </c>
      <c r="D412" s="284">
        <f t="shared" si="24"/>
        <v>10968.35300307581</v>
      </c>
      <c r="E412" s="284">
        <f t="shared" si="25"/>
        <v>1866941.9868517357</v>
      </c>
      <c r="F412" s="283"/>
      <c r="G412" s="278"/>
      <c r="H412" s="272"/>
      <c r="I412" s="278"/>
    </row>
    <row r="413" spans="1:9">
      <c r="A413" s="336">
        <v>358</v>
      </c>
      <c r="B413" s="284">
        <f t="shared" si="22"/>
        <v>20357.904702349868</v>
      </c>
      <c r="C413" s="284">
        <f t="shared" si="23"/>
        <v>9334.7099342586789</v>
      </c>
      <c r="D413" s="284">
        <f t="shared" si="24"/>
        <v>11023.194768091189</v>
      </c>
      <c r="E413" s="284">
        <f t="shared" si="25"/>
        <v>1855918.7920836445</v>
      </c>
      <c r="F413" s="283"/>
      <c r="G413" s="278"/>
      <c r="H413" s="272"/>
      <c r="I413" s="278"/>
    </row>
    <row r="414" spans="1:9">
      <c r="A414" s="336">
        <v>359</v>
      </c>
      <c r="B414" s="284">
        <f t="shared" si="22"/>
        <v>20357.904702349868</v>
      </c>
      <c r="C414" s="284">
        <f t="shared" si="23"/>
        <v>9279.593960418224</v>
      </c>
      <c r="D414" s="284">
        <f t="shared" si="24"/>
        <v>11078.310741931644</v>
      </c>
      <c r="E414" s="284">
        <f t="shared" si="25"/>
        <v>1844840.4813417129</v>
      </c>
      <c r="F414" s="283"/>
      <c r="G414" s="278"/>
      <c r="H414" s="272"/>
      <c r="I414" s="278"/>
    </row>
    <row r="415" spans="1:9">
      <c r="A415" s="336">
        <v>360</v>
      </c>
      <c r="B415" s="284">
        <f t="shared" si="22"/>
        <v>20357.904702349868</v>
      </c>
      <c r="C415" s="284">
        <f t="shared" si="23"/>
        <v>9224.202406708564</v>
      </c>
      <c r="D415" s="284">
        <f t="shared" si="24"/>
        <v>11133.702295641304</v>
      </c>
      <c r="E415" s="284">
        <f t="shared" si="25"/>
        <v>1833706.7790460715</v>
      </c>
      <c r="F415" s="283">
        <v>30</v>
      </c>
      <c r="G415" s="335"/>
      <c r="H415" s="291"/>
      <c r="I415" s="335"/>
    </row>
    <row r="416" spans="1:9">
      <c r="A416" s="336">
        <v>361</v>
      </c>
      <c r="B416" s="284">
        <f t="shared" si="22"/>
        <v>20357.904702349868</v>
      </c>
      <c r="C416" s="284">
        <f t="shared" si="23"/>
        <v>9168.5338952303591</v>
      </c>
      <c r="D416" s="284">
        <f t="shared" si="24"/>
        <v>11189.370807119509</v>
      </c>
      <c r="E416" s="284">
        <f t="shared" si="25"/>
        <v>1822517.408238952</v>
      </c>
      <c r="F416" s="283"/>
      <c r="G416" s="278"/>
      <c r="H416" s="272"/>
      <c r="I416" s="335"/>
    </row>
    <row r="417" spans="1:9">
      <c r="A417" s="336">
        <v>362</v>
      </c>
      <c r="B417" s="284">
        <f t="shared" si="22"/>
        <v>20357.904702349868</v>
      </c>
      <c r="C417" s="284">
        <f t="shared" si="23"/>
        <v>9112.5870411947599</v>
      </c>
      <c r="D417" s="284">
        <f t="shared" si="24"/>
        <v>11245.317661155108</v>
      </c>
      <c r="E417" s="284">
        <f t="shared" si="25"/>
        <v>1811272.090577797</v>
      </c>
      <c r="F417" s="283"/>
      <c r="G417" s="278"/>
      <c r="H417" s="272"/>
      <c r="I417" s="278"/>
    </row>
    <row r="418" spans="1:9">
      <c r="A418" s="336">
        <v>363</v>
      </c>
      <c r="B418" s="284">
        <f t="shared" si="22"/>
        <v>20357.904702349868</v>
      </c>
      <c r="C418" s="284">
        <f t="shared" si="23"/>
        <v>9056.3604528889864</v>
      </c>
      <c r="D418" s="284">
        <f t="shared" si="24"/>
        <v>11301.544249460881</v>
      </c>
      <c r="E418" s="284">
        <f t="shared" si="25"/>
        <v>1799970.5463283362</v>
      </c>
      <c r="F418" s="283"/>
      <c r="G418" s="278"/>
      <c r="H418" s="272"/>
      <c r="I418" s="278"/>
    </row>
    <row r="419" spans="1:9">
      <c r="A419" s="336">
        <v>364</v>
      </c>
      <c r="B419" s="284">
        <f t="shared" si="22"/>
        <v>20357.904702349868</v>
      </c>
      <c r="C419" s="284">
        <f t="shared" si="23"/>
        <v>8999.8527316416821</v>
      </c>
      <c r="D419" s="284">
        <f t="shared" si="24"/>
        <v>11358.051970708186</v>
      </c>
      <c r="E419" s="284">
        <f t="shared" si="25"/>
        <v>1788612.494357628</v>
      </c>
      <c r="F419" s="283"/>
      <c r="G419" s="278"/>
      <c r="H419" s="272"/>
      <c r="I419" s="278"/>
    </row>
    <row r="420" spans="1:9">
      <c r="A420" s="336">
        <v>365</v>
      </c>
      <c r="B420" s="284">
        <f t="shared" si="22"/>
        <v>20357.904702349868</v>
      </c>
      <c r="C420" s="284">
        <f t="shared" si="23"/>
        <v>8943.0624717881419</v>
      </c>
      <c r="D420" s="284">
        <f t="shared" si="24"/>
        <v>11414.842230561726</v>
      </c>
      <c r="E420" s="284">
        <f t="shared" si="25"/>
        <v>1777197.6521270664</v>
      </c>
      <c r="F420" s="283"/>
      <c r="G420" s="278"/>
      <c r="H420" s="272"/>
      <c r="I420" s="278"/>
    </row>
    <row r="421" spans="1:9">
      <c r="A421" s="336">
        <v>366</v>
      </c>
      <c r="B421" s="284">
        <f t="shared" si="22"/>
        <v>20357.904702349868</v>
      </c>
      <c r="C421" s="284">
        <f t="shared" si="23"/>
        <v>8885.9882606353331</v>
      </c>
      <c r="D421" s="284">
        <f t="shared" si="24"/>
        <v>11471.916441714535</v>
      </c>
      <c r="E421" s="284">
        <f t="shared" si="25"/>
        <v>1765725.7356853518</v>
      </c>
      <c r="F421" s="283"/>
      <c r="G421" s="335"/>
      <c r="H421" s="291"/>
      <c r="I421" s="278"/>
    </row>
    <row r="422" spans="1:9">
      <c r="A422" s="336">
        <v>367</v>
      </c>
      <c r="B422" s="284">
        <f t="shared" si="22"/>
        <v>20357.904702349868</v>
      </c>
      <c r="C422" s="284">
        <f t="shared" si="23"/>
        <v>8828.6286784267595</v>
      </c>
      <c r="D422" s="284">
        <f t="shared" si="24"/>
        <v>11529.276023923108</v>
      </c>
      <c r="E422" s="284">
        <f t="shared" si="25"/>
        <v>1754196.4596614286</v>
      </c>
      <c r="F422" s="283"/>
      <c r="G422" s="278"/>
      <c r="H422" s="272"/>
      <c r="I422" s="278"/>
    </row>
    <row r="423" spans="1:9">
      <c r="A423" s="336">
        <v>368</v>
      </c>
      <c r="B423" s="284">
        <f t="shared" si="22"/>
        <v>20357.904702349868</v>
      </c>
      <c r="C423" s="284">
        <f t="shared" si="23"/>
        <v>8770.9822983071444</v>
      </c>
      <c r="D423" s="284">
        <f t="shared" si="24"/>
        <v>11586.922404042723</v>
      </c>
      <c r="E423" s="284">
        <f t="shared" si="25"/>
        <v>1742609.5372573859</v>
      </c>
      <c r="F423" s="283"/>
      <c r="G423" s="278"/>
      <c r="H423" s="272"/>
      <c r="I423" s="278"/>
    </row>
    <row r="424" spans="1:9">
      <c r="A424" s="336">
        <v>369</v>
      </c>
      <c r="B424" s="284">
        <f t="shared" si="22"/>
        <v>20357.904702349868</v>
      </c>
      <c r="C424" s="284">
        <f t="shared" si="23"/>
        <v>8713.0476862869309</v>
      </c>
      <c r="D424" s="284">
        <f t="shared" si="24"/>
        <v>11644.857016062937</v>
      </c>
      <c r="E424" s="284">
        <f t="shared" si="25"/>
        <v>1730964.6802413231</v>
      </c>
      <c r="F424" s="283"/>
      <c r="G424" s="278"/>
      <c r="H424" s="272"/>
      <c r="I424" s="278"/>
    </row>
    <row r="425" spans="1:9">
      <c r="A425" s="336">
        <v>370</v>
      </c>
      <c r="B425" s="284">
        <f t="shared" si="22"/>
        <v>20357.904702349868</v>
      </c>
      <c r="C425" s="284">
        <f t="shared" si="23"/>
        <v>8654.823401206615</v>
      </c>
      <c r="D425" s="284">
        <f t="shared" si="24"/>
        <v>11703.081301143253</v>
      </c>
      <c r="E425" s="284">
        <f t="shared" si="25"/>
        <v>1719261.5989401799</v>
      </c>
      <c r="F425" s="283"/>
      <c r="G425" s="278"/>
      <c r="H425" s="272"/>
      <c r="I425" s="278"/>
    </row>
    <row r="426" spans="1:9">
      <c r="A426" s="336">
        <v>371</v>
      </c>
      <c r="B426" s="284">
        <f t="shared" si="22"/>
        <v>20357.904702349868</v>
      </c>
      <c r="C426" s="284">
        <f t="shared" si="23"/>
        <v>8596.307994700901</v>
      </c>
      <c r="D426" s="284">
        <f t="shared" si="24"/>
        <v>11761.596707648967</v>
      </c>
      <c r="E426" s="284">
        <f t="shared" si="25"/>
        <v>1707500.0022325309</v>
      </c>
      <c r="F426" s="283"/>
      <c r="G426" s="278"/>
      <c r="H426" s="272"/>
      <c r="I426" s="278"/>
    </row>
    <row r="427" spans="1:9">
      <c r="A427" s="336">
        <v>372</v>
      </c>
      <c r="B427" s="284">
        <f t="shared" si="22"/>
        <v>20357.904702349868</v>
      </c>
      <c r="C427" s="284">
        <f t="shared" si="23"/>
        <v>8537.5000111626559</v>
      </c>
      <c r="D427" s="284">
        <f t="shared" si="24"/>
        <v>11820.404691187212</v>
      </c>
      <c r="E427" s="284">
        <f t="shared" si="25"/>
        <v>1695679.5975413437</v>
      </c>
      <c r="F427" s="283">
        <v>31</v>
      </c>
      <c r="G427" s="335"/>
      <c r="H427" s="291"/>
      <c r="I427" s="335"/>
    </row>
    <row r="428" spans="1:9">
      <c r="A428" s="336">
        <v>373</v>
      </c>
      <c r="B428" s="284">
        <f t="shared" si="22"/>
        <v>20357.904702349868</v>
      </c>
      <c r="C428" s="284">
        <f t="shared" si="23"/>
        <v>8478.3979877067195</v>
      </c>
      <c r="D428" s="284">
        <f t="shared" si="24"/>
        <v>11879.506714643148</v>
      </c>
      <c r="E428" s="284">
        <f t="shared" si="25"/>
        <v>1683800.0908267004</v>
      </c>
      <c r="F428" s="283"/>
      <c r="G428" s="278"/>
      <c r="H428" s="272"/>
      <c r="I428" s="335"/>
    </row>
    <row r="429" spans="1:9">
      <c r="A429" s="336">
        <v>374</v>
      </c>
      <c r="B429" s="284">
        <f t="shared" si="22"/>
        <v>20357.904702349868</v>
      </c>
      <c r="C429" s="284">
        <f t="shared" si="23"/>
        <v>8419.000454133502</v>
      </c>
      <c r="D429" s="284">
        <f t="shared" si="24"/>
        <v>11938.904248216366</v>
      </c>
      <c r="E429" s="284">
        <f t="shared" si="25"/>
        <v>1671861.186578484</v>
      </c>
      <c r="F429" s="283"/>
      <c r="G429" s="278"/>
      <c r="H429" s="272"/>
      <c r="I429" s="278"/>
    </row>
    <row r="430" spans="1:9">
      <c r="A430" s="336">
        <v>375</v>
      </c>
      <c r="B430" s="284">
        <f t="shared" si="22"/>
        <v>20357.904702349868</v>
      </c>
      <c r="C430" s="284">
        <f t="shared" si="23"/>
        <v>8359.305932892421</v>
      </c>
      <c r="D430" s="284">
        <f t="shared" si="24"/>
        <v>11998.598769457447</v>
      </c>
      <c r="E430" s="284">
        <f t="shared" si="25"/>
        <v>1659862.5878090265</v>
      </c>
      <c r="F430" s="283"/>
      <c r="G430" s="278"/>
      <c r="H430" s="272"/>
      <c r="I430" s="278"/>
    </row>
    <row r="431" spans="1:9">
      <c r="A431" s="336">
        <v>376</v>
      </c>
      <c r="B431" s="284">
        <f t="shared" si="22"/>
        <v>20357.904702349868</v>
      </c>
      <c r="C431" s="284">
        <f t="shared" si="23"/>
        <v>8299.312939045134</v>
      </c>
      <c r="D431" s="284">
        <f t="shared" si="24"/>
        <v>12058.591763304734</v>
      </c>
      <c r="E431" s="284">
        <f t="shared" si="25"/>
        <v>1647803.9960457217</v>
      </c>
      <c r="F431" s="283"/>
      <c r="G431" s="278"/>
      <c r="H431" s="272"/>
      <c r="I431" s="278"/>
    </row>
    <row r="432" spans="1:9">
      <c r="A432" s="336">
        <v>377</v>
      </c>
      <c r="B432" s="284">
        <f t="shared" si="22"/>
        <v>20357.904702349868</v>
      </c>
      <c r="C432" s="284">
        <f t="shared" si="23"/>
        <v>8239.0199802286097</v>
      </c>
      <c r="D432" s="284">
        <f t="shared" si="24"/>
        <v>12118.884722121258</v>
      </c>
      <c r="E432" s="284">
        <f t="shared" si="25"/>
        <v>1635685.1113236004</v>
      </c>
      <c r="F432" s="283"/>
      <c r="G432" s="278"/>
      <c r="H432" s="272"/>
      <c r="I432" s="278"/>
    </row>
    <row r="433" spans="1:9">
      <c r="A433" s="336">
        <v>378</v>
      </c>
      <c r="B433" s="284">
        <f t="shared" si="22"/>
        <v>20357.904702349868</v>
      </c>
      <c r="C433" s="284">
        <f t="shared" si="23"/>
        <v>8178.4255566180027</v>
      </c>
      <c r="D433" s="284">
        <f t="shared" si="24"/>
        <v>12179.479145731864</v>
      </c>
      <c r="E433" s="284">
        <f t="shared" si="25"/>
        <v>1623505.6321778686</v>
      </c>
      <c r="F433" s="283"/>
      <c r="G433" s="335"/>
      <c r="H433" s="291"/>
      <c r="I433" s="278"/>
    </row>
    <row r="434" spans="1:9">
      <c r="A434" s="336">
        <v>379</v>
      </c>
      <c r="B434" s="284">
        <f t="shared" si="22"/>
        <v>20357.904702349868</v>
      </c>
      <c r="C434" s="284">
        <f t="shared" si="23"/>
        <v>8117.5281608893429</v>
      </c>
      <c r="D434" s="284">
        <f t="shared" si="24"/>
        <v>12240.376541460526</v>
      </c>
      <c r="E434" s="284">
        <f t="shared" si="25"/>
        <v>1611265.255636408</v>
      </c>
      <c r="F434" s="283"/>
      <c r="G434" s="278"/>
      <c r="H434" s="272"/>
      <c r="I434" s="278"/>
    </row>
    <row r="435" spans="1:9">
      <c r="A435" s="336">
        <v>380</v>
      </c>
      <c r="B435" s="284">
        <f t="shared" si="22"/>
        <v>20357.904702349868</v>
      </c>
      <c r="C435" s="284">
        <f t="shared" si="23"/>
        <v>8056.3262781820404</v>
      </c>
      <c r="D435" s="284">
        <f t="shared" si="24"/>
        <v>12301.578424167827</v>
      </c>
      <c r="E435" s="284">
        <f t="shared" si="25"/>
        <v>1598963.6772122402</v>
      </c>
      <c r="F435" s="283"/>
      <c r="G435" s="278"/>
      <c r="H435" s="272"/>
      <c r="I435" s="278"/>
    </row>
    <row r="436" spans="1:9">
      <c r="A436" s="336">
        <v>381</v>
      </c>
      <c r="B436" s="284">
        <f t="shared" si="22"/>
        <v>20357.904702349868</v>
      </c>
      <c r="C436" s="284">
        <f t="shared" si="23"/>
        <v>7994.8183860612016</v>
      </c>
      <c r="D436" s="284">
        <f t="shared" si="24"/>
        <v>12363.086316288667</v>
      </c>
      <c r="E436" s="284">
        <f t="shared" si="25"/>
        <v>1586600.5908959515</v>
      </c>
      <c r="F436" s="283"/>
      <c r="G436" s="278"/>
      <c r="H436" s="272"/>
      <c r="I436" s="278"/>
    </row>
    <row r="437" spans="1:9">
      <c r="A437" s="336">
        <v>382</v>
      </c>
      <c r="B437" s="284">
        <f t="shared" si="22"/>
        <v>20357.904702349868</v>
      </c>
      <c r="C437" s="284">
        <f t="shared" si="23"/>
        <v>7933.002954479758</v>
      </c>
      <c r="D437" s="284">
        <f t="shared" si="24"/>
        <v>12424.90174787011</v>
      </c>
      <c r="E437" s="284">
        <f t="shared" si="25"/>
        <v>1574175.6891480815</v>
      </c>
      <c r="F437" s="283"/>
      <c r="G437" s="278"/>
      <c r="H437" s="272"/>
      <c r="I437" s="278"/>
    </row>
    <row r="438" spans="1:9">
      <c r="A438" s="336">
        <v>383</v>
      </c>
      <c r="B438" s="284">
        <f t="shared" si="22"/>
        <v>20357.904702349868</v>
      </c>
      <c r="C438" s="284">
        <f t="shared" si="23"/>
        <v>7870.8784457404081</v>
      </c>
      <c r="D438" s="284">
        <f t="shared" si="24"/>
        <v>12487.026256609461</v>
      </c>
      <c r="E438" s="284">
        <f t="shared" si="25"/>
        <v>1561688.662891472</v>
      </c>
      <c r="F438" s="283"/>
      <c r="G438" s="278"/>
      <c r="H438" s="272"/>
      <c r="I438" s="278"/>
    </row>
    <row r="439" spans="1:9">
      <c r="A439" s="336">
        <v>384</v>
      </c>
      <c r="B439" s="284">
        <f t="shared" si="22"/>
        <v>20357.904702349868</v>
      </c>
      <c r="C439" s="284">
        <f t="shared" si="23"/>
        <v>7808.4433144573604</v>
      </c>
      <c r="D439" s="284">
        <f t="shared" si="24"/>
        <v>12549.461387892508</v>
      </c>
      <c r="E439" s="284">
        <f t="shared" si="25"/>
        <v>1549139.2015035795</v>
      </c>
      <c r="F439" s="283">
        <v>32</v>
      </c>
      <c r="G439" s="335"/>
      <c r="H439" s="291"/>
      <c r="I439" s="335"/>
    </row>
    <row r="440" spans="1:9">
      <c r="A440" s="336">
        <v>385</v>
      </c>
      <c r="B440" s="284">
        <f t="shared" ref="B440:B503" si="26">IF(A440&gt;12*$D$14,0,$D$20)</f>
        <v>20357.904702349868</v>
      </c>
      <c r="C440" s="284">
        <f t="shared" ref="C440:C503" si="27">IF(A440&gt;12*$D$14,0,E439*$D$10/12)</f>
        <v>7745.6960075178977</v>
      </c>
      <c r="D440" s="284">
        <f t="shared" ref="D440:D503" si="28">IF(A440&gt;12*$D$14,0,B440-C440)</f>
        <v>12612.20869483197</v>
      </c>
      <c r="E440" s="284">
        <f t="shared" ref="E440:E503" si="29">IF(A440&gt;12*$D$14,0,E439-D440)</f>
        <v>1536526.9928087476</v>
      </c>
      <c r="F440" s="283"/>
      <c r="G440" s="278"/>
      <c r="H440" s="272"/>
      <c r="I440" s="335"/>
    </row>
    <row r="441" spans="1:9">
      <c r="A441" s="336">
        <v>386</v>
      </c>
      <c r="B441" s="284">
        <f t="shared" si="26"/>
        <v>20357.904702349868</v>
      </c>
      <c r="C441" s="284">
        <f t="shared" si="27"/>
        <v>7682.6349640437393</v>
      </c>
      <c r="D441" s="284">
        <f t="shared" si="28"/>
        <v>12675.269738306128</v>
      </c>
      <c r="E441" s="284">
        <f t="shared" si="29"/>
        <v>1523851.7230704415</v>
      </c>
      <c r="F441" s="283"/>
      <c r="G441" s="278"/>
      <c r="H441" s="272"/>
      <c r="I441" s="278"/>
    </row>
    <row r="442" spans="1:9">
      <c r="A442" s="336">
        <v>387</v>
      </c>
      <c r="B442" s="284">
        <f t="shared" si="26"/>
        <v>20357.904702349868</v>
      </c>
      <c r="C442" s="284">
        <f t="shared" si="27"/>
        <v>7619.2586153522088</v>
      </c>
      <c r="D442" s="284">
        <f t="shared" si="28"/>
        <v>12738.646086997658</v>
      </c>
      <c r="E442" s="284">
        <f t="shared" si="29"/>
        <v>1511113.0769834439</v>
      </c>
      <c r="F442" s="283"/>
      <c r="G442" s="278"/>
      <c r="H442" s="272"/>
      <c r="I442" s="278"/>
    </row>
    <row r="443" spans="1:9">
      <c r="A443" s="336">
        <v>388</v>
      </c>
      <c r="B443" s="284">
        <f t="shared" si="26"/>
        <v>20357.904702349868</v>
      </c>
      <c r="C443" s="284">
        <f t="shared" si="27"/>
        <v>7555.5653849172204</v>
      </c>
      <c r="D443" s="284">
        <f t="shared" si="28"/>
        <v>12802.339317432648</v>
      </c>
      <c r="E443" s="284">
        <f t="shared" si="29"/>
        <v>1498310.7376660113</v>
      </c>
      <c r="F443" s="283"/>
      <c r="G443" s="278"/>
      <c r="H443" s="272"/>
      <c r="I443" s="278"/>
    </row>
    <row r="444" spans="1:9">
      <c r="A444" s="336">
        <v>389</v>
      </c>
      <c r="B444" s="284">
        <f t="shared" si="26"/>
        <v>20357.904702349868</v>
      </c>
      <c r="C444" s="284">
        <f t="shared" si="27"/>
        <v>7491.5536883300565</v>
      </c>
      <c r="D444" s="284">
        <f t="shared" si="28"/>
        <v>12866.351014019812</v>
      </c>
      <c r="E444" s="284">
        <f t="shared" si="29"/>
        <v>1485444.3866519914</v>
      </c>
      <c r="F444" s="283"/>
      <c r="G444" s="278"/>
      <c r="H444" s="272"/>
      <c r="I444" s="278"/>
    </row>
    <row r="445" spans="1:9">
      <c r="A445" s="336">
        <v>390</v>
      </c>
      <c r="B445" s="284">
        <f t="shared" si="26"/>
        <v>20357.904702349868</v>
      </c>
      <c r="C445" s="284">
        <f t="shared" si="27"/>
        <v>7427.221933259957</v>
      </c>
      <c r="D445" s="284">
        <f t="shared" si="28"/>
        <v>12930.682769089912</v>
      </c>
      <c r="E445" s="284">
        <f t="shared" si="29"/>
        <v>1472513.7038829015</v>
      </c>
      <c r="F445" s="283"/>
      <c r="G445" s="335"/>
      <c r="H445" s="291"/>
      <c r="I445" s="278"/>
    </row>
    <row r="446" spans="1:9">
      <c r="A446" s="336">
        <v>391</v>
      </c>
      <c r="B446" s="284">
        <f t="shared" si="26"/>
        <v>20357.904702349868</v>
      </c>
      <c r="C446" s="284">
        <f t="shared" si="27"/>
        <v>7362.568519414508</v>
      </c>
      <c r="D446" s="284">
        <f t="shared" si="28"/>
        <v>12995.33618293536</v>
      </c>
      <c r="E446" s="284">
        <f t="shared" si="29"/>
        <v>1459518.3676999661</v>
      </c>
      <c r="F446" s="283"/>
      <c r="G446" s="278"/>
      <c r="H446" s="272"/>
      <c r="I446" s="278"/>
    </row>
    <row r="447" spans="1:9">
      <c r="A447" s="336">
        <v>392</v>
      </c>
      <c r="B447" s="284">
        <f t="shared" si="26"/>
        <v>20357.904702349868</v>
      </c>
      <c r="C447" s="284">
        <f t="shared" si="27"/>
        <v>7297.5918384998304</v>
      </c>
      <c r="D447" s="284">
        <f t="shared" si="28"/>
        <v>13060.312863850038</v>
      </c>
      <c r="E447" s="284">
        <f t="shared" si="29"/>
        <v>1446458.054836116</v>
      </c>
      <c r="F447" s="283"/>
      <c r="G447" s="278"/>
      <c r="H447" s="272"/>
      <c r="I447" s="278"/>
    </row>
    <row r="448" spans="1:9">
      <c r="A448" s="336">
        <v>393</v>
      </c>
      <c r="B448" s="284">
        <f t="shared" si="26"/>
        <v>20357.904702349868</v>
      </c>
      <c r="C448" s="284">
        <f t="shared" si="27"/>
        <v>7232.290274180581</v>
      </c>
      <c r="D448" s="284">
        <f t="shared" si="28"/>
        <v>13125.614428169287</v>
      </c>
      <c r="E448" s="284">
        <f t="shared" si="29"/>
        <v>1433332.4404079467</v>
      </c>
      <c r="F448" s="283"/>
      <c r="G448" s="278"/>
      <c r="H448" s="272"/>
      <c r="I448" s="278"/>
    </row>
    <row r="449" spans="1:9">
      <c r="A449" s="336">
        <v>394</v>
      </c>
      <c r="B449" s="284">
        <f t="shared" si="26"/>
        <v>20357.904702349868</v>
      </c>
      <c r="C449" s="284">
        <f t="shared" si="27"/>
        <v>7166.6622020397335</v>
      </c>
      <c r="D449" s="284">
        <f t="shared" si="28"/>
        <v>13191.242500310134</v>
      </c>
      <c r="E449" s="284">
        <f t="shared" si="29"/>
        <v>1420141.1979076366</v>
      </c>
      <c r="F449" s="283"/>
      <c r="G449" s="278"/>
      <c r="H449" s="272"/>
      <c r="I449" s="278"/>
    </row>
    <row r="450" spans="1:9">
      <c r="A450" s="336">
        <v>395</v>
      </c>
      <c r="B450" s="284">
        <f t="shared" si="26"/>
        <v>20357.904702349868</v>
      </c>
      <c r="C450" s="284">
        <f t="shared" si="27"/>
        <v>7100.7059895381835</v>
      </c>
      <c r="D450" s="284">
        <f t="shared" si="28"/>
        <v>13257.198712811685</v>
      </c>
      <c r="E450" s="284">
        <f t="shared" si="29"/>
        <v>1406883.9991948251</v>
      </c>
      <c r="F450" s="283"/>
      <c r="G450" s="278"/>
      <c r="H450" s="272"/>
      <c r="I450" s="278"/>
    </row>
    <row r="451" spans="1:9">
      <c r="A451" s="336">
        <v>396</v>
      </c>
      <c r="B451" s="284">
        <f t="shared" si="26"/>
        <v>20357.904702349868</v>
      </c>
      <c r="C451" s="284">
        <f t="shared" si="27"/>
        <v>7034.4199959741263</v>
      </c>
      <c r="D451" s="284">
        <f t="shared" si="28"/>
        <v>13323.484706375741</v>
      </c>
      <c r="E451" s="284">
        <f t="shared" si="29"/>
        <v>1393560.5144884493</v>
      </c>
      <c r="F451" s="283">
        <v>33</v>
      </c>
      <c r="G451" s="335"/>
      <c r="H451" s="291"/>
      <c r="I451" s="335"/>
    </row>
    <row r="452" spans="1:9">
      <c r="A452" s="336">
        <v>397</v>
      </c>
      <c r="B452" s="284">
        <f t="shared" si="26"/>
        <v>20357.904702349868</v>
      </c>
      <c r="C452" s="284">
        <f t="shared" si="27"/>
        <v>6967.8025724422469</v>
      </c>
      <c r="D452" s="284">
        <f t="shared" si="28"/>
        <v>13390.10212990762</v>
      </c>
      <c r="E452" s="284">
        <f t="shared" si="29"/>
        <v>1380170.4123585417</v>
      </c>
      <c r="F452" s="283"/>
      <c r="G452" s="278"/>
      <c r="H452" s="272"/>
      <c r="I452" s="335"/>
    </row>
    <row r="453" spans="1:9">
      <c r="A453" s="336">
        <v>398</v>
      </c>
      <c r="B453" s="284">
        <f t="shared" si="26"/>
        <v>20357.904702349868</v>
      </c>
      <c r="C453" s="284">
        <f t="shared" si="27"/>
        <v>6900.8520617927097</v>
      </c>
      <c r="D453" s="284">
        <f t="shared" si="28"/>
        <v>13457.052640557158</v>
      </c>
      <c r="E453" s="284">
        <f t="shared" si="29"/>
        <v>1366713.3597179847</v>
      </c>
      <c r="F453" s="283"/>
      <c r="G453" s="278"/>
      <c r="H453" s="272"/>
      <c r="I453" s="278"/>
    </row>
    <row r="454" spans="1:9">
      <c r="A454" s="336">
        <v>399</v>
      </c>
      <c r="B454" s="284">
        <f t="shared" si="26"/>
        <v>20357.904702349868</v>
      </c>
      <c r="C454" s="284">
        <f t="shared" si="27"/>
        <v>6833.5667985899236</v>
      </c>
      <c r="D454" s="284">
        <f t="shared" si="28"/>
        <v>13524.337903759944</v>
      </c>
      <c r="E454" s="284">
        <f t="shared" si="29"/>
        <v>1353189.0218142248</v>
      </c>
      <c r="F454" s="283"/>
      <c r="G454" s="278"/>
      <c r="H454" s="272"/>
      <c r="I454" s="278"/>
    </row>
    <row r="455" spans="1:9">
      <c r="A455" s="336">
        <v>400</v>
      </c>
      <c r="B455" s="284">
        <f t="shared" si="26"/>
        <v>20357.904702349868</v>
      </c>
      <c r="C455" s="284">
        <f t="shared" si="27"/>
        <v>6765.9451090711236</v>
      </c>
      <c r="D455" s="284">
        <f t="shared" si="28"/>
        <v>13591.959593278745</v>
      </c>
      <c r="E455" s="284">
        <f t="shared" si="29"/>
        <v>1339597.062220946</v>
      </c>
      <c r="F455" s="283"/>
      <c r="G455" s="278"/>
      <c r="H455" s="272"/>
      <c r="I455" s="278"/>
    </row>
    <row r="456" spans="1:9">
      <c r="A456" s="336">
        <v>401</v>
      </c>
      <c r="B456" s="284">
        <f t="shared" si="26"/>
        <v>20357.904702349868</v>
      </c>
      <c r="C456" s="284">
        <f t="shared" si="27"/>
        <v>6697.9853111047305</v>
      </c>
      <c r="D456" s="284">
        <f t="shared" si="28"/>
        <v>13659.919391245137</v>
      </c>
      <c r="E456" s="284">
        <f t="shared" si="29"/>
        <v>1325937.1428297008</v>
      </c>
      <c r="F456" s="283"/>
      <c r="G456" s="278"/>
      <c r="H456" s="272"/>
      <c r="I456" s="278"/>
    </row>
    <row r="457" spans="1:9">
      <c r="A457" s="336">
        <v>402</v>
      </c>
      <c r="B457" s="284">
        <f t="shared" si="26"/>
        <v>20357.904702349868</v>
      </c>
      <c r="C457" s="284">
        <f t="shared" si="27"/>
        <v>6629.6857141485052</v>
      </c>
      <c r="D457" s="284">
        <f t="shared" si="28"/>
        <v>13728.218988201363</v>
      </c>
      <c r="E457" s="284">
        <f t="shared" si="29"/>
        <v>1312208.9238414995</v>
      </c>
      <c r="F457" s="283"/>
      <c r="G457" s="335"/>
      <c r="H457" s="291"/>
      <c r="I457" s="278"/>
    </row>
    <row r="458" spans="1:9">
      <c r="A458" s="336">
        <v>403</v>
      </c>
      <c r="B458" s="284">
        <f t="shared" si="26"/>
        <v>20357.904702349868</v>
      </c>
      <c r="C458" s="284">
        <f t="shared" si="27"/>
        <v>6561.0446192074987</v>
      </c>
      <c r="D458" s="284">
        <f t="shared" si="28"/>
        <v>13796.860083142368</v>
      </c>
      <c r="E458" s="284">
        <f t="shared" si="29"/>
        <v>1298412.0637583572</v>
      </c>
      <c r="F458" s="283"/>
      <c r="G458" s="278"/>
      <c r="H458" s="272"/>
      <c r="I458" s="278"/>
    </row>
    <row r="459" spans="1:9">
      <c r="A459" s="336">
        <v>404</v>
      </c>
      <c r="B459" s="284">
        <f t="shared" si="26"/>
        <v>20357.904702349868</v>
      </c>
      <c r="C459" s="284">
        <f t="shared" si="27"/>
        <v>6492.0603187917868</v>
      </c>
      <c r="D459" s="284">
        <f t="shared" si="28"/>
        <v>13865.84438355808</v>
      </c>
      <c r="E459" s="284">
        <f t="shared" si="29"/>
        <v>1284546.2193747992</v>
      </c>
      <c r="F459" s="283"/>
      <c r="G459" s="278"/>
      <c r="H459" s="272"/>
      <c r="I459" s="278"/>
    </row>
    <row r="460" spans="1:9">
      <c r="A460" s="336">
        <v>405</v>
      </c>
      <c r="B460" s="284">
        <f t="shared" si="26"/>
        <v>20357.904702349868</v>
      </c>
      <c r="C460" s="284">
        <f t="shared" si="27"/>
        <v>6422.7310968739957</v>
      </c>
      <c r="D460" s="284">
        <f t="shared" si="28"/>
        <v>13935.173605475873</v>
      </c>
      <c r="E460" s="284">
        <f t="shared" si="29"/>
        <v>1270611.0457693234</v>
      </c>
      <c r="F460" s="283"/>
      <c r="G460" s="278"/>
      <c r="H460" s="272"/>
      <c r="I460" s="278"/>
    </row>
    <row r="461" spans="1:9">
      <c r="A461" s="336">
        <v>406</v>
      </c>
      <c r="B461" s="284">
        <f t="shared" si="26"/>
        <v>20357.904702349868</v>
      </c>
      <c r="C461" s="284">
        <f t="shared" si="27"/>
        <v>6353.055228846617</v>
      </c>
      <c r="D461" s="284">
        <f t="shared" si="28"/>
        <v>14004.849473503251</v>
      </c>
      <c r="E461" s="284">
        <f t="shared" si="29"/>
        <v>1256606.1962958202</v>
      </c>
      <c r="F461" s="283"/>
      <c r="G461" s="278"/>
      <c r="H461" s="272"/>
      <c r="I461" s="278"/>
    </row>
    <row r="462" spans="1:9">
      <c r="A462" s="336">
        <v>407</v>
      </c>
      <c r="B462" s="284">
        <f t="shared" si="26"/>
        <v>20357.904702349868</v>
      </c>
      <c r="C462" s="284">
        <f t="shared" si="27"/>
        <v>6283.0309814791008</v>
      </c>
      <c r="D462" s="284">
        <f t="shared" si="28"/>
        <v>14074.873720870768</v>
      </c>
      <c r="E462" s="284">
        <f t="shared" si="29"/>
        <v>1242531.3225749494</v>
      </c>
      <c r="F462" s="283"/>
      <c r="G462" s="278"/>
      <c r="H462" s="272"/>
      <c r="I462" s="278"/>
    </row>
    <row r="463" spans="1:9">
      <c r="A463" s="336">
        <v>408</v>
      </c>
      <c r="B463" s="284">
        <f t="shared" si="26"/>
        <v>20357.904702349868</v>
      </c>
      <c r="C463" s="284">
        <f t="shared" si="27"/>
        <v>6212.6566128747472</v>
      </c>
      <c r="D463" s="284">
        <f t="shared" si="28"/>
        <v>14145.248089475121</v>
      </c>
      <c r="E463" s="284">
        <f t="shared" si="29"/>
        <v>1228386.0744854743</v>
      </c>
      <c r="F463" s="283">
        <v>34</v>
      </c>
      <c r="G463" s="335"/>
      <c r="H463" s="291"/>
      <c r="I463" s="335"/>
    </row>
    <row r="464" spans="1:9">
      <c r="A464" s="336">
        <v>409</v>
      </c>
      <c r="B464" s="284">
        <f t="shared" si="26"/>
        <v>20357.904702349868</v>
      </c>
      <c r="C464" s="284">
        <f t="shared" si="27"/>
        <v>6141.9303724273714</v>
      </c>
      <c r="D464" s="284">
        <f t="shared" si="28"/>
        <v>14215.974329922497</v>
      </c>
      <c r="E464" s="284">
        <f t="shared" si="29"/>
        <v>1214170.1001555517</v>
      </c>
      <c r="F464" s="283"/>
      <c r="G464" s="278"/>
      <c r="H464" s="272"/>
      <c r="I464" s="335"/>
    </row>
    <row r="465" spans="1:9">
      <c r="A465" s="336">
        <v>410</v>
      </c>
      <c r="B465" s="284">
        <f t="shared" si="26"/>
        <v>20357.904702349868</v>
      </c>
      <c r="C465" s="284">
        <f t="shared" si="27"/>
        <v>6070.8505007777594</v>
      </c>
      <c r="D465" s="284">
        <f t="shared" si="28"/>
        <v>14287.054201572108</v>
      </c>
      <c r="E465" s="284">
        <f t="shared" si="29"/>
        <v>1199883.0459539795</v>
      </c>
      <c r="F465" s="283"/>
      <c r="G465" s="278"/>
      <c r="H465" s="272"/>
      <c r="I465" s="278"/>
    </row>
    <row r="466" spans="1:9">
      <c r="A466" s="336">
        <v>411</v>
      </c>
      <c r="B466" s="284">
        <f t="shared" si="26"/>
        <v>20357.904702349868</v>
      </c>
      <c r="C466" s="284">
        <f t="shared" si="27"/>
        <v>5999.4152297698975</v>
      </c>
      <c r="D466" s="284">
        <f t="shared" si="28"/>
        <v>14358.489472579971</v>
      </c>
      <c r="E466" s="284">
        <f t="shared" si="29"/>
        <v>1185524.5564813996</v>
      </c>
      <c r="F466" s="283"/>
      <c r="G466" s="278"/>
      <c r="H466" s="272"/>
      <c r="I466" s="278"/>
    </row>
    <row r="467" spans="1:9">
      <c r="A467" s="336">
        <v>412</v>
      </c>
      <c r="B467" s="284">
        <f t="shared" si="26"/>
        <v>20357.904702349868</v>
      </c>
      <c r="C467" s="284">
        <f t="shared" si="27"/>
        <v>5927.6227824069983</v>
      </c>
      <c r="D467" s="284">
        <f t="shared" si="28"/>
        <v>14430.28191994287</v>
      </c>
      <c r="E467" s="284">
        <f t="shared" si="29"/>
        <v>1171094.2745614566</v>
      </c>
      <c r="F467" s="283"/>
      <c r="G467" s="278"/>
      <c r="H467" s="272"/>
      <c r="I467" s="278"/>
    </row>
    <row r="468" spans="1:9">
      <c r="A468" s="336">
        <v>413</v>
      </c>
      <c r="B468" s="284">
        <f t="shared" si="26"/>
        <v>20357.904702349868</v>
      </c>
      <c r="C468" s="284">
        <f t="shared" si="27"/>
        <v>5855.4713728072829</v>
      </c>
      <c r="D468" s="284">
        <f t="shared" si="28"/>
        <v>14502.433329542586</v>
      </c>
      <c r="E468" s="284">
        <f t="shared" si="29"/>
        <v>1156591.841231914</v>
      </c>
      <c r="F468" s="283"/>
      <c r="G468" s="278"/>
      <c r="H468" s="272"/>
      <c r="I468" s="278"/>
    </row>
    <row r="469" spans="1:9">
      <c r="A469" s="336">
        <v>414</v>
      </c>
      <c r="B469" s="284">
        <f t="shared" si="26"/>
        <v>20357.904702349868</v>
      </c>
      <c r="C469" s="284">
        <f t="shared" si="27"/>
        <v>5782.9592061595713</v>
      </c>
      <c r="D469" s="284">
        <f t="shared" si="28"/>
        <v>14574.945496190296</v>
      </c>
      <c r="E469" s="284">
        <f t="shared" si="29"/>
        <v>1142016.8957357237</v>
      </c>
      <c r="F469" s="283"/>
      <c r="G469" s="335"/>
      <c r="H469" s="291"/>
      <c r="I469" s="278"/>
    </row>
    <row r="470" spans="1:9">
      <c r="A470" s="336">
        <v>415</v>
      </c>
      <c r="B470" s="284">
        <f t="shared" si="26"/>
        <v>20357.904702349868</v>
      </c>
      <c r="C470" s="284">
        <f t="shared" si="27"/>
        <v>5710.0844786786183</v>
      </c>
      <c r="D470" s="284">
        <f t="shared" si="28"/>
        <v>14647.82022367125</v>
      </c>
      <c r="E470" s="284">
        <f t="shared" si="29"/>
        <v>1127369.0755120525</v>
      </c>
      <c r="F470" s="283"/>
      <c r="G470" s="278"/>
      <c r="H470" s="272"/>
      <c r="I470" s="278"/>
    </row>
    <row r="471" spans="1:9">
      <c r="A471" s="336">
        <v>416</v>
      </c>
      <c r="B471" s="284">
        <f t="shared" si="26"/>
        <v>20357.904702349868</v>
      </c>
      <c r="C471" s="284">
        <f t="shared" si="27"/>
        <v>5636.8453775602638</v>
      </c>
      <c r="D471" s="284">
        <f t="shared" si="28"/>
        <v>14721.059324789603</v>
      </c>
      <c r="E471" s="284">
        <f t="shared" si="29"/>
        <v>1112648.016187263</v>
      </c>
      <c r="F471" s="283"/>
      <c r="G471" s="278"/>
      <c r="H471" s="272"/>
      <c r="I471" s="278"/>
    </row>
    <row r="472" spans="1:9">
      <c r="A472" s="336">
        <v>417</v>
      </c>
      <c r="B472" s="284">
        <f t="shared" si="26"/>
        <v>20357.904702349868</v>
      </c>
      <c r="C472" s="284">
        <f t="shared" si="27"/>
        <v>5563.2400809363144</v>
      </c>
      <c r="D472" s="284">
        <f t="shared" si="28"/>
        <v>14794.664621413554</v>
      </c>
      <c r="E472" s="284">
        <f t="shared" si="29"/>
        <v>1097853.3515658495</v>
      </c>
      <c r="F472" s="283"/>
      <c r="G472" s="278"/>
      <c r="H472" s="272"/>
      <c r="I472" s="278"/>
    </row>
    <row r="473" spans="1:9">
      <c r="A473" s="336">
        <v>418</v>
      </c>
      <c r="B473" s="284">
        <f t="shared" si="26"/>
        <v>20357.904702349868</v>
      </c>
      <c r="C473" s="284">
        <f t="shared" si="27"/>
        <v>5489.2667578292485</v>
      </c>
      <c r="D473" s="284">
        <f t="shared" si="28"/>
        <v>14868.637944520618</v>
      </c>
      <c r="E473" s="284">
        <f t="shared" si="29"/>
        <v>1082984.7136213288</v>
      </c>
      <c r="F473" s="283"/>
      <c r="G473" s="278"/>
      <c r="H473" s="272"/>
      <c r="I473" s="278"/>
    </row>
    <row r="474" spans="1:9">
      <c r="A474" s="336">
        <v>419</v>
      </c>
      <c r="B474" s="284">
        <f t="shared" si="26"/>
        <v>20357.904702349868</v>
      </c>
      <c r="C474" s="284">
        <f t="shared" si="27"/>
        <v>5414.9235681066448</v>
      </c>
      <c r="D474" s="284">
        <f t="shared" si="28"/>
        <v>14942.981134243222</v>
      </c>
      <c r="E474" s="284">
        <f t="shared" si="29"/>
        <v>1068041.7324870855</v>
      </c>
      <c r="F474" s="283"/>
      <c r="G474" s="278"/>
      <c r="H474" s="272"/>
      <c r="I474" s="278"/>
    </row>
    <row r="475" spans="1:9">
      <c r="A475" s="336">
        <v>420</v>
      </c>
      <c r="B475" s="284">
        <f t="shared" si="26"/>
        <v>20357.904702349868</v>
      </c>
      <c r="C475" s="284">
        <f t="shared" si="27"/>
        <v>5340.2086624354279</v>
      </c>
      <c r="D475" s="284">
        <f t="shared" si="28"/>
        <v>15017.696039914441</v>
      </c>
      <c r="E475" s="284">
        <f t="shared" si="29"/>
        <v>1053024.0364471711</v>
      </c>
      <c r="F475" s="283">
        <v>35</v>
      </c>
      <c r="G475" s="335"/>
      <c r="H475" s="291"/>
      <c r="I475" s="335"/>
    </row>
    <row r="476" spans="1:9">
      <c r="A476" s="336">
        <v>421</v>
      </c>
      <c r="B476" s="284">
        <f t="shared" si="26"/>
        <v>20357.904702349868</v>
      </c>
      <c r="C476" s="284">
        <f t="shared" si="27"/>
        <v>5265.1201822358562</v>
      </c>
      <c r="D476" s="284">
        <f t="shared" si="28"/>
        <v>15092.784520114012</v>
      </c>
      <c r="E476" s="284">
        <f t="shared" si="29"/>
        <v>1037931.2519270572</v>
      </c>
      <c r="F476" s="283"/>
      <c r="G476" s="278"/>
      <c r="H476" s="272"/>
      <c r="I476" s="335"/>
    </row>
    <row r="477" spans="1:9">
      <c r="A477" s="336">
        <v>422</v>
      </c>
      <c r="B477" s="284">
        <f t="shared" si="26"/>
        <v>20357.904702349868</v>
      </c>
      <c r="C477" s="284">
        <f t="shared" si="27"/>
        <v>5189.656259635286</v>
      </c>
      <c r="D477" s="284">
        <f t="shared" si="28"/>
        <v>15168.248442714583</v>
      </c>
      <c r="E477" s="284">
        <f t="shared" si="29"/>
        <v>1022763.0034843426</v>
      </c>
      <c r="F477" s="283"/>
      <c r="G477" s="278"/>
      <c r="H477" s="272"/>
      <c r="I477" s="278"/>
    </row>
    <row r="478" spans="1:9">
      <c r="A478" s="336">
        <v>423</v>
      </c>
      <c r="B478" s="284">
        <f t="shared" si="26"/>
        <v>20357.904702349868</v>
      </c>
      <c r="C478" s="284">
        <f t="shared" si="27"/>
        <v>5113.8150174217135</v>
      </c>
      <c r="D478" s="284">
        <f t="shared" si="28"/>
        <v>15244.089684928154</v>
      </c>
      <c r="E478" s="284">
        <f t="shared" si="29"/>
        <v>1007518.9137994144</v>
      </c>
      <c r="F478" s="283"/>
      <c r="G478" s="278"/>
      <c r="H478" s="272"/>
      <c r="I478" s="278"/>
    </row>
    <row r="479" spans="1:9">
      <c r="A479" s="336">
        <v>424</v>
      </c>
      <c r="B479" s="284">
        <f t="shared" si="26"/>
        <v>20357.904702349868</v>
      </c>
      <c r="C479" s="284">
        <f t="shared" si="27"/>
        <v>5037.5945689970722</v>
      </c>
      <c r="D479" s="284">
        <f t="shared" si="28"/>
        <v>15320.310133352796</v>
      </c>
      <c r="E479" s="284">
        <f t="shared" si="29"/>
        <v>992198.60366606165</v>
      </c>
      <c r="F479" s="283"/>
      <c r="G479" s="278"/>
      <c r="H479" s="272"/>
      <c r="I479" s="278"/>
    </row>
    <row r="480" spans="1:9">
      <c r="A480" s="336">
        <v>425</v>
      </c>
      <c r="B480" s="284">
        <f t="shared" si="26"/>
        <v>20357.904702349868</v>
      </c>
      <c r="C480" s="284">
        <f t="shared" si="27"/>
        <v>4960.9930183303086</v>
      </c>
      <c r="D480" s="284">
        <f t="shared" si="28"/>
        <v>15396.91168401956</v>
      </c>
      <c r="E480" s="284">
        <f t="shared" si="29"/>
        <v>976801.69198204204</v>
      </c>
      <c r="F480" s="283"/>
      <c r="G480" s="278"/>
      <c r="H480" s="272"/>
      <c r="I480" s="278"/>
    </row>
    <row r="481" spans="1:9">
      <c r="A481" s="336">
        <v>426</v>
      </c>
      <c r="B481" s="284">
        <f t="shared" si="26"/>
        <v>20357.904702349868</v>
      </c>
      <c r="C481" s="284">
        <f t="shared" si="27"/>
        <v>4884.0084599102111</v>
      </c>
      <c r="D481" s="284">
        <f t="shared" si="28"/>
        <v>15473.896242439656</v>
      </c>
      <c r="E481" s="284">
        <f t="shared" si="29"/>
        <v>961327.79573960241</v>
      </c>
      <c r="F481" s="283"/>
      <c r="G481" s="335"/>
      <c r="H481" s="291"/>
      <c r="I481" s="278"/>
    </row>
    <row r="482" spans="1:9">
      <c r="A482" s="336">
        <v>427</v>
      </c>
      <c r="B482" s="284">
        <f t="shared" si="26"/>
        <v>20357.904702349868</v>
      </c>
      <c r="C482" s="284">
        <f t="shared" si="27"/>
        <v>4806.6389786980126</v>
      </c>
      <c r="D482" s="284">
        <f t="shared" si="28"/>
        <v>15551.265723651855</v>
      </c>
      <c r="E482" s="284">
        <f t="shared" si="29"/>
        <v>945776.53001595056</v>
      </c>
      <c r="F482" s="283"/>
      <c r="G482" s="278"/>
      <c r="H482" s="272"/>
      <c r="I482" s="278"/>
    </row>
    <row r="483" spans="1:9">
      <c r="A483" s="336">
        <v>428</v>
      </c>
      <c r="B483" s="284">
        <f t="shared" si="26"/>
        <v>20357.904702349868</v>
      </c>
      <c r="C483" s="284">
        <f t="shared" si="27"/>
        <v>4728.8826500797531</v>
      </c>
      <c r="D483" s="284">
        <f t="shared" si="28"/>
        <v>15629.022052270115</v>
      </c>
      <c r="E483" s="284">
        <f t="shared" si="29"/>
        <v>930147.50796368043</v>
      </c>
      <c r="F483" s="283"/>
      <c r="G483" s="278"/>
      <c r="H483" s="272"/>
      <c r="I483" s="278"/>
    </row>
    <row r="484" spans="1:9">
      <c r="A484" s="336">
        <v>429</v>
      </c>
      <c r="B484" s="284">
        <f t="shared" si="26"/>
        <v>20357.904702349868</v>
      </c>
      <c r="C484" s="284">
        <f t="shared" si="27"/>
        <v>4650.7375398184022</v>
      </c>
      <c r="D484" s="284">
        <f t="shared" si="28"/>
        <v>15707.167162531467</v>
      </c>
      <c r="E484" s="284">
        <f t="shared" si="29"/>
        <v>914440.34080114891</v>
      </c>
      <c r="F484" s="283"/>
      <c r="G484" s="278"/>
      <c r="H484" s="272"/>
      <c r="I484" s="278"/>
    </row>
    <row r="485" spans="1:9">
      <c r="A485" s="336">
        <v>430</v>
      </c>
      <c r="B485" s="284">
        <f t="shared" si="26"/>
        <v>20357.904702349868</v>
      </c>
      <c r="C485" s="284">
        <f t="shared" si="27"/>
        <v>4572.2017040057444</v>
      </c>
      <c r="D485" s="284">
        <f t="shared" si="28"/>
        <v>15785.702998344124</v>
      </c>
      <c r="E485" s="284">
        <f t="shared" si="29"/>
        <v>898654.63780280482</v>
      </c>
      <c r="F485" s="283"/>
      <c r="G485" s="278"/>
      <c r="H485" s="272"/>
      <c r="I485" s="278"/>
    </row>
    <row r="486" spans="1:9">
      <c r="A486" s="336">
        <v>431</v>
      </c>
      <c r="B486" s="284">
        <f t="shared" si="26"/>
        <v>20357.904702349868</v>
      </c>
      <c r="C486" s="284">
        <f t="shared" si="27"/>
        <v>4493.2731890140249</v>
      </c>
      <c r="D486" s="284">
        <f t="shared" si="28"/>
        <v>15864.631513335844</v>
      </c>
      <c r="E486" s="284">
        <f t="shared" si="29"/>
        <v>882790.00628946896</v>
      </c>
      <c r="F486" s="283"/>
      <c r="G486" s="278"/>
      <c r="H486" s="272"/>
      <c r="I486" s="278"/>
    </row>
    <row r="487" spans="1:9">
      <c r="A487" s="336">
        <v>432</v>
      </c>
      <c r="B487" s="284">
        <f t="shared" si="26"/>
        <v>20357.904702349868</v>
      </c>
      <c r="C487" s="284">
        <f t="shared" si="27"/>
        <v>4413.9500314473453</v>
      </c>
      <c r="D487" s="284">
        <f t="shared" si="28"/>
        <v>15943.954670902524</v>
      </c>
      <c r="E487" s="284">
        <f t="shared" si="29"/>
        <v>866846.05161856639</v>
      </c>
      <c r="F487" s="283">
        <v>36</v>
      </c>
      <c r="G487" s="335"/>
      <c r="H487" s="291"/>
      <c r="I487" s="335"/>
    </row>
    <row r="488" spans="1:9">
      <c r="A488" s="336">
        <v>433</v>
      </c>
      <c r="B488" s="284">
        <f t="shared" si="26"/>
        <v>20357.904702349868</v>
      </c>
      <c r="C488" s="284">
        <f t="shared" si="27"/>
        <v>4334.2302580928326</v>
      </c>
      <c r="D488" s="284">
        <f t="shared" si="28"/>
        <v>16023.674444257034</v>
      </c>
      <c r="E488" s="284">
        <f t="shared" si="29"/>
        <v>850822.37717430934</v>
      </c>
      <c r="F488" s="283"/>
      <c r="G488" s="278"/>
      <c r="H488" s="272"/>
      <c r="I488" s="335"/>
    </row>
    <row r="489" spans="1:9">
      <c r="A489" s="336">
        <v>434</v>
      </c>
      <c r="B489" s="284">
        <f t="shared" si="26"/>
        <v>20357.904702349868</v>
      </c>
      <c r="C489" s="284">
        <f t="shared" si="27"/>
        <v>4254.1118858715472</v>
      </c>
      <c r="D489" s="284">
        <f t="shared" si="28"/>
        <v>16103.792816478321</v>
      </c>
      <c r="E489" s="284">
        <f t="shared" si="29"/>
        <v>834718.58435783105</v>
      </c>
      <c r="F489" s="283"/>
      <c r="G489" s="278"/>
      <c r="H489" s="272"/>
      <c r="I489" s="278"/>
    </row>
    <row r="490" spans="1:9">
      <c r="A490" s="336">
        <v>435</v>
      </c>
      <c r="B490" s="284">
        <f t="shared" si="26"/>
        <v>20357.904702349868</v>
      </c>
      <c r="C490" s="284">
        <f t="shared" si="27"/>
        <v>4173.5929217891553</v>
      </c>
      <c r="D490" s="284">
        <f t="shared" si="28"/>
        <v>16184.311780560713</v>
      </c>
      <c r="E490" s="284">
        <f t="shared" si="29"/>
        <v>818534.27257727028</v>
      </c>
      <c r="F490" s="283"/>
      <c r="G490" s="278"/>
      <c r="H490" s="272"/>
      <c r="I490" s="278"/>
    </row>
    <row r="491" spans="1:9">
      <c r="A491" s="336">
        <v>436</v>
      </c>
      <c r="B491" s="284">
        <f t="shared" si="26"/>
        <v>20357.904702349868</v>
      </c>
      <c r="C491" s="284">
        <f t="shared" si="27"/>
        <v>4092.6713628863513</v>
      </c>
      <c r="D491" s="284">
        <f t="shared" si="28"/>
        <v>16265.233339463517</v>
      </c>
      <c r="E491" s="284">
        <f t="shared" si="29"/>
        <v>802269.03923780681</v>
      </c>
      <c r="F491" s="283"/>
      <c r="G491" s="278"/>
      <c r="H491" s="272"/>
      <c r="I491" s="278"/>
    </row>
    <row r="492" spans="1:9">
      <c r="A492" s="336">
        <v>437</v>
      </c>
      <c r="B492" s="284">
        <f t="shared" si="26"/>
        <v>20357.904702349868</v>
      </c>
      <c r="C492" s="284">
        <f t="shared" si="27"/>
        <v>4011.3451961890346</v>
      </c>
      <c r="D492" s="284">
        <f t="shared" si="28"/>
        <v>16346.559506160833</v>
      </c>
      <c r="E492" s="284">
        <f t="shared" si="29"/>
        <v>785922.47973164602</v>
      </c>
      <c r="F492" s="283"/>
      <c r="G492" s="278"/>
      <c r="H492" s="272"/>
      <c r="I492" s="278"/>
    </row>
    <row r="493" spans="1:9">
      <c r="A493" s="336">
        <v>438</v>
      </c>
      <c r="B493" s="284">
        <f t="shared" si="26"/>
        <v>20357.904702349868</v>
      </c>
      <c r="C493" s="284">
        <f t="shared" si="27"/>
        <v>3929.6123986582302</v>
      </c>
      <c r="D493" s="284">
        <f t="shared" si="28"/>
        <v>16428.292303691636</v>
      </c>
      <c r="E493" s="284">
        <f t="shared" si="29"/>
        <v>769494.1874279544</v>
      </c>
      <c r="F493" s="283"/>
      <c r="G493" s="335"/>
      <c r="H493" s="291"/>
      <c r="I493" s="278"/>
    </row>
    <row r="494" spans="1:9">
      <c r="A494" s="336">
        <v>439</v>
      </c>
      <c r="B494" s="284">
        <f t="shared" si="26"/>
        <v>20357.904702349868</v>
      </c>
      <c r="C494" s="284">
        <f t="shared" si="27"/>
        <v>3847.4709371397726</v>
      </c>
      <c r="D494" s="284">
        <f t="shared" si="28"/>
        <v>16510.433765210095</v>
      </c>
      <c r="E494" s="284">
        <f t="shared" si="29"/>
        <v>752983.7536627443</v>
      </c>
      <c r="F494" s="283"/>
      <c r="G494" s="278"/>
      <c r="H494" s="272"/>
      <c r="I494" s="278"/>
    </row>
    <row r="495" spans="1:9">
      <c r="A495" s="336">
        <v>440</v>
      </c>
      <c r="B495" s="284">
        <f t="shared" si="26"/>
        <v>20357.904702349868</v>
      </c>
      <c r="C495" s="284">
        <f t="shared" si="27"/>
        <v>3764.918768313722</v>
      </c>
      <c r="D495" s="284">
        <f t="shared" si="28"/>
        <v>16592.985934036147</v>
      </c>
      <c r="E495" s="284">
        <f t="shared" si="29"/>
        <v>736390.7677287081</v>
      </c>
      <c r="F495" s="283"/>
      <c r="G495" s="278"/>
      <c r="H495" s="272"/>
      <c r="I495" s="278"/>
    </row>
    <row r="496" spans="1:9">
      <c r="A496" s="336">
        <v>441</v>
      </c>
      <c r="B496" s="284">
        <f t="shared" si="26"/>
        <v>20357.904702349868</v>
      </c>
      <c r="C496" s="284">
        <f t="shared" si="27"/>
        <v>3681.9538386435411</v>
      </c>
      <c r="D496" s="284">
        <f t="shared" si="28"/>
        <v>16675.950863706326</v>
      </c>
      <c r="E496" s="284">
        <f t="shared" si="29"/>
        <v>719714.81686500181</v>
      </c>
      <c r="F496" s="283"/>
      <c r="G496" s="278"/>
      <c r="H496" s="272"/>
      <c r="I496" s="278"/>
    </row>
    <row r="497" spans="1:9">
      <c r="A497" s="336">
        <v>442</v>
      </c>
      <c r="B497" s="284">
        <f t="shared" si="26"/>
        <v>20357.904702349868</v>
      </c>
      <c r="C497" s="284">
        <f t="shared" si="27"/>
        <v>3598.5740843250096</v>
      </c>
      <c r="D497" s="284">
        <f t="shared" si="28"/>
        <v>16759.330618024858</v>
      </c>
      <c r="E497" s="284">
        <f t="shared" si="29"/>
        <v>702955.486246977</v>
      </c>
      <c r="F497" s="283"/>
      <c r="G497" s="278"/>
      <c r="H497" s="272"/>
      <c r="I497" s="278"/>
    </row>
    <row r="498" spans="1:9">
      <c r="A498" s="336">
        <v>443</v>
      </c>
      <c r="B498" s="284">
        <f t="shared" si="26"/>
        <v>20357.904702349868</v>
      </c>
      <c r="C498" s="284">
        <f t="shared" si="27"/>
        <v>3514.7774312348852</v>
      </c>
      <c r="D498" s="284">
        <f t="shared" si="28"/>
        <v>16843.127271114983</v>
      </c>
      <c r="E498" s="284">
        <f t="shared" si="29"/>
        <v>686112.35897586204</v>
      </c>
      <c r="F498" s="283"/>
      <c r="G498" s="278"/>
      <c r="H498" s="272"/>
      <c r="I498" s="278"/>
    </row>
    <row r="499" spans="1:9">
      <c r="A499" s="336">
        <v>444</v>
      </c>
      <c r="B499" s="284">
        <f t="shared" si="26"/>
        <v>20357.904702349868</v>
      </c>
      <c r="C499" s="284">
        <f t="shared" si="27"/>
        <v>3430.5617948793101</v>
      </c>
      <c r="D499" s="284">
        <f t="shared" si="28"/>
        <v>16927.342907470556</v>
      </c>
      <c r="E499" s="284">
        <f t="shared" si="29"/>
        <v>669185.0160683915</v>
      </c>
      <c r="F499" s="283">
        <v>37</v>
      </c>
      <c r="G499" s="335"/>
      <c r="H499" s="291"/>
      <c r="I499" s="335"/>
    </row>
    <row r="500" spans="1:9">
      <c r="A500" s="336">
        <v>445</v>
      </c>
      <c r="B500" s="284">
        <f t="shared" si="26"/>
        <v>20357.904702349868</v>
      </c>
      <c r="C500" s="284">
        <f t="shared" si="27"/>
        <v>3345.9250803419577</v>
      </c>
      <c r="D500" s="284">
        <f t="shared" si="28"/>
        <v>17011.979622007912</v>
      </c>
      <c r="E500" s="284">
        <f t="shared" si="29"/>
        <v>652173.03644638357</v>
      </c>
      <c r="F500" s="283"/>
      <c r="G500" s="278"/>
      <c r="H500" s="272"/>
      <c r="I500" s="335"/>
    </row>
    <row r="501" spans="1:9">
      <c r="A501" s="336">
        <v>446</v>
      </c>
      <c r="B501" s="284">
        <f t="shared" si="26"/>
        <v>20357.904702349868</v>
      </c>
      <c r="C501" s="284">
        <f t="shared" si="27"/>
        <v>3260.8651822319184</v>
      </c>
      <c r="D501" s="284">
        <f t="shared" si="28"/>
        <v>17097.039520117949</v>
      </c>
      <c r="E501" s="284">
        <f t="shared" si="29"/>
        <v>635075.99692626565</v>
      </c>
      <c r="F501" s="283"/>
      <c r="G501" s="278"/>
      <c r="H501" s="272"/>
      <c r="I501" s="278"/>
    </row>
    <row r="502" spans="1:9">
      <c r="A502" s="336">
        <v>447</v>
      </c>
      <c r="B502" s="284">
        <f t="shared" si="26"/>
        <v>20357.904702349868</v>
      </c>
      <c r="C502" s="284">
        <f t="shared" si="27"/>
        <v>3175.3799846313286</v>
      </c>
      <c r="D502" s="284">
        <f t="shared" si="28"/>
        <v>17182.524717718537</v>
      </c>
      <c r="E502" s="284">
        <f t="shared" si="29"/>
        <v>617893.47220854717</v>
      </c>
      <c r="F502" s="283"/>
      <c r="G502" s="278"/>
      <c r="H502" s="272"/>
      <c r="I502" s="278"/>
    </row>
    <row r="503" spans="1:9">
      <c r="A503" s="336">
        <v>448</v>
      </c>
      <c r="B503" s="284">
        <f t="shared" si="26"/>
        <v>20357.904702349868</v>
      </c>
      <c r="C503" s="284">
        <f t="shared" si="27"/>
        <v>3089.4673610427362</v>
      </c>
      <c r="D503" s="284">
        <f t="shared" si="28"/>
        <v>17268.43734130713</v>
      </c>
      <c r="E503" s="284">
        <f t="shared" si="29"/>
        <v>600625.03486724</v>
      </c>
      <c r="F503" s="283"/>
      <c r="G503" s="278"/>
      <c r="H503" s="272"/>
      <c r="I503" s="278"/>
    </row>
    <row r="504" spans="1:9">
      <c r="A504" s="336">
        <v>449</v>
      </c>
      <c r="B504" s="284">
        <f t="shared" ref="B504:B535" si="30">IF(A504&gt;12*$D$14,0,$D$20)</f>
        <v>20357.904702349868</v>
      </c>
      <c r="C504" s="284">
        <f t="shared" ref="C504:C535" si="31">IF(A504&gt;12*$D$14,0,E503*$D$10/12)</f>
        <v>3003.1251743362004</v>
      </c>
      <c r="D504" s="284">
        <f t="shared" ref="D504:D535" si="32">IF(A504&gt;12*$D$14,0,B504-C504)</f>
        <v>17354.779528013667</v>
      </c>
      <c r="E504" s="284">
        <f t="shared" ref="E504:E535" si="33">IF(A504&gt;12*$D$14,0,E503-D504)</f>
        <v>583270.25533922634</v>
      </c>
      <c r="F504" s="283"/>
      <c r="G504" s="278"/>
      <c r="H504" s="272"/>
      <c r="I504" s="278"/>
    </row>
    <row r="505" spans="1:9">
      <c r="A505" s="336">
        <v>450</v>
      </c>
      <c r="B505" s="284">
        <f t="shared" si="30"/>
        <v>20357.904702349868</v>
      </c>
      <c r="C505" s="284">
        <f t="shared" si="31"/>
        <v>2916.3512766961321</v>
      </c>
      <c r="D505" s="284">
        <f t="shared" si="32"/>
        <v>17441.553425653736</v>
      </c>
      <c r="E505" s="284">
        <f t="shared" si="33"/>
        <v>565828.70191357262</v>
      </c>
      <c r="F505" s="283"/>
      <c r="G505" s="335"/>
      <c r="H505" s="291"/>
      <c r="I505" s="278"/>
    </row>
    <row r="506" spans="1:9">
      <c r="A506" s="336">
        <v>451</v>
      </c>
      <c r="B506" s="284">
        <f t="shared" si="30"/>
        <v>20357.904702349868</v>
      </c>
      <c r="C506" s="284">
        <f t="shared" si="31"/>
        <v>2829.143509567863</v>
      </c>
      <c r="D506" s="284">
        <f t="shared" si="32"/>
        <v>17528.761192782003</v>
      </c>
      <c r="E506" s="284">
        <f t="shared" si="33"/>
        <v>548299.94072079065</v>
      </c>
      <c r="F506" s="283"/>
      <c r="G506" s="278"/>
      <c r="H506" s="272"/>
      <c r="I506" s="278"/>
    </row>
    <row r="507" spans="1:9">
      <c r="A507" s="336">
        <v>452</v>
      </c>
      <c r="B507" s="284">
        <f t="shared" si="30"/>
        <v>20357.904702349868</v>
      </c>
      <c r="C507" s="284">
        <f t="shared" si="31"/>
        <v>2741.4997036039535</v>
      </c>
      <c r="D507" s="284">
        <f t="shared" si="32"/>
        <v>17616.404998745915</v>
      </c>
      <c r="E507" s="284">
        <f t="shared" si="33"/>
        <v>530683.53572204476</v>
      </c>
      <c r="F507" s="283"/>
      <c r="G507" s="278"/>
      <c r="H507" s="272"/>
      <c r="I507" s="278"/>
    </row>
    <row r="508" spans="1:9">
      <c r="A508" s="336">
        <v>453</v>
      </c>
      <c r="B508" s="284">
        <f t="shared" si="30"/>
        <v>20357.904702349868</v>
      </c>
      <c r="C508" s="284">
        <f t="shared" si="31"/>
        <v>2653.4176786102239</v>
      </c>
      <c r="D508" s="284">
        <f t="shared" si="32"/>
        <v>17704.487023739643</v>
      </c>
      <c r="E508" s="284">
        <f t="shared" si="33"/>
        <v>512979.04869830509</v>
      </c>
      <c r="F508" s="283"/>
      <c r="G508" s="278"/>
      <c r="H508" s="272"/>
      <c r="I508" s="278"/>
    </row>
    <row r="509" spans="1:9">
      <c r="A509" s="336">
        <v>454</v>
      </c>
      <c r="B509" s="284">
        <f t="shared" si="30"/>
        <v>20357.904702349868</v>
      </c>
      <c r="C509" s="284">
        <f t="shared" si="31"/>
        <v>2564.8952434915259</v>
      </c>
      <c r="D509" s="284">
        <f t="shared" si="32"/>
        <v>17793.009458858342</v>
      </c>
      <c r="E509" s="284">
        <f t="shared" si="33"/>
        <v>495186.03923944675</v>
      </c>
      <c r="F509" s="283"/>
      <c r="G509" s="278"/>
      <c r="H509" s="272"/>
      <c r="I509" s="278"/>
    </row>
    <row r="510" spans="1:9">
      <c r="A510" s="336">
        <v>455</v>
      </c>
      <c r="B510" s="284">
        <f t="shared" si="30"/>
        <v>20357.904702349868</v>
      </c>
      <c r="C510" s="284">
        <f t="shared" si="31"/>
        <v>2475.9301961972337</v>
      </c>
      <c r="D510" s="284">
        <f t="shared" si="32"/>
        <v>17881.974506152634</v>
      </c>
      <c r="E510" s="284">
        <f t="shared" si="33"/>
        <v>477304.06473329413</v>
      </c>
      <c r="F510" s="283"/>
      <c r="G510" s="278"/>
      <c r="H510" s="272"/>
      <c r="I510" s="278"/>
    </row>
    <row r="511" spans="1:9">
      <c r="A511" s="336">
        <v>456</v>
      </c>
      <c r="B511" s="284">
        <f t="shared" si="30"/>
        <v>20357.904702349868</v>
      </c>
      <c r="C511" s="284">
        <f t="shared" si="31"/>
        <v>2386.5203236664706</v>
      </c>
      <c r="D511" s="284">
        <f t="shared" si="32"/>
        <v>17971.384378683397</v>
      </c>
      <c r="E511" s="284">
        <f t="shared" si="33"/>
        <v>459332.68035461073</v>
      </c>
      <c r="F511" s="285">
        <v>38</v>
      </c>
      <c r="G511" s="278"/>
      <c r="H511" s="272"/>
      <c r="I511" s="278"/>
    </row>
    <row r="512" spans="1:9">
      <c r="A512" s="336">
        <v>457</v>
      </c>
      <c r="B512" s="284">
        <f t="shared" si="30"/>
        <v>20357.904702349868</v>
      </c>
      <c r="C512" s="284">
        <f t="shared" si="31"/>
        <v>2296.6634017730539</v>
      </c>
      <c r="D512" s="284">
        <f t="shared" si="32"/>
        <v>18061.241300576814</v>
      </c>
      <c r="E512" s="284">
        <f t="shared" si="33"/>
        <v>441271.43905403389</v>
      </c>
      <c r="F512" s="283"/>
      <c r="G512" s="278"/>
      <c r="H512" s="272"/>
      <c r="I512" s="278"/>
    </row>
    <row r="513" spans="1:9">
      <c r="A513" s="336">
        <v>458</v>
      </c>
      <c r="B513" s="284">
        <f t="shared" si="30"/>
        <v>20357.904702349868</v>
      </c>
      <c r="C513" s="284">
        <f t="shared" si="31"/>
        <v>2206.3571952701695</v>
      </c>
      <c r="D513" s="284">
        <f t="shared" si="32"/>
        <v>18151.547507079697</v>
      </c>
      <c r="E513" s="284">
        <f t="shared" si="33"/>
        <v>423119.89154695417</v>
      </c>
      <c r="F513" s="283"/>
      <c r="G513" s="278"/>
      <c r="H513" s="272"/>
      <c r="I513" s="278"/>
    </row>
    <row r="514" spans="1:9">
      <c r="A514" s="336">
        <v>459</v>
      </c>
      <c r="B514" s="284">
        <f t="shared" si="30"/>
        <v>20357.904702349868</v>
      </c>
      <c r="C514" s="284">
        <f t="shared" si="31"/>
        <v>2115.599457734771</v>
      </c>
      <c r="D514" s="284">
        <f t="shared" si="32"/>
        <v>18242.305244615098</v>
      </c>
      <c r="E514" s="284">
        <f t="shared" si="33"/>
        <v>404877.5863023391</v>
      </c>
      <c r="F514" s="283"/>
      <c r="G514" s="278"/>
      <c r="H514" s="272"/>
      <c r="I514" s="278"/>
    </row>
    <row r="515" spans="1:9">
      <c r="A515" s="336">
        <v>460</v>
      </c>
      <c r="B515" s="284">
        <f t="shared" si="30"/>
        <v>20357.904702349868</v>
      </c>
      <c r="C515" s="284">
        <f t="shared" si="31"/>
        <v>2024.3879315116956</v>
      </c>
      <c r="D515" s="284">
        <f t="shared" si="32"/>
        <v>18333.51677083817</v>
      </c>
      <c r="E515" s="284">
        <f t="shared" si="33"/>
        <v>386544.06953150092</v>
      </c>
      <c r="F515" s="283"/>
      <c r="G515" s="278"/>
      <c r="H515" s="272"/>
      <c r="I515" s="278"/>
    </row>
    <row r="516" spans="1:9">
      <c r="A516" s="336">
        <v>461</v>
      </c>
      <c r="B516" s="284">
        <f t="shared" si="30"/>
        <v>20357.904702349868</v>
      </c>
      <c r="C516" s="284">
        <f t="shared" si="31"/>
        <v>1932.7203476575048</v>
      </c>
      <c r="D516" s="284">
        <f t="shared" si="32"/>
        <v>18425.184354692363</v>
      </c>
      <c r="E516" s="284">
        <f t="shared" si="33"/>
        <v>368118.88517680857</v>
      </c>
      <c r="F516" s="283"/>
      <c r="G516" s="278"/>
      <c r="H516" s="272"/>
      <c r="I516" s="278"/>
    </row>
    <row r="517" spans="1:9">
      <c r="A517" s="336">
        <v>462</v>
      </c>
      <c r="B517" s="284">
        <f t="shared" si="30"/>
        <v>20357.904702349868</v>
      </c>
      <c r="C517" s="284">
        <f t="shared" si="31"/>
        <v>1840.5944258840429</v>
      </c>
      <c r="D517" s="284">
        <f t="shared" si="32"/>
        <v>18517.310276465825</v>
      </c>
      <c r="E517" s="284">
        <f t="shared" si="33"/>
        <v>349601.57490034273</v>
      </c>
      <c r="F517" s="283"/>
      <c r="G517" s="278"/>
      <c r="H517" s="272"/>
      <c r="I517" s="278"/>
    </row>
    <row r="518" spans="1:9">
      <c r="A518" s="336">
        <v>463</v>
      </c>
      <c r="B518" s="284">
        <f t="shared" si="30"/>
        <v>20357.904702349868</v>
      </c>
      <c r="C518" s="284">
        <f t="shared" si="31"/>
        <v>1748.0078745017138</v>
      </c>
      <c r="D518" s="284">
        <f t="shared" si="32"/>
        <v>18609.896827848155</v>
      </c>
      <c r="E518" s="284">
        <f t="shared" si="33"/>
        <v>330991.67807249457</v>
      </c>
      <c r="F518" s="283"/>
      <c r="G518" s="278"/>
      <c r="H518" s="272"/>
      <c r="I518" s="278"/>
    </row>
    <row r="519" spans="1:9">
      <c r="A519" s="336">
        <v>464</v>
      </c>
      <c r="B519" s="284">
        <f t="shared" si="30"/>
        <v>20357.904702349868</v>
      </c>
      <c r="C519" s="284">
        <f t="shared" si="31"/>
        <v>1654.9583903624732</v>
      </c>
      <c r="D519" s="284">
        <f t="shared" si="32"/>
        <v>18702.946311987394</v>
      </c>
      <c r="E519" s="284">
        <f t="shared" si="33"/>
        <v>312288.73176050716</v>
      </c>
      <c r="F519" s="283"/>
      <c r="G519" s="278"/>
      <c r="H519" s="272"/>
      <c r="I519" s="278"/>
    </row>
    <row r="520" spans="1:9">
      <c r="A520" s="336">
        <v>465</v>
      </c>
      <c r="B520" s="284">
        <f t="shared" si="30"/>
        <v>20357.904702349868</v>
      </c>
      <c r="C520" s="284">
        <f t="shared" si="31"/>
        <v>1561.4436588025358</v>
      </c>
      <c r="D520" s="284">
        <f t="shared" si="32"/>
        <v>18796.461043547333</v>
      </c>
      <c r="E520" s="284">
        <f t="shared" si="33"/>
        <v>293492.27071695984</v>
      </c>
      <c r="F520" s="283"/>
      <c r="G520" s="278"/>
      <c r="H520" s="272"/>
      <c r="I520" s="278"/>
    </row>
    <row r="521" spans="1:9">
      <c r="A521" s="336">
        <v>466</v>
      </c>
      <c r="B521" s="284">
        <f t="shared" si="30"/>
        <v>20357.904702349868</v>
      </c>
      <c r="C521" s="284">
        <f t="shared" si="31"/>
        <v>1467.4613535847993</v>
      </c>
      <c r="D521" s="284">
        <f t="shared" si="32"/>
        <v>18890.443348765068</v>
      </c>
      <c r="E521" s="284">
        <f t="shared" si="33"/>
        <v>274601.82736819476</v>
      </c>
      <c r="F521" s="283"/>
      <c r="G521" s="278"/>
      <c r="H521" s="272"/>
      <c r="I521" s="278"/>
    </row>
    <row r="522" spans="1:9">
      <c r="A522" s="336">
        <v>467</v>
      </c>
      <c r="B522" s="284">
        <f t="shared" si="30"/>
        <v>20357.904702349868</v>
      </c>
      <c r="C522" s="284">
        <f t="shared" si="31"/>
        <v>1373.009136840974</v>
      </c>
      <c r="D522" s="284">
        <f t="shared" si="32"/>
        <v>18984.895565508894</v>
      </c>
      <c r="E522" s="284">
        <f t="shared" si="33"/>
        <v>255616.93180268587</v>
      </c>
      <c r="F522" s="283"/>
      <c r="G522" s="278"/>
      <c r="H522" s="272"/>
      <c r="I522" s="278"/>
    </row>
    <row r="523" spans="1:9">
      <c r="A523" s="336">
        <v>468</v>
      </c>
      <c r="B523" s="284">
        <f t="shared" si="30"/>
        <v>20357.904702349868</v>
      </c>
      <c r="C523" s="284">
        <f t="shared" si="31"/>
        <v>1278.0846590134295</v>
      </c>
      <c r="D523" s="284">
        <f t="shared" si="32"/>
        <v>19079.82004333644</v>
      </c>
      <c r="E523" s="284">
        <f t="shared" si="33"/>
        <v>236537.11175934941</v>
      </c>
      <c r="F523" s="283">
        <v>39</v>
      </c>
      <c r="G523" s="278"/>
      <c r="H523" s="272"/>
      <c r="I523" s="278"/>
    </row>
    <row r="524" spans="1:9">
      <c r="A524" s="336">
        <v>469</v>
      </c>
      <c r="B524" s="284">
        <f t="shared" si="30"/>
        <v>20357.904702349868</v>
      </c>
      <c r="C524" s="284">
        <f t="shared" si="31"/>
        <v>1182.6855587967473</v>
      </c>
      <c r="D524" s="284">
        <f t="shared" si="32"/>
        <v>19175.21914355312</v>
      </c>
      <c r="E524" s="284">
        <f t="shared" si="33"/>
        <v>217361.8926157963</v>
      </c>
      <c r="F524" s="283"/>
      <c r="G524" s="278"/>
      <c r="H524" s="272"/>
      <c r="I524" s="278"/>
    </row>
    <row r="525" spans="1:9">
      <c r="A525" s="336">
        <v>470</v>
      </c>
      <c r="B525" s="284">
        <f t="shared" si="30"/>
        <v>20357.904702349868</v>
      </c>
      <c r="C525" s="284">
        <f t="shared" si="31"/>
        <v>1086.8094630789817</v>
      </c>
      <c r="D525" s="284">
        <f t="shared" si="32"/>
        <v>19271.095239270886</v>
      </c>
      <c r="E525" s="284">
        <f t="shared" si="33"/>
        <v>198090.79737652541</v>
      </c>
      <c r="F525" s="283"/>
      <c r="G525" s="278"/>
      <c r="H525" s="272"/>
      <c r="I525" s="278"/>
    </row>
    <row r="526" spans="1:9">
      <c r="A526" s="336">
        <v>471</v>
      </c>
      <c r="B526" s="284">
        <f t="shared" si="30"/>
        <v>20357.904702349868</v>
      </c>
      <c r="C526" s="284">
        <f t="shared" si="31"/>
        <v>990.45398688262719</v>
      </c>
      <c r="D526" s="284">
        <f t="shared" si="32"/>
        <v>19367.450715467239</v>
      </c>
      <c r="E526" s="284">
        <f t="shared" si="33"/>
        <v>178723.34666105817</v>
      </c>
      <c r="F526" s="283"/>
      <c r="G526" s="278"/>
      <c r="H526" s="272"/>
      <c r="I526" s="278"/>
    </row>
    <row r="527" spans="1:9">
      <c r="A527" s="336">
        <v>472</v>
      </c>
      <c r="B527" s="284">
        <f t="shared" si="30"/>
        <v>20357.904702349868</v>
      </c>
      <c r="C527" s="284">
        <f t="shared" si="31"/>
        <v>893.61673330529084</v>
      </c>
      <c r="D527" s="284">
        <f t="shared" si="32"/>
        <v>19464.287969044577</v>
      </c>
      <c r="E527" s="284">
        <f t="shared" si="33"/>
        <v>159259.05869201358</v>
      </c>
      <c r="F527" s="283"/>
      <c r="G527" s="278"/>
      <c r="H527" s="272"/>
      <c r="I527" s="278"/>
    </row>
    <row r="528" spans="1:9">
      <c r="A528" s="336">
        <v>473</v>
      </c>
      <c r="B528" s="284">
        <f t="shared" si="30"/>
        <v>20357.904702349868</v>
      </c>
      <c r="C528" s="284">
        <f t="shared" si="31"/>
        <v>796.29529346006802</v>
      </c>
      <c r="D528" s="284">
        <f t="shared" si="32"/>
        <v>19561.609408889799</v>
      </c>
      <c r="E528" s="284">
        <f t="shared" si="33"/>
        <v>139697.44928312377</v>
      </c>
      <c r="F528" s="283"/>
      <c r="G528" s="278"/>
      <c r="H528" s="272"/>
      <c r="I528" s="278"/>
    </row>
    <row r="529" spans="1:9">
      <c r="A529" s="336">
        <v>474</v>
      </c>
      <c r="B529" s="284">
        <f t="shared" si="30"/>
        <v>20357.904702349868</v>
      </c>
      <c r="C529" s="284">
        <f t="shared" si="31"/>
        <v>698.48724641561887</v>
      </c>
      <c r="D529" s="284">
        <f t="shared" si="32"/>
        <v>19659.41745593425</v>
      </c>
      <c r="E529" s="284">
        <f t="shared" si="33"/>
        <v>120038.03182718952</v>
      </c>
      <c r="F529" s="283"/>
      <c r="G529" s="278"/>
      <c r="H529" s="272"/>
      <c r="I529" s="278"/>
    </row>
    <row r="530" spans="1:9">
      <c r="A530" s="336">
        <v>475</v>
      </c>
      <c r="B530" s="284">
        <f t="shared" si="30"/>
        <v>20357.904702349868</v>
      </c>
      <c r="C530" s="284">
        <f t="shared" si="31"/>
        <v>600.19015913594774</v>
      </c>
      <c r="D530" s="284">
        <f t="shared" si="32"/>
        <v>19757.714543213919</v>
      </c>
      <c r="E530" s="284">
        <f t="shared" si="33"/>
        <v>100280.3172839756</v>
      </c>
      <c r="F530" s="283"/>
      <c r="G530" s="278"/>
      <c r="H530" s="272"/>
      <c r="I530" s="278"/>
    </row>
    <row r="531" spans="1:9">
      <c r="A531" s="336">
        <v>476</v>
      </c>
      <c r="B531" s="284">
        <f t="shared" si="30"/>
        <v>20357.904702349868</v>
      </c>
      <c r="C531" s="284">
        <f t="shared" si="31"/>
        <v>501.40158641987802</v>
      </c>
      <c r="D531" s="284">
        <f t="shared" si="32"/>
        <v>19856.503115929991</v>
      </c>
      <c r="E531" s="284">
        <f t="shared" si="33"/>
        <v>80423.814168045617</v>
      </c>
      <c r="F531" s="283"/>
      <c r="G531" s="278"/>
      <c r="H531" s="272"/>
      <c r="I531" s="278"/>
    </row>
    <row r="532" spans="1:9">
      <c r="A532" s="336">
        <v>477</v>
      </c>
      <c r="B532" s="284">
        <f t="shared" si="30"/>
        <v>20357.904702349868</v>
      </c>
      <c r="C532" s="284">
        <f t="shared" si="31"/>
        <v>402.11907084022806</v>
      </c>
      <c r="D532" s="284">
        <f t="shared" si="32"/>
        <v>19955.78563150964</v>
      </c>
      <c r="E532" s="284">
        <f t="shared" si="33"/>
        <v>60468.028536535974</v>
      </c>
      <c r="F532" s="283"/>
      <c r="G532" s="278"/>
      <c r="H532" s="272"/>
      <c r="I532" s="278"/>
    </row>
    <row r="533" spans="1:9">
      <c r="A533" s="336">
        <v>478</v>
      </c>
      <c r="B533" s="284">
        <f t="shared" si="30"/>
        <v>20357.904702349868</v>
      </c>
      <c r="C533" s="284">
        <f t="shared" si="31"/>
        <v>302.34014268267987</v>
      </c>
      <c r="D533" s="284">
        <f t="shared" si="32"/>
        <v>20055.564559667189</v>
      </c>
      <c r="E533" s="284">
        <f t="shared" si="33"/>
        <v>40412.463976868785</v>
      </c>
      <c r="F533" s="283"/>
      <c r="G533" s="278"/>
      <c r="H533" s="272"/>
      <c r="I533" s="278"/>
    </row>
    <row r="534" spans="1:9">
      <c r="A534" s="336">
        <v>479</v>
      </c>
      <c r="B534" s="284">
        <f t="shared" si="30"/>
        <v>20357.904702349868</v>
      </c>
      <c r="C534" s="284">
        <f t="shared" si="31"/>
        <v>202.06231988434396</v>
      </c>
      <c r="D534" s="284">
        <f t="shared" si="32"/>
        <v>20155.842382465526</v>
      </c>
      <c r="E534" s="284">
        <f t="shared" si="33"/>
        <v>20256.621594403259</v>
      </c>
      <c r="F534" s="283"/>
      <c r="G534" s="278"/>
      <c r="H534" s="272"/>
      <c r="I534" s="278"/>
    </row>
    <row r="535" spans="1:9">
      <c r="A535" s="336">
        <v>480</v>
      </c>
      <c r="B535" s="284">
        <f t="shared" si="30"/>
        <v>20357.904702349868</v>
      </c>
      <c r="C535" s="284">
        <f t="shared" si="31"/>
        <v>101.2831079720163</v>
      </c>
      <c r="D535" s="284">
        <f t="shared" si="32"/>
        <v>20256.621594377852</v>
      </c>
      <c r="E535" s="284">
        <f t="shared" si="33"/>
        <v>2.5407643988728523E-8</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zoomScaleNormal="85" zoomScaleSheetLayoutView="90" workbookViewId="0">
      <selection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2011-013 Ashley Auburn Pointe II , Atlanta, Fulton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950</v>
      </c>
      <c r="B5" s="461" t="s">
        <v>1494</v>
      </c>
      <c r="H5" s="721"/>
      <c r="I5" s="721"/>
      <c r="J5" s="895" t="s">
        <v>359</v>
      </c>
      <c r="K5" s="896"/>
      <c r="L5" s="522"/>
      <c r="M5" s="943" t="s">
        <v>720</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3079</v>
      </c>
      <c r="G8" s="1393">
        <v>9000</v>
      </c>
      <c r="H8" s="1394"/>
      <c r="J8" s="1393">
        <v>9000</v>
      </c>
      <c r="K8" s="1394"/>
      <c r="L8" s="732"/>
      <c r="M8" s="1393"/>
      <c r="N8" s="1394"/>
      <c r="P8" s="1393"/>
      <c r="Q8" s="1394"/>
      <c r="S8" s="1393"/>
      <c r="T8" s="1394"/>
    </row>
    <row r="9" spans="1:21" s="458" customFormat="1" ht="12.6" customHeight="1">
      <c r="B9" s="458" t="s">
        <v>671</v>
      </c>
      <c r="G9" s="1393">
        <v>6500</v>
      </c>
      <c r="H9" s="1394"/>
      <c r="J9" s="1393">
        <v>6500</v>
      </c>
      <c r="K9" s="1394"/>
      <c r="L9" s="732"/>
      <c r="M9" s="1393"/>
      <c r="N9" s="1394"/>
      <c r="P9" s="1393"/>
      <c r="Q9" s="1394"/>
      <c r="S9" s="1393"/>
      <c r="T9" s="1394"/>
    </row>
    <row r="10" spans="1:21" s="458" customFormat="1" ht="12.6" customHeight="1">
      <c r="B10" s="458" t="s">
        <v>717</v>
      </c>
      <c r="G10" s="1393">
        <v>20000</v>
      </c>
      <c r="H10" s="1394"/>
      <c r="J10" s="1393">
        <v>20000</v>
      </c>
      <c r="K10" s="1394"/>
      <c r="L10" s="732"/>
      <c r="M10" s="1393"/>
      <c r="N10" s="1394"/>
      <c r="P10" s="1393"/>
      <c r="Q10" s="1394"/>
      <c r="S10" s="1393"/>
      <c r="T10" s="1394"/>
    </row>
    <row r="11" spans="1:21" s="458" customFormat="1" ht="12.6" customHeight="1">
      <c r="B11" s="458" t="s">
        <v>718</v>
      </c>
      <c r="G11" s="1393">
        <v>30000</v>
      </c>
      <c r="H11" s="1394"/>
      <c r="J11" s="1393">
        <v>30000</v>
      </c>
      <c r="K11" s="1394"/>
      <c r="L11" s="732"/>
      <c r="M11" s="1393"/>
      <c r="N11" s="1394"/>
      <c r="P11" s="1393"/>
      <c r="Q11" s="1394"/>
      <c r="S11" s="1393"/>
      <c r="T11" s="1394"/>
    </row>
    <row r="12" spans="1:21" s="458" customFormat="1" ht="12.6" customHeight="1">
      <c r="B12" s="458" t="s">
        <v>3779</v>
      </c>
      <c r="G12" s="1393">
        <v>30000</v>
      </c>
      <c r="H12" s="1394"/>
      <c r="J12" s="1393">
        <v>30000</v>
      </c>
      <c r="K12" s="1394"/>
      <c r="L12" s="732"/>
      <c r="M12" s="1393"/>
      <c r="N12" s="1394"/>
      <c r="P12" s="1393"/>
      <c r="Q12" s="1394"/>
      <c r="S12" s="1393"/>
      <c r="T12" s="1394"/>
    </row>
    <row r="13" spans="1:21" s="458" customFormat="1" ht="12.6" customHeight="1">
      <c r="B13" s="458" t="s">
        <v>248</v>
      </c>
      <c r="G13" s="1393">
        <v>5000</v>
      </c>
      <c r="H13" s="1394"/>
      <c r="J13" s="1393">
        <v>5000</v>
      </c>
      <c r="K13" s="1394"/>
      <c r="L13" s="732"/>
      <c r="M13" s="1393"/>
      <c r="N13" s="1394"/>
      <c r="P13" s="1393"/>
      <c r="Q13" s="1394"/>
      <c r="S13" s="1393"/>
      <c r="T13" s="1394"/>
    </row>
    <row r="14" spans="1:21" s="458" customFormat="1" ht="12.6" customHeight="1">
      <c r="A14" s="562" t="str">
        <f>IF(AND(G14&gt;0,OR(C14="",C14="&lt;Enter detailed description here; use Comments section if needed&gt;")),"X","")</f>
        <v/>
      </c>
      <c r="B14" s="458" t="s">
        <v>1230</v>
      </c>
      <c r="C14" s="1395" t="s">
        <v>3956</v>
      </c>
      <c r="D14" s="1395"/>
      <c r="E14" s="1395"/>
      <c r="F14" s="1396"/>
      <c r="G14" s="1393">
        <v>15695</v>
      </c>
      <c r="H14" s="1394"/>
      <c r="J14" s="1393">
        <v>15695</v>
      </c>
      <c r="K14" s="1394"/>
      <c r="L14" s="732"/>
      <c r="M14" s="1393"/>
      <c r="N14" s="1394"/>
      <c r="P14" s="1393"/>
      <c r="Q14" s="1394"/>
      <c r="S14" s="1393"/>
      <c r="T14" s="139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5" t="s">
        <v>4017</v>
      </c>
      <c r="D15" s="1395"/>
      <c r="E15" s="1395"/>
      <c r="F15" s="1396"/>
      <c r="G15" s="1393">
        <v>402956</v>
      </c>
      <c r="H15" s="1394"/>
      <c r="J15" s="1393">
        <v>25055</v>
      </c>
      <c r="K15" s="1394"/>
      <c r="L15" s="732"/>
      <c r="M15" s="1393"/>
      <c r="N15" s="1394"/>
      <c r="P15" s="1393"/>
      <c r="Q15" s="1394"/>
      <c r="S15" s="1393">
        <v>377901</v>
      </c>
      <c r="T15" s="139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5"/>
      <c r="D16" s="1395"/>
      <c r="E16" s="1395"/>
      <c r="F16" s="1396"/>
      <c r="G16" s="1393"/>
      <c r="H16" s="1394"/>
      <c r="J16" s="1397"/>
      <c r="K16" s="1398"/>
      <c r="L16" s="732"/>
      <c r="M16" s="1393"/>
      <c r="N16" s="1394"/>
      <c r="P16" s="1393"/>
      <c r="Q16" s="1394"/>
      <c r="S16" s="1397"/>
      <c r="T16" s="1398"/>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519151</v>
      </c>
      <c r="H17" s="900"/>
      <c r="J17" s="899">
        <f>SUM(J8:K16)</f>
        <v>141250</v>
      </c>
      <c r="K17" s="947"/>
      <c r="L17" s="732"/>
      <c r="M17" s="899">
        <f>SUM(M8:N16)</f>
        <v>0</v>
      </c>
      <c r="N17" s="900"/>
      <c r="P17" s="899">
        <f>SUM(P8:Q16)</f>
        <v>0</v>
      </c>
      <c r="Q17" s="900"/>
      <c r="S17" s="899">
        <f>SUM(S8:T16)</f>
        <v>377901</v>
      </c>
      <c r="T17" s="900"/>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393"/>
      <c r="H19" s="1394"/>
      <c r="J19" s="525"/>
      <c r="K19" s="522"/>
      <c r="L19" s="525"/>
      <c r="M19" s="525"/>
      <c r="N19" s="522"/>
      <c r="P19" s="525"/>
      <c r="Q19" s="522"/>
      <c r="S19" s="1393"/>
      <c r="T19" s="1394"/>
    </row>
    <row r="20" spans="2:20" s="458" customFormat="1" ht="12.6" customHeight="1">
      <c r="B20" s="458" t="s">
        <v>1750</v>
      </c>
      <c r="G20" s="1393"/>
      <c r="H20" s="1394"/>
      <c r="J20" s="525"/>
      <c r="K20" s="522"/>
      <c r="L20" s="525"/>
      <c r="M20" s="525"/>
      <c r="N20" s="522"/>
      <c r="P20" s="525"/>
      <c r="Q20" s="522"/>
      <c r="S20" s="1393"/>
      <c r="T20" s="1394"/>
    </row>
    <row r="21" spans="2:20" s="458" customFormat="1" ht="12.6" customHeight="1">
      <c r="B21" s="458" t="s">
        <v>672</v>
      </c>
      <c r="G21" s="1393"/>
      <c r="H21" s="1394"/>
      <c r="J21" s="525"/>
      <c r="K21" s="522"/>
      <c r="L21" s="525"/>
      <c r="M21" s="1393"/>
      <c r="N21" s="1394"/>
      <c r="P21" s="525"/>
      <c r="Q21" s="522"/>
      <c r="S21" s="1393"/>
      <c r="T21" s="1394"/>
    </row>
    <row r="22" spans="2:20" s="458" customFormat="1" ht="12.6" customHeight="1" thickBot="1">
      <c r="B22" s="458" t="s">
        <v>637</v>
      </c>
      <c r="G22" s="1399"/>
      <c r="H22" s="1400"/>
      <c r="J22" s="525"/>
      <c r="K22" s="522"/>
      <c r="L22" s="525"/>
      <c r="M22" s="1399"/>
      <c r="N22" s="1400"/>
      <c r="P22" s="525"/>
      <c r="Q22" s="522"/>
      <c r="S22" s="1393"/>
      <c r="T22" s="1394"/>
    </row>
    <row r="23" spans="2:20" s="458" customFormat="1" ht="12.6" customHeight="1" thickTop="1">
      <c r="F23" s="523" t="s">
        <v>249</v>
      </c>
      <c r="G23" s="899">
        <f>SUM(G19:H22)</f>
        <v>0</v>
      </c>
      <c r="H23" s="900"/>
      <c r="J23" s="525"/>
      <c r="K23" s="522"/>
      <c r="L23" s="525"/>
      <c r="M23" s="899">
        <f>SUM(M21:N22)</f>
        <v>0</v>
      </c>
      <c r="N23" s="900"/>
      <c r="P23" s="525"/>
      <c r="Q23" s="522"/>
      <c r="S23" s="899">
        <f>SUM(S19:T22)</f>
        <v>0</v>
      </c>
      <c r="T23" s="900"/>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3">
        <v>1400815</v>
      </c>
      <c r="H25" s="1394"/>
      <c r="J25" s="1397">
        <v>1120652</v>
      </c>
      <c r="K25" s="1398"/>
      <c r="L25" s="732"/>
      <c r="M25" s="1397"/>
      <c r="N25" s="1398"/>
      <c r="P25" s="1397"/>
      <c r="Q25" s="1398"/>
      <c r="S25" s="1393">
        <v>280163</v>
      </c>
      <c r="T25" s="1394"/>
    </row>
    <row r="26" spans="2:20" s="458" customFormat="1" ht="12.6" customHeight="1" thickBot="1">
      <c r="B26" s="458" t="s">
        <v>1753</v>
      </c>
      <c r="G26" s="1393"/>
      <c r="H26" s="1394"/>
      <c r="J26" s="1397"/>
      <c r="K26" s="1398"/>
      <c r="L26" s="526"/>
      <c r="M26" s="955"/>
      <c r="N26" s="955"/>
      <c r="P26" s="955"/>
      <c r="Q26" s="955"/>
      <c r="S26" s="1393"/>
      <c r="T26" s="1394"/>
    </row>
    <row r="27" spans="2:20" s="458" customFormat="1" ht="12.6" customHeight="1" thickTop="1">
      <c r="F27" s="523" t="s">
        <v>249</v>
      </c>
      <c r="G27" s="899">
        <f>SUM(G25:H26)</f>
        <v>1400815</v>
      </c>
      <c r="H27" s="900"/>
      <c r="J27" s="899">
        <f>SUM(J25:K26)</f>
        <v>1120652</v>
      </c>
      <c r="K27" s="900"/>
      <c r="L27" s="525"/>
      <c r="M27" s="899">
        <f>M25</f>
        <v>0</v>
      </c>
      <c r="N27" s="900"/>
      <c r="P27" s="899">
        <f>P25</f>
        <v>0</v>
      </c>
      <c r="Q27" s="900"/>
      <c r="S27" s="899">
        <f>SUM(S25:T26)</f>
        <v>280163</v>
      </c>
      <c r="T27" s="900"/>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3">
        <v>9947021</v>
      </c>
      <c r="H29" s="1394"/>
      <c r="J29" s="1393">
        <v>9947021</v>
      </c>
      <c r="K29" s="1394"/>
      <c r="L29" s="732"/>
      <c r="M29" s="1393"/>
      <c r="N29" s="1394"/>
      <c r="P29" s="1393"/>
      <c r="Q29" s="1394"/>
      <c r="S29" s="1393"/>
      <c r="T29" s="1394"/>
    </row>
    <row r="30" spans="2:20" s="458" customFormat="1" ht="12.6" customHeight="1">
      <c r="B30" s="458" t="s">
        <v>1756</v>
      </c>
      <c r="G30" s="1393"/>
      <c r="H30" s="1394"/>
      <c r="J30" s="1393"/>
      <c r="K30" s="1394"/>
      <c r="L30" s="732"/>
      <c r="M30" s="1393"/>
      <c r="N30" s="1394"/>
      <c r="P30" s="1393"/>
      <c r="Q30" s="1394"/>
      <c r="S30" s="1393"/>
      <c r="T30" s="1394"/>
    </row>
    <row r="31" spans="2:20" ht="12.6" customHeight="1" thickBot="1">
      <c r="B31" s="458" t="s">
        <v>1757</v>
      </c>
      <c r="G31" s="1393"/>
      <c r="H31" s="1394"/>
      <c r="I31" s="458"/>
      <c r="J31" s="1393"/>
      <c r="K31" s="1394"/>
      <c r="L31" s="732"/>
      <c r="M31" s="1393"/>
      <c r="N31" s="1394"/>
      <c r="O31" s="458"/>
      <c r="P31" s="1393"/>
      <c r="Q31" s="1394"/>
      <c r="R31" s="458"/>
      <c r="S31" s="1393"/>
      <c r="T31" s="1394"/>
    </row>
    <row r="32" spans="2:20" s="458" customFormat="1" ht="12.6" customHeight="1" thickTop="1">
      <c r="C32" s="950"/>
      <c r="D32" s="950"/>
      <c r="E32" s="734"/>
      <c r="F32" s="523" t="s">
        <v>249</v>
      </c>
      <c r="G32" s="899">
        <f>SUM(G29:H31)</f>
        <v>9947021</v>
      </c>
      <c r="H32" s="900"/>
      <c r="J32" s="899">
        <f>SUM(J29:K31)</f>
        <v>9947021</v>
      </c>
      <c r="K32" s="900"/>
      <c r="L32" s="732"/>
      <c r="M32" s="899">
        <f>SUM(M29:N31)</f>
        <v>0</v>
      </c>
      <c r="N32" s="900"/>
      <c r="P32" s="899">
        <f>SUM(P29:Q31)</f>
        <v>0</v>
      </c>
      <c r="Q32" s="900"/>
      <c r="S32" s="899">
        <f>SUM(S29:T31)</f>
        <v>0</v>
      </c>
      <c r="T32" s="900"/>
    </row>
    <row r="33" spans="1:20" s="458" customFormat="1" ht="13.15" customHeight="1">
      <c r="B33" s="461" t="s">
        <v>3492</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680870.16</v>
      </c>
      <c r="G34" s="1393">
        <v>680870</v>
      </c>
      <c r="H34" s="1394"/>
      <c r="I34" s="482"/>
      <c r="J34" s="1393">
        <v>680870</v>
      </c>
      <c r="K34" s="1394"/>
      <c r="L34" s="732"/>
      <c r="M34" s="1393"/>
      <c r="N34" s="1394"/>
      <c r="P34" s="1393"/>
      <c r="Q34" s="1394"/>
      <c r="S34" s="1393"/>
      <c r="T34" s="1394"/>
    </row>
    <row r="35" spans="1:20" s="458" customFormat="1" ht="12.6" customHeight="1" thickBot="1">
      <c r="B35" s="458" t="s">
        <v>3130</v>
      </c>
      <c r="E35" s="619">
        <f>'DCA Underwriting Assumptions'!$R$39+'DCA Underwriting Assumptions'!$R$40</f>
        <v>0.08</v>
      </c>
      <c r="F35" s="620">
        <f>E35*($G$27+$G$32)</f>
        <v>907826.88</v>
      </c>
      <c r="G35" s="1393">
        <v>907827</v>
      </c>
      <c r="H35" s="1394"/>
      <c r="I35" s="482"/>
      <c r="J35" s="1393">
        <v>907827</v>
      </c>
      <c r="K35" s="1394"/>
      <c r="L35" s="732"/>
      <c r="M35" s="1393"/>
      <c r="N35" s="1394"/>
      <c r="P35" s="1393"/>
      <c r="Q35" s="1394"/>
      <c r="S35" s="1393"/>
      <c r="T35" s="1394"/>
    </row>
    <row r="36" spans="1:20" s="458" customFormat="1" ht="12.6" customHeight="1" thickTop="1">
      <c r="B36" s="458" t="s">
        <v>3131</v>
      </c>
      <c r="D36" s="530"/>
      <c r="E36" s="721"/>
      <c r="F36" s="621" t="s">
        <v>249</v>
      </c>
      <c r="G36" s="899">
        <f>SUM(G34:H35)</f>
        <v>1588697</v>
      </c>
      <c r="H36" s="900"/>
      <c r="J36" s="899">
        <f>SUM(J34:K35)</f>
        <v>1588697</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1760</v>
      </c>
      <c r="C38" s="532"/>
      <c r="D38" s="533">
        <f>B39/'Part VI-Revenues &amp; Expenses'!$M$63</f>
        <v>86243.55333333333</v>
      </c>
      <c r="E38" s="533"/>
      <c r="F38" s="534" t="s">
        <v>2110</v>
      </c>
    </row>
    <row r="39" spans="1:20" s="458" customFormat="1" ht="12.6" customHeight="1">
      <c r="B39" s="951">
        <f>G27+G32+G36</f>
        <v>12936533</v>
      </c>
      <c r="C39" s="952"/>
      <c r="D39" s="535">
        <f>B39/'Part VI-Revenues &amp; Expenses'!$M$98</f>
        <v>88.004823194873396</v>
      </c>
      <c r="E39" s="535"/>
      <c r="F39" s="536" t="s">
        <v>1337</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3038</v>
      </c>
      <c r="F42" s="646">
        <f>G42/$B$39</f>
        <v>3.8650231866605989E-2</v>
      </c>
      <c r="G42" s="1393">
        <v>500000</v>
      </c>
      <c r="H42" s="1394"/>
      <c r="I42" s="458"/>
      <c r="J42" s="1393">
        <v>500000</v>
      </c>
      <c r="K42" s="1394"/>
      <c r="L42" s="732"/>
      <c r="M42" s="1393"/>
      <c r="N42" s="1394"/>
      <c r="O42" s="458"/>
      <c r="P42" s="1393"/>
      <c r="Q42" s="1394"/>
      <c r="R42" s="458"/>
      <c r="S42" s="1393"/>
      <c r="T42" s="1394"/>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950</v>
      </c>
      <c r="B45" s="461" t="s">
        <v>1494</v>
      </c>
      <c r="H45" s="721"/>
      <c r="I45" s="721"/>
      <c r="J45" s="895" t="s">
        <v>359</v>
      </c>
      <c r="K45" s="896"/>
      <c r="L45" s="522"/>
      <c r="M45" s="943" t="s">
        <v>720</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3495</v>
      </c>
      <c r="G48" s="1393">
        <v>129500</v>
      </c>
      <c r="H48" s="1394"/>
      <c r="J48" s="1393">
        <v>2056</v>
      </c>
      <c r="K48" s="1394"/>
      <c r="L48" s="732"/>
      <c r="M48" s="1393"/>
      <c r="N48" s="1394"/>
      <c r="P48" s="1393"/>
      <c r="Q48" s="1394"/>
      <c r="S48" s="1393">
        <v>127444</v>
      </c>
      <c r="T48" s="1394"/>
    </row>
    <row r="49" spans="1:21" s="458" customFormat="1" ht="13.15" customHeight="1">
      <c r="B49" s="458" t="s">
        <v>3496</v>
      </c>
      <c r="G49" s="1393">
        <v>185000</v>
      </c>
      <c r="H49" s="1394"/>
      <c r="J49" s="1393">
        <v>68735</v>
      </c>
      <c r="K49" s="1394"/>
      <c r="L49" s="732"/>
      <c r="M49" s="1393"/>
      <c r="N49" s="1394"/>
      <c r="P49" s="1393"/>
      <c r="Q49" s="1394"/>
      <c r="S49" s="1393">
        <v>116265</v>
      </c>
      <c r="T49" s="1394"/>
    </row>
    <row r="50" spans="1:21" s="458" customFormat="1" ht="13.15" customHeight="1">
      <c r="B50" s="458" t="s">
        <v>3497</v>
      </c>
      <c r="G50" s="1393"/>
      <c r="H50" s="1394"/>
      <c r="J50" s="1393"/>
      <c r="K50" s="1394"/>
      <c r="L50" s="732"/>
      <c r="M50" s="1393"/>
      <c r="N50" s="1394"/>
      <c r="P50" s="1393"/>
      <c r="Q50" s="1394"/>
      <c r="S50" s="1393"/>
      <c r="T50" s="1394"/>
    </row>
    <row r="51" spans="1:21" s="458" customFormat="1" ht="13.15" customHeight="1">
      <c r="B51" s="458" t="s">
        <v>1092</v>
      </c>
      <c r="G51" s="1393"/>
      <c r="H51" s="1394"/>
      <c r="J51" s="1393"/>
      <c r="K51" s="1394"/>
      <c r="L51" s="732"/>
      <c r="M51" s="1393"/>
      <c r="N51" s="1394"/>
      <c r="P51" s="1393"/>
      <c r="Q51" s="1394"/>
      <c r="S51" s="1393"/>
      <c r="T51" s="1394"/>
    </row>
    <row r="52" spans="1:21" s="458" customFormat="1" ht="13.15" customHeight="1">
      <c r="B52" s="458" t="s">
        <v>3498</v>
      </c>
      <c r="G52" s="1393">
        <v>90155</v>
      </c>
      <c r="H52" s="1394"/>
      <c r="J52" s="1393">
        <v>58155</v>
      </c>
      <c r="K52" s="1394"/>
      <c r="L52" s="732"/>
      <c r="M52" s="1393"/>
      <c r="N52" s="1394"/>
      <c r="P52" s="1393"/>
      <c r="Q52" s="1394"/>
      <c r="S52" s="1393">
        <v>32000</v>
      </c>
      <c r="T52" s="1394"/>
    </row>
    <row r="53" spans="1:21" s="458" customFormat="1" ht="13.15" customHeight="1">
      <c r="B53" s="458" t="s">
        <v>371</v>
      </c>
      <c r="G53" s="1393"/>
      <c r="H53" s="1394"/>
      <c r="J53" s="1393"/>
      <c r="K53" s="1394"/>
      <c r="L53" s="732"/>
      <c r="M53" s="1393"/>
      <c r="N53" s="1394"/>
      <c r="P53" s="1393"/>
      <c r="Q53" s="1394"/>
      <c r="S53" s="1393"/>
      <c r="T53" s="1394"/>
    </row>
    <row r="54" spans="1:21" s="458" customFormat="1" ht="12.6" customHeight="1">
      <c r="B54" s="529" t="s">
        <v>1795</v>
      </c>
      <c r="D54" s="527"/>
      <c r="E54" s="527"/>
      <c r="F54" s="528"/>
      <c r="G54" s="1393">
        <v>94860</v>
      </c>
      <c r="H54" s="1394"/>
      <c r="I54" s="482"/>
      <c r="J54" s="1393">
        <v>94860</v>
      </c>
      <c r="K54" s="1394"/>
      <c r="L54" s="732"/>
      <c r="M54" s="1393"/>
      <c r="N54" s="1394"/>
      <c r="P54" s="1393"/>
      <c r="Q54" s="1394"/>
      <c r="S54" s="1393"/>
      <c r="T54" s="1394"/>
    </row>
    <row r="55" spans="1:21" s="458" customFormat="1" ht="13.15" customHeight="1" thickBot="1">
      <c r="A55" s="562" t="str">
        <f>IF(AND(G55&gt;0,OR(C55="",C55="&lt;Enter detailed description here; use Comments section if needed&gt;")),"X","")</f>
        <v/>
      </c>
      <c r="B55" s="458" t="s">
        <v>1230</v>
      </c>
      <c r="C55" s="1395" t="s">
        <v>3989</v>
      </c>
      <c r="D55" s="1395"/>
      <c r="E55" s="1395"/>
      <c r="F55" s="1396"/>
      <c r="G55" s="1399">
        <v>12500</v>
      </c>
      <c r="H55" s="1400"/>
      <c r="J55" s="1399">
        <v>12500</v>
      </c>
      <c r="K55" s="1400"/>
      <c r="L55" s="732"/>
      <c r="M55" s="1399"/>
      <c r="N55" s="1400"/>
      <c r="P55" s="1399"/>
      <c r="Q55" s="1400"/>
      <c r="S55" s="1393"/>
      <c r="T55" s="1394"/>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512015</v>
      </c>
      <c r="H56" s="900"/>
      <c r="J56" s="899">
        <f>SUM(J48:K55)</f>
        <v>236306</v>
      </c>
      <c r="K56" s="900"/>
      <c r="L56" s="525"/>
      <c r="M56" s="899">
        <f>SUM(M48:N55)</f>
        <v>0</v>
      </c>
      <c r="N56" s="900"/>
      <c r="P56" s="899">
        <f>SUM(P48:Q55)</f>
        <v>0</v>
      </c>
      <c r="Q56" s="900"/>
      <c r="S56" s="899">
        <f>SUM(S48:T55)</f>
        <v>275709</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3">
        <v>374120</v>
      </c>
      <c r="H58" s="1394"/>
      <c r="J58" s="1393">
        <v>374120</v>
      </c>
      <c r="K58" s="1394"/>
      <c r="L58" s="732"/>
      <c r="M58" s="1393"/>
      <c r="N58" s="1394"/>
      <c r="P58" s="1393"/>
      <c r="Q58" s="1394"/>
      <c r="S58" s="1393"/>
      <c r="T58" s="1394"/>
    </row>
    <row r="59" spans="1:21" s="458" customFormat="1" ht="13.15" customHeight="1">
      <c r="B59" s="458" t="s">
        <v>706</v>
      </c>
      <c r="G59" s="1393">
        <v>93530</v>
      </c>
      <c r="H59" s="1394"/>
      <c r="J59" s="1393">
        <v>93530</v>
      </c>
      <c r="K59" s="1394"/>
      <c r="L59" s="732"/>
      <c r="M59" s="1393"/>
      <c r="N59" s="1394"/>
      <c r="P59" s="1393"/>
      <c r="Q59" s="1394"/>
      <c r="S59" s="1393"/>
      <c r="T59" s="1394"/>
    </row>
    <row r="60" spans="1:21" s="458" customFormat="1" ht="13.15" customHeight="1">
      <c r="B60" s="458" t="s">
        <v>1761</v>
      </c>
      <c r="G60" s="1393"/>
      <c r="H60" s="1394"/>
      <c r="J60" s="1393"/>
      <c r="K60" s="1394"/>
      <c r="L60" s="732"/>
      <c r="M60" s="1393"/>
      <c r="N60" s="1394"/>
      <c r="P60" s="1393"/>
      <c r="Q60" s="1394"/>
      <c r="S60" s="1393"/>
      <c r="T60" s="1394"/>
    </row>
    <row r="61" spans="1:21" s="458" customFormat="1" ht="13.15" customHeight="1">
      <c r="B61" s="458" t="s">
        <v>1762</v>
      </c>
      <c r="G61" s="1393">
        <v>30000</v>
      </c>
      <c r="H61" s="1394"/>
      <c r="J61" s="1393">
        <v>30000</v>
      </c>
      <c r="K61" s="1394"/>
      <c r="L61" s="732"/>
      <c r="M61" s="1393"/>
      <c r="N61" s="1394"/>
      <c r="P61" s="1393"/>
      <c r="Q61" s="1394"/>
      <c r="S61" s="1393"/>
      <c r="T61" s="1394"/>
    </row>
    <row r="62" spans="1:21" s="458" customFormat="1" ht="13.15" customHeight="1">
      <c r="B62" s="458" t="s">
        <v>1763</v>
      </c>
      <c r="G62" s="1393">
        <v>7200</v>
      </c>
      <c r="H62" s="1394"/>
      <c r="J62" s="1393">
        <v>7200</v>
      </c>
      <c r="K62" s="1394"/>
      <c r="L62" s="732"/>
      <c r="M62" s="1393"/>
      <c r="N62" s="1394"/>
      <c r="P62" s="1393"/>
      <c r="Q62" s="1394"/>
      <c r="S62" s="1393"/>
      <c r="T62" s="1394"/>
    </row>
    <row r="63" spans="1:21" s="458" customFormat="1" ht="13.15" customHeight="1">
      <c r="B63" s="458" t="s">
        <v>1764</v>
      </c>
      <c r="G63" s="1393">
        <v>28000</v>
      </c>
      <c r="H63" s="1394"/>
      <c r="J63" s="1393">
        <v>28000</v>
      </c>
      <c r="K63" s="1394"/>
      <c r="L63" s="732"/>
      <c r="M63" s="1393"/>
      <c r="N63" s="1394"/>
      <c r="P63" s="1393"/>
      <c r="Q63" s="1394"/>
      <c r="S63" s="1393"/>
      <c r="T63" s="1394"/>
    </row>
    <row r="64" spans="1:21" s="458" customFormat="1" ht="13.15" customHeight="1">
      <c r="B64" s="458" t="s">
        <v>707</v>
      </c>
      <c r="G64" s="1393">
        <v>90662</v>
      </c>
      <c r="H64" s="1394"/>
      <c r="J64" s="1393">
        <v>90662</v>
      </c>
      <c r="K64" s="1394"/>
      <c r="L64" s="732"/>
      <c r="M64" s="1393"/>
      <c r="N64" s="1394"/>
      <c r="P64" s="1393"/>
      <c r="Q64" s="1394"/>
      <c r="S64" s="1393"/>
      <c r="T64" s="1394"/>
    </row>
    <row r="65" spans="1:21" s="458" customFormat="1" ht="13.15" customHeight="1">
      <c r="B65" s="458" t="s">
        <v>708</v>
      </c>
      <c r="G65" s="1393">
        <v>200000</v>
      </c>
      <c r="H65" s="1394"/>
      <c r="J65" s="1393">
        <v>52381</v>
      </c>
      <c r="K65" s="1394"/>
      <c r="L65" s="732"/>
      <c r="M65" s="1393"/>
      <c r="N65" s="1394"/>
      <c r="P65" s="1393"/>
      <c r="Q65" s="1394"/>
      <c r="S65" s="1393">
        <v>147619</v>
      </c>
      <c r="T65" s="1394"/>
    </row>
    <row r="66" spans="1:21" s="458" customFormat="1" ht="13.15" customHeight="1">
      <c r="B66" s="458" t="s">
        <v>3141</v>
      </c>
      <c r="G66" s="1393">
        <v>38000</v>
      </c>
      <c r="H66" s="1394"/>
      <c r="J66" s="1393">
        <v>38000</v>
      </c>
      <c r="K66" s="1394"/>
      <c r="L66" s="732"/>
      <c r="M66" s="1393"/>
      <c r="N66" s="1394"/>
      <c r="P66" s="1393"/>
      <c r="Q66" s="1394"/>
      <c r="S66" s="1393"/>
      <c r="T66" s="1394"/>
    </row>
    <row r="67" spans="1:21" s="458" customFormat="1" ht="13.15" customHeight="1" thickBot="1">
      <c r="A67" s="562" t="str">
        <f>IF(AND(G67&gt;0,OR(C67="",C67="&lt;Enter detailed description here; use Comments section if needed&gt;")),"X","")</f>
        <v/>
      </c>
      <c r="B67" s="458" t="s">
        <v>1230</v>
      </c>
      <c r="C67" s="1395" t="s">
        <v>4022</v>
      </c>
      <c r="D67" s="1395"/>
      <c r="E67" s="1395"/>
      <c r="F67" s="1396"/>
      <c r="G67" s="1393">
        <v>4800</v>
      </c>
      <c r="H67" s="1394"/>
      <c r="J67" s="1393">
        <v>4800</v>
      </c>
      <c r="K67" s="1394"/>
      <c r="L67" s="732"/>
      <c r="M67" s="1393"/>
      <c r="N67" s="1394"/>
      <c r="P67" s="1393"/>
      <c r="Q67" s="1394"/>
      <c r="S67" s="1393"/>
      <c r="T67" s="1394"/>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866312</v>
      </c>
      <c r="H68" s="900"/>
      <c r="J68" s="899">
        <f>SUM(J58:K67)</f>
        <v>718693</v>
      </c>
      <c r="K68" s="900"/>
      <c r="L68" s="525"/>
      <c r="M68" s="899">
        <f>SUM(M58:N67)</f>
        <v>0</v>
      </c>
      <c r="N68" s="900"/>
      <c r="P68" s="899">
        <f>SUM(P58:Q67)</f>
        <v>0</v>
      </c>
      <c r="Q68" s="900"/>
      <c r="S68" s="899">
        <f>SUM(S58:T67)</f>
        <v>147619</v>
      </c>
      <c r="T68" s="900"/>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3">
        <v>66075</v>
      </c>
      <c r="H70" s="1394"/>
      <c r="J70" s="1393">
        <v>66075</v>
      </c>
      <c r="K70" s="1394"/>
      <c r="L70" s="732"/>
      <c r="M70" s="1393"/>
      <c r="N70" s="1394"/>
      <c r="P70" s="1393"/>
      <c r="Q70" s="1394"/>
      <c r="S70" s="1393"/>
      <c r="T70" s="1394"/>
    </row>
    <row r="71" spans="1:21" s="458" customFormat="1" ht="13.15" customHeight="1">
      <c r="B71" s="458" t="s">
        <v>1955</v>
      </c>
      <c r="G71" s="1393">
        <v>131946</v>
      </c>
      <c r="H71" s="1394"/>
      <c r="J71" s="1393">
        <v>131946</v>
      </c>
      <c r="K71" s="1394"/>
      <c r="L71" s="732"/>
      <c r="M71" s="1393"/>
      <c r="N71" s="1394"/>
      <c r="P71" s="1393"/>
      <c r="Q71" s="1394"/>
      <c r="S71" s="1393"/>
      <c r="T71" s="1394"/>
    </row>
    <row r="72" spans="1:21" s="458" customFormat="1" ht="13.15" customHeight="1">
      <c r="B72" s="458" t="s">
        <v>1956</v>
      </c>
      <c r="D72" s="539" t="s">
        <v>2111</v>
      </c>
      <c r="E72" s="1401"/>
      <c r="G72" s="1393"/>
      <c r="H72" s="1394"/>
      <c r="I72" s="482"/>
      <c r="J72" s="1393"/>
      <c r="K72" s="1394"/>
      <c r="L72" s="732"/>
      <c r="M72" s="1393"/>
      <c r="N72" s="1394"/>
      <c r="P72" s="1393"/>
      <c r="Q72" s="1394"/>
      <c r="S72" s="1393"/>
      <c r="T72" s="1394"/>
    </row>
    <row r="73" spans="1:21" s="458" customFormat="1" ht="13.15" customHeight="1" thickBot="1">
      <c r="B73" s="458" t="s">
        <v>1957</v>
      </c>
      <c r="D73" s="539" t="s">
        <v>2111</v>
      </c>
      <c r="E73" s="1401"/>
      <c r="G73" s="1393"/>
      <c r="H73" s="1394"/>
      <c r="I73" s="482"/>
      <c r="J73" s="1393"/>
      <c r="K73" s="1394"/>
      <c r="L73" s="732"/>
      <c r="M73" s="1393"/>
      <c r="N73" s="1394"/>
      <c r="P73" s="1393"/>
      <c r="Q73" s="1394"/>
      <c r="S73" s="1393"/>
      <c r="T73" s="1394"/>
    </row>
    <row r="74" spans="1:21" s="458" customFormat="1" ht="13.15" customHeight="1" thickTop="1">
      <c r="F74" s="523" t="s">
        <v>249</v>
      </c>
      <c r="G74" s="899">
        <f>SUM(G70:H73)</f>
        <v>198021</v>
      </c>
      <c r="H74" s="900"/>
      <c r="J74" s="899">
        <f>SUM(J70:K73)</f>
        <v>198021</v>
      </c>
      <c r="K74" s="900"/>
      <c r="L74" s="525"/>
      <c r="M74" s="899">
        <f>SUM(M70:N73)</f>
        <v>0</v>
      </c>
      <c r="N74" s="900"/>
      <c r="P74" s="899">
        <f>SUM(P70:Q73)</f>
        <v>0</v>
      </c>
      <c r="Q74" s="900"/>
      <c r="S74" s="899">
        <f>SUM(S70:T73)</f>
        <v>0</v>
      </c>
      <c r="T74" s="900"/>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3"/>
      <c r="H76" s="1394"/>
      <c r="J76" s="936"/>
      <c r="K76" s="936"/>
      <c r="L76" s="732"/>
      <c r="M76" s="936"/>
      <c r="N76" s="936"/>
      <c r="P76" s="936"/>
      <c r="Q76" s="936"/>
      <c r="S76" s="1393"/>
      <c r="T76" s="1394"/>
    </row>
    <row r="77" spans="1:21" s="458" customFormat="1" ht="13.15" customHeight="1">
      <c r="B77" s="458" t="s">
        <v>1959</v>
      </c>
      <c r="G77" s="1393"/>
      <c r="H77" s="1394"/>
      <c r="J77" s="901"/>
      <c r="K77" s="901"/>
      <c r="L77" s="732"/>
      <c r="M77" s="901"/>
      <c r="N77" s="901"/>
      <c r="P77" s="901"/>
      <c r="Q77" s="901"/>
      <c r="S77" s="1393"/>
      <c r="T77" s="1394"/>
    </row>
    <row r="78" spans="1:21" s="458" customFormat="1" ht="13.15" customHeight="1">
      <c r="B78" s="458" t="s">
        <v>1960</v>
      </c>
      <c r="G78" s="1393">
        <v>75000</v>
      </c>
      <c r="H78" s="1394"/>
      <c r="J78" s="1393">
        <v>75000</v>
      </c>
      <c r="K78" s="1394"/>
      <c r="L78" s="732"/>
      <c r="M78" s="1393"/>
      <c r="N78" s="1394"/>
      <c r="P78" s="1393"/>
      <c r="Q78" s="1394"/>
      <c r="S78" s="1393"/>
      <c r="T78" s="1394"/>
    </row>
    <row r="79" spans="1:21" s="458" customFormat="1" ht="13.15" customHeight="1">
      <c r="B79" s="458" t="s">
        <v>1961</v>
      </c>
      <c r="G79" s="1393">
        <v>10000</v>
      </c>
      <c r="H79" s="1394"/>
      <c r="J79" s="1393">
        <v>10000</v>
      </c>
      <c r="K79" s="1394"/>
      <c r="L79" s="732"/>
      <c r="M79" s="1393"/>
      <c r="N79" s="1394"/>
      <c r="P79" s="1393"/>
      <c r="Q79" s="1394"/>
      <c r="S79" s="1393"/>
      <c r="T79" s="1394"/>
    </row>
    <row r="80" spans="1:21" s="458" customFormat="1" ht="13.15" customHeight="1">
      <c r="B80" s="458" t="s">
        <v>1962</v>
      </c>
      <c r="G80" s="1393"/>
      <c r="H80" s="1394"/>
      <c r="J80" s="1393"/>
      <c r="K80" s="1394"/>
      <c r="L80" s="732"/>
      <c r="M80" s="1393"/>
      <c r="N80" s="1394"/>
      <c r="P80" s="1393"/>
      <c r="Q80" s="1394"/>
      <c r="S80" s="1393"/>
      <c r="T80" s="1394"/>
    </row>
    <row r="81" spans="1:21" s="458" customFormat="1" ht="13.15" customHeight="1">
      <c r="B81" s="458" t="s">
        <v>3438</v>
      </c>
      <c r="G81" s="1393"/>
      <c r="H81" s="1394"/>
      <c r="J81" s="1393"/>
      <c r="K81" s="1394"/>
      <c r="L81" s="732"/>
      <c r="M81" s="1393"/>
      <c r="N81" s="1394"/>
      <c r="P81" s="1393"/>
      <c r="Q81" s="1394"/>
      <c r="S81" s="1393"/>
      <c r="T81" s="1394"/>
    </row>
    <row r="82" spans="1:21" s="458" customFormat="1" ht="13.15" customHeight="1" thickBot="1">
      <c r="A82" s="562" t="str">
        <f>IF(AND(G82&gt;0,OR(C82="",C82="&lt;Enter detailed description here; use Comments section if needed&gt;")),"X","")</f>
        <v/>
      </c>
      <c r="B82" s="458" t="s">
        <v>1230</v>
      </c>
      <c r="C82" s="1395" t="s">
        <v>3957</v>
      </c>
      <c r="D82" s="1395"/>
      <c r="E82" s="1395"/>
      <c r="F82" s="1396"/>
      <c r="G82" s="1393">
        <v>80400</v>
      </c>
      <c r="H82" s="1394"/>
      <c r="J82" s="1393">
        <v>19483</v>
      </c>
      <c r="K82" s="1394"/>
      <c r="L82" s="732"/>
      <c r="M82" s="1393"/>
      <c r="N82" s="1394"/>
      <c r="P82" s="1393"/>
      <c r="Q82" s="1394"/>
      <c r="S82" s="1393">
        <v>60917</v>
      </c>
      <c r="T82" s="1394"/>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165400</v>
      </c>
      <c r="H83" s="900"/>
      <c r="J83" s="899">
        <f>SUM(J78:K82)</f>
        <v>104483</v>
      </c>
      <c r="K83" s="900"/>
      <c r="L83" s="525"/>
      <c r="M83" s="899">
        <f>SUM(M78:N82)</f>
        <v>0</v>
      </c>
      <c r="N83" s="900"/>
      <c r="P83" s="899">
        <f>SUM(P78:Q82)</f>
        <v>0</v>
      </c>
      <c r="Q83" s="900"/>
      <c r="S83" s="899">
        <f>SUM(S76:T82)</f>
        <v>60917</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950</v>
      </c>
      <c r="B86" s="461" t="s">
        <v>1494</v>
      </c>
      <c r="H86" s="721"/>
      <c r="I86" s="721"/>
      <c r="J86" s="895" t="s">
        <v>359</v>
      </c>
      <c r="K86" s="896"/>
      <c r="L86" s="522"/>
      <c r="M86" s="943" t="s">
        <v>720</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3"/>
      <c r="H89" s="1394"/>
      <c r="J89" s="525"/>
      <c r="K89" s="525"/>
      <c r="L89" s="732"/>
      <c r="M89" s="525"/>
      <c r="N89" s="525"/>
      <c r="P89" s="525"/>
      <c r="Q89" s="525"/>
      <c r="S89" s="1393"/>
      <c r="T89" s="1394"/>
    </row>
    <row r="90" spans="1:21" s="458" customFormat="1" ht="12.6" customHeight="1">
      <c r="B90" s="458" t="s">
        <v>1858</v>
      </c>
      <c r="G90" s="1393">
        <v>4000</v>
      </c>
      <c r="H90" s="1394"/>
      <c r="J90" s="525"/>
      <c r="K90" s="525"/>
      <c r="L90" s="540"/>
      <c r="M90" s="525"/>
      <c r="N90" s="525"/>
      <c r="P90" s="525"/>
      <c r="Q90" s="525"/>
      <c r="S90" s="1393">
        <v>4000</v>
      </c>
      <c r="T90" s="1394"/>
    </row>
    <row r="91" spans="1:21" s="458" customFormat="1" ht="12.6" customHeight="1">
      <c r="B91" s="458" t="s">
        <v>2747</v>
      </c>
      <c r="G91" s="1393"/>
      <c r="H91" s="1394"/>
      <c r="J91" s="525"/>
      <c r="K91" s="525"/>
      <c r="L91" s="540"/>
      <c r="M91" s="525"/>
      <c r="N91" s="525"/>
      <c r="O91" s="721"/>
      <c r="P91" s="525"/>
      <c r="Q91" s="525"/>
      <c r="S91" s="1393"/>
      <c r="T91" s="1394"/>
    </row>
    <row r="92" spans="1:21" s="458" customFormat="1" ht="12.6" customHeight="1">
      <c r="B92" s="458" t="s">
        <v>811</v>
      </c>
      <c r="E92" s="953">
        <f>'DCA Underwriting Assumptions'!$Q$41*$J$165</f>
        <v>64400.000000000007</v>
      </c>
      <c r="F92" s="954"/>
      <c r="G92" s="1393">
        <v>64400</v>
      </c>
      <c r="H92" s="1394"/>
      <c r="J92" s="525"/>
      <c r="K92" s="525"/>
      <c r="L92" s="732"/>
      <c r="M92" s="525"/>
      <c r="N92" s="525"/>
      <c r="O92" s="721"/>
      <c r="P92" s="525"/>
      <c r="Q92" s="525"/>
      <c r="S92" s="1393">
        <v>64400</v>
      </c>
      <c r="T92" s="1394"/>
    </row>
    <row r="93" spans="1:21" s="458" customFormat="1" ht="12.6" customHeight="1">
      <c r="B93" s="458" t="s">
        <v>1244</v>
      </c>
      <c r="E93" s="953">
        <f>'Part VI-Revenues &amp; Expenses'!$M$63*'DCA Underwriting Assumptions'!$Q$44</f>
        <v>105000</v>
      </c>
      <c r="F93" s="954"/>
      <c r="G93" s="1393">
        <v>105000</v>
      </c>
      <c r="H93" s="1394"/>
      <c r="J93" s="418"/>
      <c r="K93" s="418"/>
      <c r="L93" s="418"/>
      <c r="M93" s="418"/>
      <c r="N93" s="418"/>
      <c r="O93" s="418"/>
      <c r="P93" s="418"/>
      <c r="Q93" s="418"/>
      <c r="S93" s="1393">
        <v>105000</v>
      </c>
      <c r="T93" s="1394"/>
    </row>
    <row r="94" spans="1:21" s="458" customFormat="1" ht="12.6" customHeight="1">
      <c r="B94" s="458" t="s">
        <v>715</v>
      </c>
      <c r="G94" s="1393">
        <v>2700</v>
      </c>
      <c r="H94" s="1394"/>
      <c r="J94" s="418"/>
      <c r="K94" s="418"/>
      <c r="L94" s="418"/>
      <c r="M94" s="418"/>
      <c r="N94" s="418"/>
      <c r="O94" s="418"/>
      <c r="P94" s="418"/>
      <c r="Q94" s="418"/>
      <c r="S94" s="1393">
        <v>2700</v>
      </c>
      <c r="T94" s="1394"/>
    </row>
    <row r="95" spans="1:21" s="458" customFormat="1" ht="12.6" customHeight="1">
      <c r="B95" s="458" t="s">
        <v>3552</v>
      </c>
      <c r="G95" s="1393">
        <v>3000</v>
      </c>
      <c r="H95" s="1394"/>
      <c r="J95" s="418"/>
      <c r="K95" s="418"/>
      <c r="L95" s="418"/>
      <c r="M95" s="418"/>
      <c r="N95" s="418"/>
      <c r="O95" s="418"/>
      <c r="P95" s="418"/>
      <c r="Q95" s="418"/>
      <c r="S95" s="1393">
        <v>3000</v>
      </c>
      <c r="T95" s="1394"/>
    </row>
    <row r="96" spans="1:21" s="458" customFormat="1" ht="12.6" customHeight="1">
      <c r="A96" s="562" t="str">
        <f>IF(AND(G96&gt;0,OR(C96="",C96="&lt;Enter detailed description here; use Comments section if needed&gt;")),"X","")</f>
        <v/>
      </c>
      <c r="B96" s="458" t="s">
        <v>1230</v>
      </c>
      <c r="C96" s="1395" t="s">
        <v>3659</v>
      </c>
      <c r="D96" s="1395"/>
      <c r="E96" s="1395"/>
      <c r="F96" s="1396"/>
      <c r="G96" s="1393"/>
      <c r="H96" s="1394"/>
      <c r="J96" s="418"/>
      <c r="K96" s="418"/>
      <c r="L96" s="418"/>
      <c r="M96" s="418"/>
      <c r="N96" s="418"/>
      <c r="O96" s="418"/>
      <c r="P96" s="418"/>
      <c r="Q96" s="418"/>
      <c r="S96" s="1393"/>
      <c r="T96" s="139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5" t="s">
        <v>3659</v>
      </c>
      <c r="D97" s="1395"/>
      <c r="E97" s="1395"/>
      <c r="F97" s="1396"/>
      <c r="G97" s="1393"/>
      <c r="H97" s="1394"/>
      <c r="J97" s="418"/>
      <c r="K97" s="418"/>
      <c r="L97" s="418"/>
      <c r="M97" s="418"/>
      <c r="N97" s="418"/>
      <c r="O97" s="418"/>
      <c r="P97" s="418"/>
      <c r="Q97" s="418"/>
      <c r="S97" s="1393"/>
      <c r="T97" s="139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179100</v>
      </c>
      <c r="H98" s="900"/>
      <c r="J98" s="525"/>
      <c r="K98" s="525"/>
      <c r="L98" s="732"/>
      <c r="M98" s="525"/>
      <c r="N98" s="525"/>
      <c r="P98" s="525"/>
      <c r="Q98" s="525"/>
      <c r="S98" s="899">
        <f>SUM(S89:T97)</f>
        <v>179100</v>
      </c>
      <c r="T98" s="900"/>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370</v>
      </c>
      <c r="G100" s="1393">
        <v>20000</v>
      </c>
      <c r="H100" s="1394"/>
      <c r="J100" s="936"/>
      <c r="K100" s="936"/>
      <c r="L100" s="732"/>
      <c r="M100" s="936"/>
      <c r="N100" s="936"/>
      <c r="O100" s="721"/>
      <c r="P100" s="936"/>
      <c r="Q100" s="936"/>
      <c r="S100" s="1393">
        <v>20000</v>
      </c>
      <c r="T100" s="1394"/>
    </row>
    <row r="101" spans="1:21" s="458" customFormat="1" ht="12.6" customHeight="1">
      <c r="B101" s="458" t="s">
        <v>372</v>
      </c>
      <c r="G101" s="1393"/>
      <c r="H101" s="1394"/>
      <c r="J101" s="936"/>
      <c r="K101" s="936"/>
      <c r="L101" s="732"/>
      <c r="M101" s="936"/>
      <c r="N101" s="936"/>
      <c r="O101" s="721"/>
      <c r="P101" s="936"/>
      <c r="Q101" s="936"/>
      <c r="S101" s="1393"/>
      <c r="T101" s="1394"/>
    </row>
    <row r="102" spans="1:21" s="458" customFormat="1" ht="12.6" customHeight="1">
      <c r="B102" s="458" t="s">
        <v>3614</v>
      </c>
      <c r="G102" s="1393">
        <v>40000</v>
      </c>
      <c r="H102" s="1394"/>
      <c r="J102" s="936"/>
      <c r="K102" s="936"/>
      <c r="L102" s="732"/>
      <c r="M102" s="936"/>
      <c r="N102" s="936"/>
      <c r="O102" s="721"/>
      <c r="P102" s="936"/>
      <c r="Q102" s="936"/>
      <c r="S102" s="1393">
        <v>40000</v>
      </c>
      <c r="T102" s="1394"/>
    </row>
    <row r="103" spans="1:21" s="458" customFormat="1" ht="12.6" customHeight="1" thickBot="1">
      <c r="A103" s="562" t="str">
        <f>IF(AND(G103&gt;0,OR(C103="",C103="&lt;Enter detailed description here; use Comments section if needed&gt;")),"X","")</f>
        <v/>
      </c>
      <c r="B103" s="458" t="s">
        <v>1230</v>
      </c>
      <c r="C103" s="1395"/>
      <c r="D103" s="1395"/>
      <c r="E103" s="1395"/>
      <c r="F103" s="1396"/>
      <c r="G103" s="1393"/>
      <c r="H103" s="1394"/>
      <c r="J103" s="936"/>
      <c r="K103" s="936"/>
      <c r="L103" s="732"/>
      <c r="M103" s="936"/>
      <c r="N103" s="936"/>
      <c r="O103" s="721"/>
      <c r="P103" s="936"/>
      <c r="Q103" s="936"/>
      <c r="S103" s="1393">
        <f>+G103</f>
        <v>0</v>
      </c>
      <c r="T103" s="139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60000</v>
      </c>
      <c r="H104" s="900"/>
      <c r="J104" s="936"/>
      <c r="K104" s="936"/>
      <c r="L104" s="732"/>
      <c r="M104" s="936"/>
      <c r="N104" s="936"/>
      <c r="O104" s="721"/>
      <c r="P104" s="936"/>
      <c r="Q104" s="936"/>
      <c r="S104" s="899">
        <f>SUM(S100:T103)</f>
        <v>60000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2915</v>
      </c>
      <c r="F106" s="647">
        <f>G106/$G$109</f>
        <v>0</v>
      </c>
      <c r="G106" s="1393"/>
      <c r="H106" s="1394"/>
      <c r="J106" s="1393"/>
      <c r="K106" s="1394"/>
      <c r="L106" s="524"/>
      <c r="M106" s="1393"/>
      <c r="N106" s="1394"/>
      <c r="P106" s="1393"/>
      <c r="Q106" s="1394"/>
      <c r="S106" s="1393"/>
      <c r="T106" s="1394"/>
    </row>
    <row r="107" spans="1:21" s="458" customFormat="1" ht="12.6" customHeight="1">
      <c r="B107" s="458" t="s">
        <v>2916</v>
      </c>
      <c r="F107" s="647">
        <f>G107/$G$109</f>
        <v>0</v>
      </c>
      <c r="G107" s="1393"/>
      <c r="H107" s="1394"/>
      <c r="J107" s="1393"/>
      <c r="K107" s="1394"/>
      <c r="L107" s="732"/>
      <c r="M107" s="1393"/>
      <c r="N107" s="1394"/>
      <c r="P107" s="1393"/>
      <c r="Q107" s="1394"/>
      <c r="S107" s="1393"/>
      <c r="T107" s="1394"/>
    </row>
    <row r="108" spans="1:21" s="458" customFormat="1" ht="12.6" customHeight="1" thickBot="1">
      <c r="B108" s="458" t="s">
        <v>2908</v>
      </c>
      <c r="F108" s="647">
        <f>G108/$G$109</f>
        <v>1</v>
      </c>
      <c r="G108" s="1393">
        <v>1800000</v>
      </c>
      <c r="H108" s="1394"/>
      <c r="J108" s="1393">
        <v>1800000</v>
      </c>
      <c r="K108" s="1394"/>
      <c r="L108" s="732"/>
      <c r="M108" s="1393"/>
      <c r="N108" s="1394"/>
      <c r="P108" s="1393"/>
      <c r="Q108" s="1394"/>
      <c r="S108" s="1393"/>
      <c r="T108" s="1394"/>
    </row>
    <row r="109" spans="1:21" s="458" customFormat="1" ht="12.6" customHeight="1" thickTop="1">
      <c r="C109" s="561" t="str">
        <f>IF(G109&lt;='DCA Underwriting Assumptions'!$Q$46,"","Developer Fee exceeds DCA Program Maximum !!!")</f>
        <v/>
      </c>
      <c r="F109" s="523" t="s">
        <v>249</v>
      </c>
      <c r="G109" s="899">
        <f>SUM(G106:H108)</f>
        <v>1800000</v>
      </c>
      <c r="H109" s="900"/>
      <c r="J109" s="899">
        <f>SUM(J106:K108)</f>
        <v>1800000</v>
      </c>
      <c r="K109" s="900"/>
      <c r="L109" s="732"/>
      <c r="M109" s="899">
        <f>SUM(M106:N108)</f>
        <v>0</v>
      </c>
      <c r="N109" s="900"/>
      <c r="P109" s="899">
        <f>SUM(P106:Q108)</f>
        <v>0</v>
      </c>
      <c r="Q109" s="900"/>
      <c r="S109" s="899">
        <f>SUM(S106:T108)</f>
        <v>0</v>
      </c>
      <c r="T109" s="900"/>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3">
        <v>100000</v>
      </c>
      <c r="H111" s="1394"/>
      <c r="J111" s="541"/>
      <c r="K111" s="541"/>
      <c r="L111" s="541"/>
      <c r="M111" s="541"/>
      <c r="N111" s="541"/>
      <c r="P111" s="541"/>
      <c r="Q111" s="541"/>
      <c r="S111" s="1393">
        <v>100000</v>
      </c>
      <c r="T111" s="1394"/>
    </row>
    <row r="112" spans="1:21" s="458" customFormat="1" ht="12.6" customHeight="1">
      <c r="B112" s="458" t="s">
        <v>2287</v>
      </c>
      <c r="G112" s="1393">
        <v>199597</v>
      </c>
      <c r="H112" s="1394"/>
      <c r="J112" s="936"/>
      <c r="K112" s="936"/>
      <c r="L112" s="732"/>
      <c r="M112" s="936"/>
      <c r="N112" s="936"/>
      <c r="O112" s="721"/>
      <c r="P112" s="936"/>
      <c r="Q112" s="936"/>
      <c r="R112" s="721"/>
      <c r="S112" s="1393">
        <v>199597</v>
      </c>
      <c r="T112" s="1394"/>
    </row>
    <row r="113" spans="1:21" s="458" customFormat="1" ht="12.6" customHeight="1">
      <c r="B113" s="458" t="s">
        <v>1028</v>
      </c>
      <c r="F113" s="482"/>
      <c r="G113" s="1393">
        <v>521341.4282140992</v>
      </c>
      <c r="H113" s="1394"/>
      <c r="J113" s="540"/>
      <c r="K113" s="540"/>
      <c r="L113" s="540"/>
      <c r="M113" s="540"/>
      <c r="N113" s="540"/>
      <c r="O113" s="721"/>
      <c r="P113" s="540"/>
      <c r="Q113" s="540"/>
      <c r="R113" s="721"/>
      <c r="S113" s="1393">
        <v>521341.4282140992</v>
      </c>
      <c r="T113" s="1394"/>
    </row>
    <row r="114" spans="1:21" s="458" customFormat="1" ht="12.6" customHeight="1">
      <c r="B114" s="458" t="s">
        <v>1922</v>
      </c>
      <c r="G114" s="1393"/>
      <c r="H114" s="1394"/>
      <c r="J114" s="541"/>
      <c r="K114" s="541"/>
      <c r="L114" s="541"/>
      <c r="M114" s="541"/>
      <c r="N114" s="541"/>
      <c r="P114" s="541"/>
      <c r="Q114" s="541"/>
      <c r="S114" s="1393"/>
      <c r="T114" s="1394"/>
    </row>
    <row r="115" spans="1:21" s="458" customFormat="1" ht="12.6" customHeight="1">
      <c r="B115" s="458" t="s">
        <v>1923</v>
      </c>
      <c r="E115" s="458" t="s">
        <v>1471</v>
      </c>
      <c r="F115" s="647">
        <f>G115/'Part VI-Revenues &amp; Expenses'!$M$63</f>
        <v>1233.3333333333333</v>
      </c>
      <c r="G115" s="1393">
        <v>185000</v>
      </c>
      <c r="H115" s="1394"/>
      <c r="J115" s="1393">
        <v>185000</v>
      </c>
      <c r="K115" s="1394"/>
      <c r="L115" s="732"/>
      <c r="M115" s="1393"/>
      <c r="N115" s="1394"/>
      <c r="P115" s="1393"/>
      <c r="Q115" s="1394"/>
      <c r="S115" s="1393"/>
      <c r="T115" s="1394"/>
    </row>
    <row r="116" spans="1:21" s="458" customFormat="1" ht="12.6" customHeight="1" thickBot="1">
      <c r="A116" s="562" t="str">
        <f>IF(AND(G116&gt;0,OR(C116="",C116="&lt;Enter detailed description here; use Comments section if needed&gt;")),"X","")</f>
        <v/>
      </c>
      <c r="B116" s="458" t="s">
        <v>1230</v>
      </c>
      <c r="C116" s="1395" t="s">
        <v>3990</v>
      </c>
      <c r="D116" s="1395"/>
      <c r="E116" s="1395"/>
      <c r="F116" s="1396"/>
      <c r="G116" s="1393">
        <v>148000</v>
      </c>
      <c r="H116" s="1394"/>
      <c r="J116" s="1393"/>
      <c r="K116" s="1394"/>
      <c r="L116" s="732"/>
      <c r="M116" s="1393"/>
      <c r="N116" s="1394"/>
      <c r="P116" s="1393"/>
      <c r="Q116" s="1394"/>
      <c r="S116" s="1393">
        <v>148000</v>
      </c>
      <c r="T116" s="139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1153938.4282140993</v>
      </c>
      <c r="H117" s="900"/>
      <c r="J117" s="899">
        <f>SUM(J115:K116)</f>
        <v>185000</v>
      </c>
      <c r="K117" s="900"/>
      <c r="L117" s="732"/>
      <c r="M117" s="899">
        <f>SUM(M115:N116)</f>
        <v>0</v>
      </c>
      <c r="N117" s="900"/>
      <c r="P117" s="899">
        <f>SUM(P115:Q116)</f>
        <v>0</v>
      </c>
      <c r="Q117" s="900"/>
      <c r="S117" s="899">
        <f>SUM(S111:T116)</f>
        <v>968938.42821409926</v>
      </c>
      <c r="T117" s="900"/>
    </row>
    <row r="118" spans="1:21" s="458" customFormat="1" ht="13.15" customHeight="1">
      <c r="B118" s="461" t="s">
        <v>943</v>
      </c>
      <c r="C118" s="713"/>
      <c r="H118" s="538"/>
      <c r="I118" s="538"/>
      <c r="J118" s="522"/>
      <c r="K118" s="522"/>
      <c r="M118" s="522"/>
      <c r="N118" s="522"/>
      <c r="O118" s="524" t="str">
        <f>B118</f>
        <v>OTHER COSTS</v>
      </c>
      <c r="P118" s="522"/>
      <c r="Q118" s="522"/>
      <c r="S118" s="522"/>
      <c r="T118" s="522"/>
    </row>
    <row r="119" spans="1:21" s="458" customFormat="1" ht="12.6" customHeight="1">
      <c r="B119" s="458" t="s">
        <v>944</v>
      </c>
      <c r="C119" s="713"/>
      <c r="G119" s="1393"/>
      <c r="H119" s="1394"/>
      <c r="J119" s="1393"/>
      <c r="K119" s="1394"/>
      <c r="L119" s="524"/>
      <c r="M119" s="1393"/>
      <c r="N119" s="1394"/>
      <c r="P119" s="1393"/>
      <c r="Q119" s="1394"/>
      <c r="S119" s="1393"/>
      <c r="T119" s="1394"/>
    </row>
    <row r="120" spans="1:21" s="458" customFormat="1" ht="12.6" customHeight="1" thickBot="1">
      <c r="A120" s="562" t="str">
        <f>IF(AND(G120&gt;0,OR(C120="",C120="&lt;Enter detailed description here; use Comments section if needed&gt;")),"X","")</f>
        <v/>
      </c>
      <c r="B120" s="458" t="s">
        <v>1230</v>
      </c>
      <c r="C120" s="1395" t="s">
        <v>3659</v>
      </c>
      <c r="D120" s="1395"/>
      <c r="E120" s="1395"/>
      <c r="F120" s="1396"/>
      <c r="G120" s="1393"/>
      <c r="H120" s="1394"/>
      <c r="J120" s="1393"/>
      <c r="K120" s="1394"/>
      <c r="L120" s="732"/>
      <c r="M120" s="1393"/>
      <c r="N120" s="1394"/>
      <c r="P120" s="1393"/>
      <c r="Q120" s="1394"/>
      <c r="S120" s="1393"/>
      <c r="T120" s="139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18890470.428214099</v>
      </c>
      <c r="H123" s="931"/>
      <c r="J123" s="930">
        <f>J17+J23+J27+J32+J36+J42+J56+J68+J74+J83+J98+J104+J109+J117+J121</f>
        <v>16540123</v>
      </c>
      <c r="K123" s="931"/>
      <c r="M123" s="930">
        <f>M17+M23+M27+M32+M36+M42+M56+M68+M74+M83+M98+M104+M109+M117+M121</f>
        <v>0</v>
      </c>
      <c r="N123" s="931"/>
      <c r="P123" s="930">
        <f>P17+P23+P27+P32+P36+P42+P56+P68+P74+P83+P98+P104+P109+P117+P121</f>
        <v>0</v>
      </c>
      <c r="Q123" s="931"/>
      <c r="S123" s="930">
        <f>S17+S23+S27+S32+S36+S42+S56+S68+S74+S83+S98+S104+S109+S117+S121</f>
        <v>2350347.4282140993</v>
      </c>
      <c r="T123" s="931"/>
    </row>
    <row r="124" spans="1:21" s="458" customFormat="1" ht="3" customHeight="1" thickBot="1">
      <c r="C124" s="713"/>
      <c r="H124" s="538"/>
      <c r="I124" s="538"/>
      <c r="L124" s="721"/>
    </row>
    <row r="125" spans="1:21" s="458" customFormat="1" ht="13.9" customHeight="1" thickBot="1">
      <c r="B125" s="465" t="s">
        <v>3895</v>
      </c>
      <c r="D125" s="902">
        <f>IF(AND($T$155 = "Yes", 'Part IX A-Scoring Criteria'!$O$176 &gt; 0),'DCA Underwriting Assumptions'!$R$13, IF(AND('Part IV-Uses of Funds'!$T$156="Yes", 'Part IX A-Scoring Criteria'!$O$74&gt;0),'DCA Underwriting Assumptions'!$R$12, 'DCA Underwriting Assumptions'!$R$11))</f>
        <v>22256390</v>
      </c>
      <c r="E125" s="903"/>
      <c r="F125" s="461" t="s">
        <v>1038</v>
      </c>
      <c r="G125" s="932">
        <f>G123/'Part VI-Revenues &amp; Expenses'!$M$63</f>
        <v>125936.46952142732</v>
      </c>
      <c r="H125" s="933"/>
      <c r="I125" s="543"/>
      <c r="J125" s="465" t="s">
        <v>1039</v>
      </c>
      <c r="M125" s="932">
        <f>G123/'Part VI-Revenues &amp; Expenses'!$M$98</f>
        <v>128.50834996540158</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1229</v>
      </c>
      <c r="B128" s="408" t="s">
        <v>2145</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3136</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2"/>
      <c r="K131" s="1403"/>
      <c r="P131" s="1402"/>
      <c r="Q131" s="1403"/>
    </row>
    <row r="132" spans="2:17" s="458" customFormat="1" ht="13.9" customHeight="1">
      <c r="B132" s="721" t="s">
        <v>3256</v>
      </c>
      <c r="D132" s="721"/>
      <c r="E132" s="721"/>
      <c r="F132" s="721"/>
      <c r="G132" s="721"/>
      <c r="H132" s="721"/>
      <c r="I132" s="545"/>
      <c r="J132" s="1402"/>
      <c r="K132" s="1403"/>
      <c r="P132" s="1402"/>
      <c r="Q132" s="1403"/>
    </row>
    <row r="133" spans="2:17" s="458" customFormat="1" ht="13.9" customHeight="1">
      <c r="B133" s="721" t="s">
        <v>2918</v>
      </c>
      <c r="D133" s="721"/>
      <c r="E133" s="721"/>
      <c r="I133" s="545"/>
      <c r="J133" s="1402"/>
      <c r="K133" s="1403"/>
      <c r="P133" s="1402"/>
      <c r="Q133" s="1403"/>
    </row>
    <row r="134" spans="2:17" s="458" customFormat="1" ht="13.9" customHeight="1">
      <c r="B134" s="721" t="s">
        <v>2919</v>
      </c>
      <c r="D134" s="721"/>
      <c r="E134" s="721"/>
      <c r="I134" s="545"/>
      <c r="J134" s="1402"/>
      <c r="K134" s="1403"/>
      <c r="P134" s="1402"/>
      <c r="Q134" s="1403"/>
    </row>
    <row r="135" spans="2:17" s="458" customFormat="1" ht="13.9" customHeight="1">
      <c r="B135" s="721" t="s">
        <v>329</v>
      </c>
      <c r="D135" s="721"/>
      <c r="E135" s="721"/>
      <c r="I135" s="545"/>
      <c r="J135" s="1402"/>
      <c r="K135" s="1403"/>
      <c r="P135" s="1402"/>
      <c r="Q135" s="1403"/>
    </row>
    <row r="136" spans="2:17" s="458" customFormat="1" ht="13.9" customHeight="1" thickBot="1">
      <c r="B136" s="721" t="s">
        <v>2363</v>
      </c>
      <c r="C136" s="1395" t="s">
        <v>3659</v>
      </c>
      <c r="D136" s="1395"/>
      <c r="E136" s="1395"/>
      <c r="F136" s="1395"/>
      <c r="G136" s="1395"/>
      <c r="H136" s="1395"/>
      <c r="I136" s="1396"/>
      <c r="J136" s="1402"/>
      <c r="K136" s="1403"/>
      <c r="P136" s="1402"/>
      <c r="Q136" s="1403"/>
    </row>
    <row r="137" spans="2:17" s="458" customFormat="1" ht="13.9" customHeight="1" thickBot="1">
      <c r="B137" s="470" t="s">
        <v>2920</v>
      </c>
      <c r="C137" s="473"/>
      <c r="J137" s="860">
        <f>SUM(J131:K136)</f>
        <v>0</v>
      </c>
      <c r="K137" s="861"/>
      <c r="P137" s="860">
        <f>SUM(P131:Q136)</f>
        <v>0</v>
      </c>
      <c r="Q137" s="861"/>
    </row>
    <row r="138" spans="2:17" s="458" customFormat="1" ht="3" customHeight="1"/>
    <row r="139" spans="2:17" s="458" customFormat="1" ht="15" customHeight="1" thickBot="1">
      <c r="B139" s="461" t="s">
        <v>3487</v>
      </c>
    </row>
    <row r="140" spans="2:17" s="458" customFormat="1" ht="13.9" customHeight="1">
      <c r="B140" s="458" t="s">
        <v>2821</v>
      </c>
      <c r="J140" s="934">
        <f>J123</f>
        <v>16540123</v>
      </c>
      <c r="K140" s="935"/>
      <c r="M140" s="938">
        <f>M123</f>
        <v>0</v>
      </c>
      <c r="N140" s="939"/>
      <c r="P140" s="934">
        <f>P123</f>
        <v>0</v>
      </c>
      <c r="Q140" s="935"/>
    </row>
    <row r="141" spans="2:17" s="458" customFormat="1" ht="13.9" customHeight="1">
      <c r="B141" s="458" t="s">
        <v>3343</v>
      </c>
      <c r="J141" s="910">
        <f>J137</f>
        <v>0</v>
      </c>
      <c r="K141" s="927"/>
      <c r="M141" s="911"/>
      <c r="N141" s="911"/>
      <c r="P141" s="910">
        <f>P137</f>
        <v>0</v>
      </c>
      <c r="Q141" s="927"/>
    </row>
    <row r="142" spans="2:17" s="458" customFormat="1" ht="13.9" customHeight="1">
      <c r="B142" s="458" t="s">
        <v>3344</v>
      </c>
      <c r="J142" s="910">
        <f>J140-J141</f>
        <v>16540123</v>
      </c>
      <c r="K142" s="927"/>
      <c r="M142" s="910">
        <f>M140</f>
        <v>0</v>
      </c>
      <c r="N142" s="927"/>
      <c r="P142" s="910">
        <f>P140-P141</f>
        <v>0</v>
      </c>
      <c r="Q142" s="927"/>
    </row>
    <row r="143" spans="2:17" s="458" customFormat="1" ht="13.9" customHeight="1">
      <c r="B143" s="458" t="s">
        <v>2228</v>
      </c>
      <c r="G143" s="717" t="s">
        <v>2734</v>
      </c>
      <c r="H143" s="1404" t="s">
        <v>3958</v>
      </c>
      <c r="I143" s="1405"/>
      <c r="J143" s="1406">
        <v>1.3</v>
      </c>
      <c r="K143" s="1407"/>
      <c r="M143" s="937"/>
      <c r="N143" s="937"/>
      <c r="P143" s="1406"/>
      <c r="Q143" s="1407"/>
    </row>
    <row r="144" spans="2:17" s="458" customFormat="1" ht="13.9" customHeight="1">
      <c r="B144" s="458" t="s">
        <v>3150</v>
      </c>
      <c r="J144" s="910">
        <f>J142*J143</f>
        <v>21502159.900000002</v>
      </c>
      <c r="K144" s="927"/>
      <c r="M144" s="910">
        <f>+M142</f>
        <v>0</v>
      </c>
      <c r="N144" s="927"/>
      <c r="P144" s="910">
        <f>P142*P143</f>
        <v>0</v>
      </c>
      <c r="Q144" s="927"/>
    </row>
    <row r="145" spans="1:20" s="458" customFormat="1" ht="13.9" customHeight="1">
      <c r="B145" s="458" t="s">
        <v>3839</v>
      </c>
      <c r="J145" s="940">
        <f>MIN('Part VI-Revenues &amp; Expenses'!$M$59/'Part VI-Revenues &amp; Expenses'!$M$61,'Part VI-Revenues &amp; Expenses'!$M$94/'Part VI-Revenues &amp; Expenses'!$M$96)</f>
        <v>0.6</v>
      </c>
      <c r="K145" s="941"/>
      <c r="M145" s="940">
        <f>MIN('Part VI-Revenues &amp; Expenses'!$M$59/'Part VI-Revenues &amp; Expenses'!$M$61,'Part VI-Revenues &amp; Expenses'!$M$94/'Part VI-Revenues &amp; Expenses'!$M$96)</f>
        <v>0.6</v>
      </c>
      <c r="N145" s="941"/>
      <c r="P145" s="940">
        <f>MIN('Part VI-Revenues &amp; Expenses'!$M$59/'Part VI-Revenues &amp; Expenses'!$M$61,'Part VI-Revenues &amp; Expenses'!$M$94/'Part VI-Revenues &amp; Expenses'!$M$96)</f>
        <v>0.6</v>
      </c>
      <c r="Q145" s="941"/>
    </row>
    <row r="146" spans="1:20" s="458" customFormat="1" ht="13.9" customHeight="1">
      <c r="B146" s="458" t="s">
        <v>3137</v>
      </c>
      <c r="J146" s="910">
        <f>J144*J145</f>
        <v>12901295.940000001</v>
      </c>
      <c r="K146" s="927"/>
      <c r="M146" s="910">
        <f>M144*M145</f>
        <v>0</v>
      </c>
      <c r="N146" s="927"/>
      <c r="P146" s="910">
        <f>P144*P145</f>
        <v>0</v>
      </c>
      <c r="Q146" s="927"/>
    </row>
    <row r="147" spans="1:20" s="458" customFormat="1" ht="13.9" customHeight="1">
      <c r="B147" s="458" t="s">
        <v>3138</v>
      </c>
      <c r="J147" s="1406">
        <v>0.09</v>
      </c>
      <c r="K147" s="1407"/>
      <c r="M147" s="1406"/>
      <c r="N147" s="1407"/>
      <c r="P147" s="1406"/>
      <c r="Q147" s="1407"/>
    </row>
    <row r="148" spans="1:20" s="458" customFormat="1" ht="13.9" customHeight="1" thickBot="1">
      <c r="B148" s="458" t="s">
        <v>3840</v>
      </c>
      <c r="J148" s="912">
        <f>J146*J147</f>
        <v>1161116.6346</v>
      </c>
      <c r="K148" s="913"/>
      <c r="M148" s="912">
        <f>M146*M147</f>
        <v>0</v>
      </c>
      <c r="N148" s="913"/>
      <c r="P148" s="912">
        <f>P146*P147</f>
        <v>0</v>
      </c>
      <c r="Q148" s="913"/>
    </row>
    <row r="149" spans="1:20" s="458" customFormat="1" ht="13.9" customHeight="1" thickBot="1">
      <c r="B149" s="458" t="s">
        <v>2143</v>
      </c>
      <c r="J149" s="860">
        <f>J148+M148+P148</f>
        <v>1161116.6346</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1231</v>
      </c>
      <c r="B151" s="461" t="s">
        <v>2146</v>
      </c>
      <c r="I151" s="721"/>
      <c r="J151" s="925" t="s">
        <v>345</v>
      </c>
      <c r="K151" s="925"/>
      <c r="L151" s="925"/>
      <c r="M151" s="904" t="str">
        <f>IF(J153&gt;D125,"TDC exceeds PUCL!","")</f>
        <v/>
      </c>
      <c r="N151" s="905"/>
      <c r="O151" s="905"/>
      <c r="P151" s="905"/>
      <c r="Q151" s="905"/>
      <c r="R151" s="906"/>
      <c r="S151" s="917" t="s">
        <v>2650</v>
      </c>
      <c r="T151" s="918"/>
    </row>
    <row r="152" spans="1:20" s="458" customFormat="1" ht="15" customHeight="1">
      <c r="B152" s="461" t="s">
        <v>231</v>
      </c>
      <c r="I152" s="721"/>
      <c r="J152" s="942">
        <f>MIN(G123,D125)</f>
        <v>18890470.428214099</v>
      </c>
      <c r="K152" s="942"/>
      <c r="L152" s="942"/>
      <c r="M152" s="907" t="s">
        <v>3644</v>
      </c>
      <c r="N152" s="908"/>
      <c r="O152" s="908"/>
      <c r="P152" s="908"/>
      <c r="Q152" s="908"/>
      <c r="R152" s="909"/>
      <c r="S152" s="919"/>
      <c r="T152" s="920"/>
    </row>
    <row r="153" spans="1:20" s="458" customFormat="1" ht="13.9" customHeight="1">
      <c r="B153" s="458" t="s">
        <v>2649</v>
      </c>
      <c r="J153" s="1408">
        <v>18890470</v>
      </c>
      <c r="K153" s="1409"/>
      <c r="L153" s="1409"/>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9200000</v>
      </c>
      <c r="K154" s="911"/>
      <c r="L154" s="911"/>
      <c r="M154" s="907"/>
      <c r="N154" s="908"/>
      <c r="O154" s="908"/>
      <c r="P154" s="908"/>
      <c r="Q154" s="908"/>
      <c r="R154" s="909"/>
      <c r="S154" s="685"/>
      <c r="T154" s="688" t="s">
        <v>344</v>
      </c>
    </row>
    <row r="155" spans="1:20" s="458" customFormat="1" ht="13.9" customHeight="1">
      <c r="B155" s="458" t="s">
        <v>3356</v>
      </c>
      <c r="J155" s="910">
        <f>+J153-J154</f>
        <v>9690470</v>
      </c>
      <c r="K155" s="911"/>
      <c r="L155" s="911"/>
      <c r="M155" s="924" t="s">
        <v>342</v>
      </c>
      <c r="N155" s="925"/>
      <c r="O155" s="925" t="s">
        <v>2652</v>
      </c>
      <c r="P155" s="925"/>
      <c r="Q155" s="925"/>
      <c r="R155" s="926"/>
      <c r="S155" s="686" t="s">
        <v>2651</v>
      </c>
      <c r="T155" s="1410"/>
    </row>
    <row r="156" spans="1:20" s="458" customFormat="1" ht="13.9" customHeight="1" thickBot="1">
      <c r="B156" s="458" t="s">
        <v>1986</v>
      </c>
      <c r="J156" s="929" t="str">
        <f>"/ 10"</f>
        <v>/ 10</v>
      </c>
      <c r="K156" s="929"/>
      <c r="L156" s="929"/>
      <c r="M156" s="1411"/>
      <c r="N156" s="1412"/>
      <c r="O156" s="1413"/>
      <c r="P156" s="1413"/>
      <c r="Q156" s="1413"/>
      <c r="R156" s="1414"/>
      <c r="S156" s="687" t="s">
        <v>343</v>
      </c>
      <c r="T156" s="1415"/>
    </row>
    <row r="157" spans="1:20" s="458" customFormat="1" ht="13.9" customHeight="1">
      <c r="B157" s="458" t="s">
        <v>1987</v>
      </c>
      <c r="J157" s="910">
        <f>J155/10</f>
        <v>969047</v>
      </c>
      <c r="K157" s="911"/>
      <c r="L157" s="927"/>
      <c r="M157" s="482"/>
      <c r="N157" s="797" t="s">
        <v>1988</v>
      </c>
      <c r="O157" s="797"/>
      <c r="Q157" s="797" t="s">
        <v>2830</v>
      </c>
      <c r="R157" s="797"/>
    </row>
    <row r="158" spans="1:20" s="458" customFormat="1" ht="13.9" customHeight="1" thickBot="1">
      <c r="B158" s="458" t="s">
        <v>2227</v>
      </c>
      <c r="J158" s="921">
        <f>N158+Q158</f>
        <v>1.05</v>
      </c>
      <c r="K158" s="922"/>
      <c r="L158" s="923"/>
      <c r="M158" s="717" t="s">
        <v>1989</v>
      </c>
      <c r="N158" s="1416">
        <v>0.8</v>
      </c>
      <c r="O158" s="1417"/>
      <c r="P158" s="717" t="s">
        <v>945</v>
      </c>
      <c r="Q158" s="1416">
        <v>0.25</v>
      </c>
      <c r="R158" s="1417"/>
    </row>
    <row r="159" spans="1:20" s="458" customFormat="1" ht="13.9" customHeight="1" thickBot="1">
      <c r="B159" s="458" t="s">
        <v>2144</v>
      </c>
      <c r="J159" s="860">
        <f>IF(J158=0,"",J157/J158)</f>
        <v>922901.90476190473</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922901.90476190473</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8">
        <v>920000</v>
      </c>
      <c r="K163" s="1419"/>
      <c r="L163" s="1420"/>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2823</v>
      </c>
      <c r="B165" s="461" t="s">
        <v>449</v>
      </c>
      <c r="D165" s="482"/>
      <c r="E165" s="482"/>
      <c r="F165" s="464"/>
      <c r="J165" s="914">
        <f>+MIN(J161,J163)</f>
        <v>920000</v>
      </c>
      <c r="K165" s="915"/>
      <c r="L165" s="916"/>
      <c r="N165" s="1421"/>
      <c r="O165" s="1421"/>
      <c r="P165" s="1421"/>
      <c r="Q165" s="1421"/>
      <c r="R165" s="1421"/>
      <c r="S165" s="1421"/>
      <c r="T165" s="1421"/>
    </row>
    <row r="166" spans="1:20" ht="3" customHeight="1"/>
    <row r="167" spans="1:20" ht="6" customHeight="1"/>
    <row r="168" spans="1:20" ht="12" customHeight="1">
      <c r="A168" s="461" t="s">
        <v>2825</v>
      </c>
      <c r="B168" s="491" t="s">
        <v>879</v>
      </c>
      <c r="K168" s="461" t="s">
        <v>822</v>
      </c>
      <c r="L168" s="461" t="s">
        <v>89</v>
      </c>
    </row>
    <row r="169" spans="1:20" ht="107.45" customHeight="1">
      <c r="A169" s="1422" t="s">
        <v>4011</v>
      </c>
      <c r="B169" s="1423"/>
      <c r="C169" s="1423"/>
      <c r="D169" s="1423"/>
      <c r="E169" s="1423"/>
      <c r="F169" s="1423"/>
      <c r="G169" s="1423"/>
      <c r="H169" s="1423"/>
      <c r="I169" s="1423"/>
      <c r="J169" s="1424"/>
      <c r="K169" s="1425"/>
      <c r="L169" s="1423"/>
      <c r="M169" s="1423"/>
      <c r="N169" s="1423"/>
      <c r="O169" s="1423"/>
      <c r="P169" s="1423"/>
      <c r="Q169" s="1423"/>
      <c r="R169" s="1423"/>
      <c r="S169" s="1423"/>
      <c r="T169" s="1424"/>
    </row>
    <row r="170" spans="1:20" ht="107.45" customHeight="1">
      <c r="A170" s="1426" t="s">
        <v>4065</v>
      </c>
      <c r="B170" s="1427"/>
      <c r="C170" s="1427"/>
      <c r="D170" s="1427"/>
      <c r="E170" s="1427"/>
      <c r="F170" s="1427"/>
      <c r="G170" s="1427"/>
      <c r="H170" s="1427"/>
      <c r="I170" s="1427"/>
      <c r="J170" s="1428"/>
      <c r="K170" s="1429"/>
      <c r="L170" s="1427"/>
      <c r="M170" s="1427"/>
      <c r="N170" s="1427"/>
      <c r="O170" s="1427"/>
      <c r="P170" s="1427"/>
      <c r="Q170" s="1427"/>
      <c r="R170" s="1427"/>
      <c r="S170" s="1427"/>
      <c r="T170" s="1428"/>
    </row>
    <row r="171" spans="1:20" s="458" customFormat="1" ht="107.45" customHeight="1">
      <c r="A171" s="1426" t="s">
        <v>4083</v>
      </c>
      <c r="B171" s="1427"/>
      <c r="C171" s="1427"/>
      <c r="D171" s="1427"/>
      <c r="E171" s="1427"/>
      <c r="F171" s="1427"/>
      <c r="G171" s="1427"/>
      <c r="H171" s="1427"/>
      <c r="I171" s="1427"/>
      <c r="J171" s="1428"/>
      <c r="K171" s="1429"/>
      <c r="L171" s="1427"/>
      <c r="M171" s="1427"/>
      <c r="N171" s="1427"/>
      <c r="O171" s="1427"/>
      <c r="P171" s="1427"/>
      <c r="Q171" s="1427"/>
      <c r="R171" s="1427"/>
      <c r="S171" s="1427"/>
      <c r="T171" s="1428"/>
    </row>
    <row r="172" spans="1:20" ht="107.45" customHeight="1">
      <c r="A172" s="1430" t="s">
        <v>4063</v>
      </c>
      <c r="B172" s="1431"/>
      <c r="C172" s="1431"/>
      <c r="D172" s="1431"/>
      <c r="E172" s="1431"/>
      <c r="F172" s="1431"/>
      <c r="G172" s="1431"/>
      <c r="H172" s="1431"/>
      <c r="I172" s="1431"/>
      <c r="J172" s="1432"/>
      <c r="K172" s="1433"/>
      <c r="L172" s="1431"/>
      <c r="M172" s="1431"/>
      <c r="N172" s="1431"/>
      <c r="O172" s="1431"/>
      <c r="P172" s="1431"/>
      <c r="Q172" s="1431"/>
      <c r="R172" s="1431"/>
      <c r="S172" s="1431"/>
      <c r="T172" s="1432"/>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2011-013 Ashley Auburn Pointe II , Atlanta, Fulton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806</v>
      </c>
      <c r="I3" s="741" t="str">
        <f>VLOOKUP('Part I-Project Information'!$J$25,'Part I-Project Information'!$C$183:$D$342,2)</f>
        <v>Middle</v>
      </c>
    </row>
    <row r="4" spans="1:20" s="9" customFormat="1"/>
    <row r="5" spans="1:20" s="9" customFormat="1">
      <c r="A5" s="16" t="s">
        <v>950</v>
      </c>
      <c r="B5" s="16" t="s">
        <v>3351</v>
      </c>
      <c r="F5" s="9" t="s">
        <v>3805</v>
      </c>
      <c r="I5" s="1362" t="s">
        <v>3955</v>
      </c>
      <c r="J5" s="1363"/>
      <c r="K5" s="1363"/>
      <c r="L5" s="1363"/>
      <c r="M5" s="1364"/>
    </row>
    <row r="6" spans="1:20" s="9" customFormat="1" ht="13.15" customHeight="1">
      <c r="A6" s="16"/>
      <c r="F6" s="9" t="s">
        <v>972</v>
      </c>
      <c r="H6" s="31"/>
      <c r="I6" s="1365">
        <v>40360</v>
      </c>
      <c r="J6" s="1366"/>
      <c r="K6" s="77" t="s">
        <v>833</v>
      </c>
      <c r="L6" s="1367" t="s">
        <v>3963</v>
      </c>
      <c r="M6" s="1364"/>
    </row>
    <row r="7" spans="1:20" s="9" customFormat="1" ht="6" customHeight="1">
      <c r="A7" s="16"/>
    </row>
    <row r="8" spans="1:20" s="16" customFormat="1">
      <c r="B8" s="337"/>
      <c r="C8" s="337"/>
      <c r="D8" s="337"/>
      <c r="E8" s="337"/>
      <c r="F8" s="962" t="s">
        <v>942</v>
      </c>
      <c r="G8" s="962"/>
      <c r="I8" s="961" t="s">
        <v>258</v>
      </c>
      <c r="J8" s="961"/>
      <c r="K8" s="961"/>
      <c r="L8" s="961"/>
      <c r="M8" s="961"/>
    </row>
    <row r="9" spans="1:20" s="16" customFormat="1">
      <c r="B9" s="337" t="s">
        <v>1380</v>
      </c>
      <c r="D9" s="337" t="s">
        <v>2361</v>
      </c>
      <c r="F9" s="736" t="s">
        <v>978</v>
      </c>
      <c r="G9" s="736" t="s">
        <v>2904</v>
      </c>
      <c r="I9" s="338">
        <v>0</v>
      </c>
      <c r="J9" s="339">
        <v>1</v>
      </c>
      <c r="K9" s="339">
        <v>2</v>
      </c>
      <c r="L9" s="339">
        <v>3</v>
      </c>
      <c r="M9" s="339">
        <v>4</v>
      </c>
    </row>
    <row r="10" spans="1:20" s="9" customFormat="1">
      <c r="B10" s="340" t="s">
        <v>2906</v>
      </c>
      <c r="C10" s="341"/>
      <c r="D10" s="1368" t="s">
        <v>2357</v>
      </c>
      <c r="E10" s="1369"/>
      <c r="F10" s="1370" t="s">
        <v>651</v>
      </c>
      <c r="G10" s="1370"/>
      <c r="H10" s="342"/>
      <c r="I10" s="1371"/>
      <c r="J10" s="1371">
        <v>6</v>
      </c>
      <c r="K10" s="1371">
        <v>8</v>
      </c>
      <c r="L10" s="1371">
        <v>10</v>
      </c>
      <c r="M10" s="1371"/>
    </row>
    <row r="11" spans="1:20" s="9" customFormat="1">
      <c r="B11" s="343" t="s">
        <v>686</v>
      </c>
      <c r="C11" s="344"/>
      <c r="D11" s="343" t="s">
        <v>2357</v>
      </c>
      <c r="E11" s="344"/>
      <c r="F11" s="1372" t="s">
        <v>651</v>
      </c>
      <c r="G11" s="1372"/>
      <c r="H11" s="345"/>
      <c r="I11" s="1373"/>
      <c r="J11" s="1373">
        <v>8</v>
      </c>
      <c r="K11" s="1373">
        <v>14</v>
      </c>
      <c r="L11" s="1374">
        <v>20</v>
      </c>
      <c r="M11" s="1374"/>
    </row>
    <row r="12" spans="1:20" s="9" customFormat="1">
      <c r="B12" s="343" t="s">
        <v>2358</v>
      </c>
      <c r="C12" s="344"/>
      <c r="D12" s="1375" t="s">
        <v>2357</v>
      </c>
      <c r="E12" s="1376"/>
      <c r="F12" s="1372" t="s">
        <v>651</v>
      </c>
      <c r="G12" s="1372"/>
      <c r="H12" s="345"/>
      <c r="I12" s="1373"/>
      <c r="J12" s="1373">
        <v>8</v>
      </c>
      <c r="K12" s="1373">
        <v>10</v>
      </c>
      <c r="L12" s="1374">
        <v>12</v>
      </c>
      <c r="M12" s="1374"/>
    </row>
    <row r="13" spans="1:20" s="9" customFormat="1">
      <c r="B13" s="343" t="s">
        <v>2359</v>
      </c>
      <c r="C13" s="344"/>
      <c r="D13" s="1375" t="s">
        <v>2357</v>
      </c>
      <c r="E13" s="1376"/>
      <c r="F13" s="1372" t="s">
        <v>651</v>
      </c>
      <c r="G13" s="1372"/>
      <c r="H13" s="345"/>
      <c r="I13" s="1373"/>
      <c r="J13" s="1373">
        <v>16</v>
      </c>
      <c r="K13" s="1373">
        <v>22</v>
      </c>
      <c r="L13" s="1374">
        <v>29</v>
      </c>
      <c r="M13" s="1374"/>
    </row>
    <row r="14" spans="1:20" s="9" customFormat="1">
      <c r="B14" s="343" t="s">
        <v>2360</v>
      </c>
      <c r="C14" s="344"/>
      <c r="D14" s="343" t="s">
        <v>2357</v>
      </c>
      <c r="E14" s="346"/>
      <c r="F14" s="1372" t="s">
        <v>651</v>
      </c>
      <c r="G14" s="1372"/>
      <c r="H14" s="345"/>
      <c r="I14" s="1373"/>
      <c r="J14" s="1373">
        <v>33</v>
      </c>
      <c r="K14" s="1373">
        <v>41</v>
      </c>
      <c r="L14" s="1374">
        <v>49</v>
      </c>
      <c r="M14" s="1374"/>
    </row>
    <row r="15" spans="1:20" s="9" customFormat="1">
      <c r="B15" s="343" t="s">
        <v>2072</v>
      </c>
      <c r="C15" s="344"/>
      <c r="D15" s="343" t="s">
        <v>3350</v>
      </c>
      <c r="E15" s="1377" t="s">
        <v>3926</v>
      </c>
      <c r="F15" s="1372" t="s">
        <v>651</v>
      </c>
      <c r="G15" s="1372"/>
      <c r="H15" s="345"/>
      <c r="I15" s="1373"/>
      <c r="J15" s="1373">
        <v>115</v>
      </c>
      <c r="K15" s="1373">
        <v>157</v>
      </c>
      <c r="L15" s="1374">
        <v>200</v>
      </c>
      <c r="M15" s="1374"/>
    </row>
    <row r="16" spans="1:20" s="9" customFormat="1">
      <c r="B16" s="347" t="s">
        <v>2905</v>
      </c>
      <c r="C16" s="348"/>
      <c r="D16" s="347"/>
      <c r="E16" s="315"/>
      <c r="F16" s="1378"/>
      <c r="G16" s="1378" t="s">
        <v>651</v>
      </c>
      <c r="H16" s="349"/>
      <c r="I16" s="1379"/>
      <c r="J16" s="1379"/>
      <c r="K16" s="1379"/>
      <c r="L16" s="1380"/>
      <c r="M16" s="1380"/>
    </row>
    <row r="17" spans="1:19" s="9" customFormat="1">
      <c r="B17" s="337" t="s">
        <v>1640</v>
      </c>
      <c r="D17" s="31"/>
      <c r="E17" s="31"/>
      <c r="F17" s="111"/>
      <c r="G17" s="111"/>
      <c r="I17" s="736">
        <f>SUM(I10:I16)</f>
        <v>0</v>
      </c>
      <c r="J17" s="736">
        <f>SUM(J10:J16)</f>
        <v>186</v>
      </c>
      <c r="K17" s="736">
        <f>SUM(K10:K16)</f>
        <v>252</v>
      </c>
      <c r="L17" s="736">
        <f>SUM(L10:L16)</f>
        <v>320</v>
      </c>
      <c r="M17" s="736">
        <f>SUM(M10:M16)</f>
        <v>0</v>
      </c>
    </row>
    <row r="18" spans="1:19" s="9" customFormat="1" ht="11.25" customHeight="1">
      <c r="M18" s="31"/>
      <c r="N18" s="31"/>
      <c r="O18" s="31"/>
      <c r="P18" s="31"/>
      <c r="Q18" s="31"/>
      <c r="R18" s="31"/>
      <c r="S18" s="31"/>
    </row>
    <row r="19" spans="1:19" s="9" customFormat="1">
      <c r="A19" s="16" t="s">
        <v>1229</v>
      </c>
      <c r="B19" s="16" t="s">
        <v>3352</v>
      </c>
      <c r="F19" s="9" t="s">
        <v>3805</v>
      </c>
      <c r="I19" s="1367"/>
      <c r="J19" s="1363"/>
      <c r="K19" s="1363"/>
      <c r="L19" s="1363"/>
      <c r="M19" s="1364"/>
    </row>
    <row r="20" spans="1:19" s="9" customFormat="1" ht="13.15" customHeight="1">
      <c r="A20" s="16"/>
      <c r="B20" s="16"/>
      <c r="F20" s="9" t="s">
        <v>972</v>
      </c>
      <c r="H20" s="31"/>
      <c r="I20" s="1365"/>
      <c r="J20" s="1366"/>
      <c r="K20" s="77" t="s">
        <v>833</v>
      </c>
      <c r="L20" s="1367"/>
      <c r="M20" s="1364"/>
    </row>
    <row r="21" spans="1:19" s="9" customFormat="1" ht="6" customHeight="1">
      <c r="A21" s="16"/>
    </row>
    <row r="22" spans="1:19" s="16" customFormat="1">
      <c r="B22" s="337"/>
      <c r="C22" s="337"/>
      <c r="D22" s="337"/>
      <c r="E22" s="337"/>
      <c r="F22" s="962" t="s">
        <v>942</v>
      </c>
      <c r="G22" s="962"/>
      <c r="I22" s="961" t="s">
        <v>258</v>
      </c>
      <c r="J22" s="961"/>
      <c r="K22" s="961"/>
      <c r="L22" s="961"/>
      <c r="M22" s="961"/>
    </row>
    <row r="23" spans="1:19" s="16" customFormat="1">
      <c r="B23" s="337" t="s">
        <v>1380</v>
      </c>
      <c r="D23" s="337" t="s">
        <v>2361</v>
      </c>
      <c r="F23" s="736" t="s">
        <v>978</v>
      </c>
      <c r="G23" s="736" t="s">
        <v>2904</v>
      </c>
      <c r="I23" s="338">
        <v>0</v>
      </c>
      <c r="J23" s="339">
        <v>1</v>
      </c>
      <c r="K23" s="339">
        <v>2</v>
      </c>
      <c r="L23" s="339">
        <v>3</v>
      </c>
      <c r="M23" s="339">
        <v>4</v>
      </c>
    </row>
    <row r="24" spans="1:19" s="9" customFormat="1">
      <c r="B24" s="340" t="s">
        <v>2906</v>
      </c>
      <c r="C24" s="341"/>
      <c r="D24" s="1368" t="s">
        <v>2861</v>
      </c>
      <c r="E24" s="1369"/>
      <c r="F24" s="1370"/>
      <c r="G24" s="1370"/>
      <c r="H24" s="342"/>
      <c r="I24" s="1371"/>
      <c r="J24" s="1371"/>
      <c r="K24" s="1371"/>
      <c r="L24" s="1371"/>
      <c r="M24" s="1371"/>
    </row>
    <row r="25" spans="1:19" s="9" customFormat="1">
      <c r="B25" s="343" t="s">
        <v>686</v>
      </c>
      <c r="C25" s="344"/>
      <c r="D25" s="343" t="s">
        <v>2357</v>
      </c>
      <c r="E25" s="344"/>
      <c r="F25" s="1372"/>
      <c r="G25" s="1372"/>
      <c r="H25" s="345"/>
      <c r="I25" s="1373"/>
      <c r="J25" s="1373"/>
      <c r="K25" s="1373"/>
      <c r="L25" s="1374"/>
      <c r="M25" s="1374"/>
    </row>
    <row r="26" spans="1:19" s="9" customFormat="1">
      <c r="B26" s="343" t="s">
        <v>2358</v>
      </c>
      <c r="C26" s="344"/>
      <c r="D26" s="1375" t="s">
        <v>2861</v>
      </c>
      <c r="E26" s="1376"/>
      <c r="F26" s="1372"/>
      <c r="G26" s="1372"/>
      <c r="H26" s="345"/>
      <c r="I26" s="1373"/>
      <c r="J26" s="1373"/>
      <c r="K26" s="1373"/>
      <c r="L26" s="1374"/>
      <c r="M26" s="1374"/>
    </row>
    <row r="27" spans="1:19" s="9" customFormat="1">
      <c r="B27" s="343" t="s">
        <v>2359</v>
      </c>
      <c r="C27" s="344"/>
      <c r="D27" s="1375" t="s">
        <v>2861</v>
      </c>
      <c r="E27" s="1376"/>
      <c r="F27" s="1372"/>
      <c r="G27" s="1372"/>
      <c r="H27" s="345"/>
      <c r="I27" s="1373"/>
      <c r="J27" s="1373"/>
      <c r="K27" s="1373"/>
      <c r="L27" s="1374"/>
      <c r="M27" s="1374"/>
    </row>
    <row r="28" spans="1:19" s="9" customFormat="1">
      <c r="B28" s="343" t="s">
        <v>2360</v>
      </c>
      <c r="C28" s="344"/>
      <c r="D28" s="343" t="s">
        <v>2357</v>
      </c>
      <c r="E28" s="346"/>
      <c r="F28" s="1372"/>
      <c r="G28" s="1372"/>
      <c r="H28" s="345"/>
      <c r="I28" s="1373"/>
      <c r="J28" s="1373"/>
      <c r="K28" s="1373"/>
      <c r="L28" s="1374"/>
      <c r="M28" s="1374"/>
    </row>
    <row r="29" spans="1:19" s="9" customFormat="1">
      <c r="B29" s="343" t="s">
        <v>2072</v>
      </c>
      <c r="C29" s="344"/>
      <c r="D29" s="343" t="s">
        <v>3350</v>
      </c>
      <c r="E29" s="1377" t="s">
        <v>259</v>
      </c>
      <c r="F29" s="1372"/>
      <c r="G29" s="1372"/>
      <c r="H29" s="345"/>
      <c r="I29" s="1373"/>
      <c r="J29" s="1373"/>
      <c r="K29" s="1373"/>
      <c r="L29" s="1374"/>
      <c r="M29" s="1374"/>
    </row>
    <row r="30" spans="1:19" s="9" customFormat="1">
      <c r="B30" s="347" t="s">
        <v>2905</v>
      </c>
      <c r="C30" s="348"/>
      <c r="D30" s="347"/>
      <c r="E30" s="315"/>
      <c r="F30" s="1378"/>
      <c r="G30" s="1378"/>
      <c r="H30" s="349"/>
      <c r="I30" s="1379"/>
      <c r="J30" s="1379"/>
      <c r="K30" s="1379"/>
      <c r="L30" s="1380"/>
      <c r="M30" s="1380"/>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1" t="s">
        <v>4019</v>
      </c>
      <c r="C36" s="1382"/>
      <c r="D36" s="1382"/>
      <c r="E36" s="1382"/>
      <c r="F36" s="1382"/>
      <c r="G36" s="1382"/>
      <c r="H36" s="1382"/>
      <c r="I36" s="1382"/>
      <c r="J36" s="1382"/>
      <c r="K36" s="1382"/>
      <c r="L36" s="1382"/>
      <c r="M36" s="1383"/>
      <c r="N36" s="31"/>
      <c r="O36" s="31"/>
      <c r="P36" s="31"/>
      <c r="Q36" s="31"/>
      <c r="R36" s="31"/>
      <c r="S36" s="31"/>
    </row>
    <row r="37" spans="1:19" s="9" customFormat="1" ht="12" customHeight="1">
      <c r="B37" s="1384" t="s">
        <v>4020</v>
      </c>
      <c r="C37" s="1385"/>
      <c r="D37" s="1385"/>
      <c r="E37" s="1385"/>
      <c r="F37" s="1385"/>
      <c r="G37" s="1385"/>
      <c r="H37" s="1385"/>
      <c r="I37" s="1385"/>
      <c r="J37" s="1385"/>
      <c r="K37" s="1385"/>
      <c r="L37" s="1385"/>
      <c r="M37" s="1386"/>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7"/>
      <c r="C40" s="1388"/>
      <c r="D40" s="1388"/>
      <c r="E40" s="1388"/>
      <c r="F40" s="1388"/>
      <c r="G40" s="1388"/>
      <c r="H40" s="1388"/>
      <c r="I40" s="1388"/>
      <c r="J40" s="1388"/>
      <c r="K40" s="1388"/>
      <c r="L40" s="1388"/>
      <c r="M40" s="1389"/>
      <c r="N40" s="31"/>
      <c r="O40" s="31"/>
      <c r="P40" s="31"/>
      <c r="Q40" s="31"/>
      <c r="R40" s="31"/>
      <c r="S40" s="31"/>
    </row>
    <row r="41" spans="1:19" s="9" customFormat="1" ht="12" customHeight="1">
      <c r="B41" s="1390"/>
      <c r="C41" s="1391"/>
      <c r="D41" s="1391"/>
      <c r="E41" s="1391"/>
      <c r="F41" s="1391"/>
      <c r="G41" s="1391"/>
      <c r="H41" s="1391"/>
      <c r="I41" s="1391"/>
      <c r="J41" s="1391"/>
      <c r="K41" s="1391"/>
      <c r="L41" s="1391"/>
      <c r="M41" s="1392"/>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2011-06-22T19:27:53Z</cp:lastPrinted>
  <dcterms:created xsi:type="dcterms:W3CDTF">2005-09-15T20:51:37Z</dcterms:created>
  <dcterms:modified xsi:type="dcterms:W3CDTF">2011-08-10T15:29:16Z</dcterms:modified>
</cp:coreProperties>
</file>